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haffner/Dropbox/Robyn Miranda - Cross Contamination Project/Norovirus/Robyn Frozen berry QMRA @Risk/Manuscript/Tables and Figures/"/>
    </mc:Choice>
  </mc:AlternateContent>
  <xr:revisionPtr revIDLastSave="0" documentId="13_ncr:1_{6CF78D77-BCB3-6B41-B6EC-810A71C59916}" xr6:coauthVersionLast="28" xr6:coauthVersionMax="28" xr10:uidLastSave="{00000000-0000-0000-0000-000000000000}"/>
  <bookViews>
    <workbookView xWindow="280" yWindow="460" windowWidth="30280" windowHeight="20180" tabRatio="500" activeTab="2" xr2:uid="{00000000-000D-0000-FFFF-FFFF00000000}"/>
  </bookViews>
  <sheets>
    <sheet name="pathway" sheetId="6" state="hidden" r:id="rId1"/>
    <sheet name="Sheet1" sheetId="7" state="hidden" r:id="rId2"/>
    <sheet name="Table 1 Updated risk model" sheetId="18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2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"JTU87W1G7NU74898BP5YMWJ8"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"$D$75"</definedName>
    <definedName name="RiskSelectedNameCell1" hidden="1">"$B$75"</definedName>
    <definedName name="RiskSelectedNameCell2" hidden="1">"$D$1"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Cells1" hidden="1">#REF!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FALSE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</definedName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8" l="1"/>
  <c r="D14" i="18"/>
  <c r="D15" i="18"/>
  <c r="D22" i="18"/>
  <c r="D67" i="18"/>
  <c r="D9" i="18"/>
  <c r="D38" i="18"/>
  <c r="D41" i="18"/>
  <c r="D27" i="18"/>
  <c r="D7" i="18"/>
  <c r="D50" i="18"/>
  <c r="D3" i="18"/>
  <c r="D54" i="18"/>
  <c r="D4" i="18"/>
  <c r="D58" i="18"/>
  <c r="D32" i="18"/>
  <c r="D46" i="18"/>
  <c r="D72" i="18"/>
  <c r="D42" i="18" l="1"/>
  <c r="D5" i="18"/>
  <c r="D6" i="18" s="1"/>
  <c r="D73" i="18"/>
  <c r="D10" i="18"/>
  <c r="D16" i="18" l="1"/>
  <c r="D17" i="18" s="1"/>
  <c r="D23" i="18" s="1"/>
  <c r="D28" i="18" s="1"/>
  <c r="D33" i="18" s="1"/>
  <c r="D36" i="18" s="1"/>
  <c r="D51" i="18"/>
  <c r="D47" i="18"/>
  <c r="D59" i="18"/>
  <c r="D43" i="18"/>
  <c r="D55" i="18"/>
  <c r="D74" i="18"/>
  <c r="D44" i="18" l="1"/>
  <c r="D48" i="18"/>
  <c r="D52" i="18" s="1"/>
  <c r="D56" i="18" s="1"/>
  <c r="D60" i="18" s="1"/>
  <c r="D62" i="18" s="1"/>
  <c r="D65" i="18" s="1"/>
  <c r="D66" i="18"/>
  <c r="D69" i="18"/>
</calcChain>
</file>

<file path=xl/sharedStrings.xml><?xml version="1.0" encoding="utf-8"?>
<sst xmlns="http://schemas.openxmlformats.org/spreadsheetml/2006/main" count="385" uniqueCount="274">
  <si>
    <t xml:space="preserve">Fraction noncontaminated </t>
  </si>
  <si>
    <t>Mean log reduction on contaminated pieces</t>
    <phoneticPr fontId="0" type="noConversion"/>
  </si>
  <si>
    <t>SD log reduction on contaminated pieces</t>
    <phoneticPr fontId="0" type="noConversion"/>
  </si>
  <si>
    <t>Log reduction difference contam vs. non contam</t>
    <phoneticPr fontId="0" type="noConversion"/>
  </si>
  <si>
    <t>Std Dev difference, contam .vs non contam</t>
  </si>
  <si>
    <t>SD log reduction on cross-contamianted pieces</t>
    <phoneticPr fontId="0" type="noConversion"/>
  </si>
  <si>
    <t>Washing Final and Cross Contamination</t>
  </si>
  <si>
    <t>Concentration on contaminated pieces after wash</t>
    <phoneticPr fontId="0" type="noConversion"/>
  </si>
  <si>
    <t>Concentration on non-cont pieces after wash</t>
    <phoneticPr fontId="0" type="noConversion"/>
  </si>
  <si>
    <t>Choose contaminated or non-contaminated</t>
    <phoneticPr fontId="0" type="noConversion"/>
  </si>
  <si>
    <t>Chosen concentration</t>
    <phoneticPr fontId="0" type="noConversion"/>
  </si>
  <si>
    <t>Serving and Dose Response</t>
  </si>
  <si>
    <t>Serving size</t>
  </si>
  <si>
    <t>Concentration per serving</t>
    <phoneticPr fontId="0" type="noConversion"/>
  </si>
  <si>
    <t>Probability of illness</t>
    <phoneticPr fontId="0" type="noConversion"/>
  </si>
  <si>
    <t>Illnesses</t>
  </si>
  <si>
    <t>Number of servings to consider per iteration</t>
    <phoneticPr fontId="0" type="noConversion"/>
  </si>
  <si>
    <t>Illnesses per # serving per iteration?</t>
  </si>
  <si>
    <t>Was there illness?</t>
  </si>
  <si>
    <t>Was there cross-contamination?</t>
    <phoneticPr fontId="0" type="noConversion"/>
  </si>
  <si>
    <t>Number of illness due to cross-contamination</t>
    <phoneticPr fontId="0" type="noConversion"/>
  </si>
  <si>
    <t>Illness on product at Max conc</t>
  </si>
  <si>
    <t>Outbreak specific calculations</t>
  </si>
  <si>
    <t>Number of servings</t>
    <phoneticPr fontId="0" type="noConversion"/>
  </si>
  <si>
    <t>Weight of servings</t>
    <phoneticPr fontId="0" type="noConversion"/>
  </si>
  <si>
    <t>Average daily production</t>
  </si>
  <si>
    <t>Days of production</t>
  </si>
  <si>
    <t>Actual number ill</t>
    <phoneticPr fontId="0" type="noConversion"/>
  </si>
  <si>
    <t>Underreporting factor</t>
  </si>
  <si>
    <t>Number reported ill</t>
    <phoneticPr fontId="0" type="noConversion"/>
  </si>
  <si>
    <t>Surface area of hands that touch produce</t>
  </si>
  <si>
    <t xml:space="preserve">Total surface area of one side of one hand </t>
  </si>
  <si>
    <t>Proportion of food handlers' hand touching produce</t>
  </si>
  <si>
    <t xml:space="preserve">Virus conc on conveyor belt </t>
  </si>
  <si>
    <t>Proportion of produce surface touching conveyor belt</t>
  </si>
  <si>
    <t>Mean log reduction on cross-contaminated pieces</t>
  </si>
  <si>
    <t>Log PFU reduction difference contam vs. non</t>
  </si>
  <si>
    <t>Alpha</t>
  </si>
  <si>
    <t>Beta</t>
  </si>
  <si>
    <t>Log reduction by dilution, contaminated to non</t>
  </si>
  <si>
    <t>strawberry is fully ripe</t>
  </si>
  <si>
    <t>In field</t>
  </si>
  <si>
    <t>Concentration on fruit at harvest</t>
  </si>
  <si>
    <t>Starting Concentration on harvesters hands</t>
  </si>
  <si>
    <t xml:space="preserve">Transportation </t>
  </si>
  <si>
    <t>Temperature on refrigerated truck</t>
  </si>
  <si>
    <t>Removal of NoV by water bath</t>
  </si>
  <si>
    <t>Washing data - Chlorination spray</t>
  </si>
  <si>
    <t xml:space="preserve">Conveyor belt - discarding/sorting </t>
  </si>
  <si>
    <t>NoV survival on damaged fruit</t>
  </si>
  <si>
    <t>Quick Freezing</t>
  </si>
  <si>
    <t>Survival of NoV on frozen fruit</t>
  </si>
  <si>
    <t>Transferred conc from hand to fruit</t>
  </si>
  <si>
    <t>Transferred conc from fruit to hand</t>
  </si>
  <si>
    <t xml:space="preserve">Fraction contaminated on incoming servings </t>
  </si>
  <si>
    <t>Agarwal 2010</t>
  </si>
  <si>
    <t>Rhodes 2013</t>
  </si>
  <si>
    <t>Disinfecting hard contact surface areas</t>
  </si>
  <si>
    <t>Park 2011</t>
  </si>
  <si>
    <t xml:space="preserve">Girard 2010 </t>
  </si>
  <si>
    <t>Whitehead 2010</t>
  </si>
  <si>
    <t>Magulski 2009</t>
  </si>
  <si>
    <t>Jimenez 2006</t>
  </si>
  <si>
    <t>Malik 2006</t>
  </si>
  <si>
    <t>Washing Data - water bath/rinse</t>
  </si>
  <si>
    <t>Butot 2008</t>
  </si>
  <si>
    <t xml:space="preserve">Removal of viruses from food contact surfaces </t>
  </si>
  <si>
    <t>Gibson 2012</t>
  </si>
  <si>
    <t>Kimmit 2016</t>
  </si>
  <si>
    <t xml:space="preserve">Dispersal of NoV from hand drying unit </t>
  </si>
  <si>
    <t xml:space="preserve">Mass of feces on both hands of a HuNoV shedding food handler </t>
  </si>
  <si>
    <t>Mokhtari 2009</t>
  </si>
  <si>
    <t>Lin 2003</t>
  </si>
  <si>
    <t xml:space="preserve">Butot 2008 </t>
  </si>
  <si>
    <t>cold &amp; warm water</t>
  </si>
  <si>
    <t>Butot 2009</t>
  </si>
  <si>
    <t>chlorine wash</t>
  </si>
  <si>
    <t xml:space="preserve">freeze drying </t>
  </si>
  <si>
    <t>Bidawid 2004</t>
  </si>
  <si>
    <t>Verhaelen 2013</t>
  </si>
  <si>
    <t>Sharps 2012</t>
  </si>
  <si>
    <t>Stals 2013</t>
  </si>
  <si>
    <t>Tuladhar 2013</t>
  </si>
  <si>
    <t>Presence of NoV in water</t>
  </si>
  <si>
    <t xml:space="preserve">200ppm wash </t>
  </si>
  <si>
    <t>Probability of infection</t>
  </si>
  <si>
    <t xml:space="preserve">Variable </t>
  </si>
  <si>
    <t xml:space="preserve">Units </t>
  </si>
  <si>
    <t xml:space="preserve">Source </t>
  </si>
  <si>
    <t xml:space="preserve">Value/Distribution </t>
  </si>
  <si>
    <t xml:space="preserve">Description </t>
  </si>
  <si>
    <t>developed to spray a certain amount on each plant (uniform distirbution)</t>
  </si>
  <si>
    <t>http://strawberryplants.org/2010/10/strawberry-plants-per-acre/</t>
  </si>
  <si>
    <t>1 hectare = 2.47105 acres</t>
  </si>
  <si>
    <t>User input</t>
  </si>
  <si>
    <t>Conversion of hectare to acre</t>
  </si>
  <si>
    <t>Average of plant and row spacing</t>
  </si>
  <si>
    <t xml:space="preserve">Average of berries growing on 1 plant during 1 harvest </t>
  </si>
  <si>
    <t xml:space="preserve">Spray application for pesticide dilutions </t>
  </si>
  <si>
    <t xml:space="preserve">Calculated </t>
  </si>
  <si>
    <t>Verhaelen 2013, Lodder 2005, Hamza 2009, Kishida 2012, Calgua 2013, Maunula 2013, Van den berg 2005</t>
  </si>
  <si>
    <t>User Input</t>
  </si>
  <si>
    <t xml:space="preserve">Organism used </t>
  </si>
  <si>
    <t>NoV GI, NoV GII</t>
  </si>
  <si>
    <t>NoV GI, NoV GII, MNV, Poliovirus</t>
  </si>
  <si>
    <t>L/plant</t>
  </si>
  <si>
    <t>Temperature, truck</t>
  </si>
  <si>
    <t>Time, truck</t>
  </si>
  <si>
    <t>C</t>
  </si>
  <si>
    <t>Calculated</t>
  </si>
  <si>
    <t>L/ha</t>
  </si>
  <si>
    <t>Volume of water sprayed per plant</t>
  </si>
  <si>
    <t xml:space="preserve">pesticide used at recommended levels by manufacturer </t>
  </si>
  <si>
    <t>How many liters positive?</t>
  </si>
  <si>
    <t xml:space="preserve">Number of liters applied </t>
  </si>
  <si>
    <t xml:space="preserve">Log reduction at time of delivery </t>
  </si>
  <si>
    <t xml:space="preserve">SD log reduction at frozen storage </t>
  </si>
  <si>
    <t xml:space="preserve">Mean log reduction at frozen storage </t>
  </si>
  <si>
    <t>NoV GI, NoV GII, FCV</t>
  </si>
  <si>
    <t xml:space="preserve">Time, transport </t>
  </si>
  <si>
    <t>https://cargofromchina.com/sea-freight/</t>
  </si>
  <si>
    <t xml:space="preserve">Time, distribution center </t>
  </si>
  <si>
    <t>Time, transport</t>
  </si>
  <si>
    <t xml:space="preserve">Log reduction </t>
  </si>
  <si>
    <t>GC/L</t>
  </si>
  <si>
    <t xml:space="preserve">atRisk function </t>
  </si>
  <si>
    <t xml:space="preserve">output </t>
  </si>
  <si>
    <t>calculation</t>
  </si>
  <si>
    <t>per L</t>
  </si>
  <si>
    <t>Acre/Ha</t>
  </si>
  <si>
    <t xml:space="preserve"> </t>
  </si>
  <si>
    <t>Log reduction, frozen storage after 90 days</t>
  </si>
  <si>
    <t>Log reduction, frozen storage per day</t>
  </si>
  <si>
    <t xml:space="preserve">http://www.dw.com/en/blame-falls-on-strawberries-in-german-mass-food-poisoning/a-16288862-1 </t>
  </si>
  <si>
    <t xml:space="preserve">berries in outbreak were deep frozen </t>
  </si>
  <si>
    <t>Log reduction/day</t>
  </si>
  <si>
    <t>Aw 2009, Kozyra 2011, Laverick 2004, Lee 2008, Lodder 2010, Schets 2008, Skraber 2004, Steyer 2011, Wei 2010, Hamza 2009, Calgua 2013, Kishida 2012</t>
  </si>
  <si>
    <t xml:space="preserve">Probability of illness </t>
  </si>
  <si>
    <t>Teunis 2008</t>
  </si>
  <si>
    <t xml:space="preserve">Number of servings to consider per iteration </t>
  </si>
  <si>
    <t xml:space="preserve">Starting concentration in water </t>
  </si>
  <si>
    <t>Log GC/L</t>
  </si>
  <si>
    <t xml:space="preserve">input (deterministic value) </t>
  </si>
  <si>
    <t xml:space="preserve">User input </t>
  </si>
  <si>
    <t>Butot 2008, Predmore 2011</t>
  </si>
  <si>
    <t>NoV GI, NoV GII, MNV</t>
  </si>
  <si>
    <t>Log number ill</t>
  </si>
  <si>
    <t>Kurdziel 2001 (fresh raspberries - poliovirus, 9 days), Verhaelen 2012, Dawson 2005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</si>
  <si>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</si>
  <si>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</si>
  <si>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</si>
  <si>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</si>
  <si>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</si>
  <si>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</si>
  <si>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</si>
  <si>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</si>
  <si>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</si>
  <si>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</si>
  <si>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</si>
  <si>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</si>
  <si>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</si>
  <si>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</si>
  <si>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</si>
  <si>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</si>
  <si>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</si>
  <si>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</si>
  <si>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</si>
  <si>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</si>
  <si>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</si>
  <si>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</si>
  <si>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</si>
  <si>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</si>
  <si>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</si>
  <si>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</si>
  <si>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</si>
  <si>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</si>
  <si>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</si>
  <si>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</si>
  <si>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</si>
  <si>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</si>
  <si>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</si>
  <si>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</si>
  <si>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</si>
  <si>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</si>
  <si>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</si>
  <si>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</si>
  <si>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</si>
  <si>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</si>
  <si>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</si>
  <si>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</si>
  <si>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</si>
  <si>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</si>
  <si>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</si>
  <si>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</si>
  <si>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</si>
  <si>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</si>
  <si>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</si>
  <si>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</si>
  <si>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</si>
  <si>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</si>
  <si>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</si>
  <si>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</si>
  <si>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</si>
  <si>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</si>
  <si>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</si>
  <si>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</si>
  <si>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</si>
  <si>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</si>
  <si>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</si>
  <si>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</si>
  <si>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</si>
  <si>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</si>
  <si>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</si>
  <si>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</si>
  <si>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</si>
  <si>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</si>
  <si>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</si>
  <si>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</si>
  <si>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</si>
  <si>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</si>
  <si>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</si>
  <si>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1 serving ~ 4 strawberries</t>
  </si>
  <si>
    <t>Number of berry plants per acre</t>
  </si>
  <si>
    <t>Number of berries per plant</t>
  </si>
  <si>
    <t xml:space="preserve">Illnesses </t>
  </si>
  <si>
    <t xml:space="preserve">No units </t>
  </si>
  <si>
    <t>Dose-response r</t>
  </si>
  <si>
    <t>Servings</t>
  </si>
  <si>
    <t>L/berry</t>
  </si>
  <si>
    <t>GC/berry</t>
  </si>
  <si>
    <t xml:space="preserve">GC/berry </t>
  </si>
  <si>
    <t>1 cup ~ 8 berries</t>
  </si>
  <si>
    <t>Plants/acre</t>
  </si>
  <si>
    <t>Berries/plant</t>
  </si>
  <si>
    <t>Log GC/berry</t>
  </si>
  <si>
    <t>Days</t>
  </si>
  <si>
    <t>Log reduction</t>
  </si>
  <si>
    <t>Berries</t>
  </si>
  <si>
    <t xml:space="preserve">Log reduction of NoV in pesticide solution </t>
  </si>
  <si>
    <t>Mean log reduction on contaminated berries</t>
  </si>
  <si>
    <t xml:space="preserve">Log reduction on contaminated berries  </t>
  </si>
  <si>
    <t>Log red difference oncontaminated berries</t>
  </si>
  <si>
    <t>SD log red on contaaminated berries</t>
  </si>
  <si>
    <t>SD log red on contaminated berries</t>
  </si>
  <si>
    <t>Frozen storage at distribution center, -21C</t>
  </si>
  <si>
    <t>Transport, distribution center to catering facility, -21C</t>
  </si>
  <si>
    <t>Dose-resonse η</t>
  </si>
  <si>
    <t xml:space="preserve">Freezing process </t>
  </si>
  <si>
    <t xml:space="preserve">Transportation to processing facility </t>
  </si>
  <si>
    <t xml:space="preserve">Transportation from truck to cargo ship, -21C </t>
  </si>
  <si>
    <t>Transport via cargo ship, -21C</t>
  </si>
  <si>
    <t>Transport to distribution center, -21C</t>
  </si>
  <si>
    <t>Foodservice preparation and consumption</t>
  </si>
  <si>
    <t xml:space="preserve">Serving and dose response </t>
  </si>
  <si>
    <t>concentration after mixing with pesticide</t>
  </si>
  <si>
    <t>Effective concentration per liter, considering pos. and neg. liters</t>
  </si>
  <si>
    <t xml:space="preserve">concentration on berry after pesticide treatment </t>
  </si>
  <si>
    <t xml:space="preserve">Log concentration on berry after pesticide treatment </t>
  </si>
  <si>
    <t xml:space="preserve">concentration on berry at time of delivery </t>
  </si>
  <si>
    <t>concentration on contaminated berries</t>
  </si>
  <si>
    <t>Sanitizing log reduction, 200ppm Chlorine concentration</t>
  </si>
  <si>
    <t>concentration on berry after freezing</t>
  </si>
  <si>
    <t>concentration on berry at port in China</t>
  </si>
  <si>
    <t>concentration on berry at port in Germany</t>
  </si>
  <si>
    <t>concentration on berry upon arrival at distribution center</t>
  </si>
  <si>
    <t>concentration on berry</t>
  </si>
  <si>
    <t>concentration on berry (antilog)</t>
  </si>
  <si>
    <t>concentration (non log)</t>
  </si>
  <si>
    <t xml:space="preserve">concentration per serving </t>
  </si>
  <si>
    <t xml:space="preserve">Prevalence of NoV in surface water </t>
  </si>
  <si>
    <t>Volume of water sprayed per berry</t>
  </si>
  <si>
    <t>Log reduction at 4°C per day</t>
  </si>
  <si>
    <t>Washing log reduction (18°C, cold water)</t>
  </si>
  <si>
    <t xml:space="preserve">Illness per number of servings per iteration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</si>
</sst>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rgb="FF000000"/>
      <name val="Times"/>
      <family val="1"/>
    </font>
    <font>
      <b/>
      <sz val="12"/>
      <color indexed="8"/>
      <name val="Times"/>
      <family val="1"/>
    </font>
    <font>
      <i/>
      <sz val="12"/>
      <color rgb="FF000000"/>
      <name val="Times"/>
      <family val="1"/>
    </font>
    <font>
      <b/>
      <i/>
      <sz val="12"/>
      <color rgb="FF000000"/>
      <name val="Times"/>
      <family val="1"/>
    </font>
    <font>
      <b/>
      <sz val="12"/>
      <color rgb="FF000000"/>
      <name val="Times"/>
      <family val="1"/>
    </font>
    <font>
      <i/>
      <sz val="12"/>
      <color rgb="FFFF0000"/>
      <name val="Times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/>
    </xf>
    <xf numFmtId="0" fontId="17" fillId="0" borderId="0" xfId="0" applyFont="1"/>
    <xf numFmtId="0" fontId="18" fillId="0" borderId="0" xfId="0" applyFont="1"/>
    <xf numFmtId="0" fontId="13" fillId="0" borderId="0" xfId="0" applyFont="1" applyFill="1"/>
    <xf numFmtId="0" fontId="17" fillId="0" borderId="0" xfId="0" applyFont="1" applyFill="1"/>
    <xf numFmtId="0" fontId="0" fillId="0" borderId="0" xfId="0" applyFill="1"/>
    <xf numFmtId="0" fontId="1" fillId="0" borderId="0" xfId="101"/>
    <xf numFmtId="0" fontId="19" fillId="2" borderId="0" xfId="0" applyFont="1" applyFill="1"/>
    <xf numFmtId="0" fontId="0" fillId="4" borderId="0" xfId="0" applyFill="1"/>
    <xf numFmtId="0" fontId="0" fillId="5" borderId="0" xfId="0" applyFill="1"/>
    <xf numFmtId="0" fontId="13" fillId="4" borderId="0" xfId="0" applyFont="1" applyFill="1"/>
    <xf numFmtId="0" fontId="17" fillId="4" borderId="0" xfId="0" applyFont="1" applyFill="1"/>
    <xf numFmtId="0" fontId="14" fillId="4" borderId="0" xfId="0" applyFont="1" applyFill="1"/>
    <xf numFmtId="0" fontId="13" fillId="5" borderId="0" xfId="0" applyFont="1" applyFill="1"/>
    <xf numFmtId="0" fontId="17" fillId="5" borderId="0" xfId="0" applyFont="1" applyFill="1"/>
    <xf numFmtId="0" fontId="15" fillId="3" borderId="0" xfId="0" applyFont="1" applyFill="1"/>
    <xf numFmtId="0" fontId="17" fillId="3" borderId="0" xfId="0" applyFont="1" applyFill="1"/>
    <xf numFmtId="0" fontId="15" fillId="4" borderId="0" xfId="0" applyFont="1" applyFill="1"/>
    <xf numFmtId="0" fontId="13" fillId="3" borderId="0" xfId="0" applyFont="1" applyFill="1"/>
    <xf numFmtId="0" fontId="14" fillId="3" borderId="0" xfId="0" applyFont="1" applyFill="1"/>
    <xf numFmtId="0" fontId="13" fillId="4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/>
    </xf>
    <xf numFmtId="0" fontId="14" fillId="0" borderId="0" xfId="0" applyFont="1" applyFill="1"/>
    <xf numFmtId="0" fontId="15" fillId="0" borderId="0" xfId="0" applyFont="1" applyFill="1"/>
    <xf numFmtId="3" fontId="17" fillId="0" borderId="0" xfId="0" applyNumberFormat="1" applyFo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w.com/en/blame-falls-on-strawberries-in-german-mass-food-poisoning/a-16288862-1" TargetMode="External"/><Relationship Id="rId1" Type="http://schemas.openxmlformats.org/officeDocument/2006/relationships/hyperlink" Target="https://cargofromchina.com/sea-freig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workbookViewId="0">
      <selection activeCell="C32" sqref="C32"/>
    </sheetView>
  </sheetViews>
  <sheetFormatPr baseColWidth="10" defaultColWidth="10.83203125" defaultRowHeight="16" x14ac:dyDescent="0.2"/>
  <cols>
    <col min="6" max="11" width="10.83203125" style="12"/>
  </cols>
  <sheetData>
    <row r="1" spans="1:1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"/>
      <c r="B2" s="3" t="s">
        <v>41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 t="s">
        <v>70</v>
      </c>
      <c r="C3" s="2"/>
      <c r="D3" s="2"/>
      <c r="E3" s="2"/>
      <c r="F3" s="2" t="s">
        <v>71</v>
      </c>
      <c r="G3" s="2" t="s">
        <v>72</v>
      </c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 t="s">
        <v>43</v>
      </c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 t="s">
        <v>69</v>
      </c>
      <c r="C7" s="2"/>
      <c r="D7" s="2"/>
      <c r="E7" s="2"/>
      <c r="F7" s="2" t="s">
        <v>68</v>
      </c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4" t="s">
        <v>42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4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4" t="s">
        <v>52</v>
      </c>
      <c r="C11" s="2"/>
      <c r="D11" s="2"/>
      <c r="E11" s="2"/>
      <c r="F11" s="2" t="s">
        <v>80</v>
      </c>
      <c r="G11" s="2" t="s">
        <v>81</v>
      </c>
      <c r="H11" s="2" t="s">
        <v>82</v>
      </c>
      <c r="I11" s="2" t="s">
        <v>79</v>
      </c>
      <c r="J11" s="2" t="s">
        <v>78</v>
      </c>
      <c r="K11" s="2"/>
    </row>
    <row r="12" spans="1:11" x14ac:dyDescent="0.2">
      <c r="A12" s="2"/>
      <c r="B12" s="4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/>
      <c r="B13" s="4" t="s">
        <v>53</v>
      </c>
      <c r="C13" s="2"/>
      <c r="D13" s="2"/>
      <c r="E13" s="2"/>
      <c r="F13" s="2" t="s">
        <v>79</v>
      </c>
      <c r="G13" s="2" t="s">
        <v>81</v>
      </c>
      <c r="H13" s="2" t="s">
        <v>78</v>
      </c>
      <c r="I13" s="2"/>
      <c r="J13" s="2"/>
      <c r="K13" s="2"/>
    </row>
    <row r="14" spans="1:11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4" t="s">
        <v>30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</row>
    <row r="17" spans="1:15" x14ac:dyDescent="0.2">
      <c r="A17" s="2"/>
      <c r="B17" s="4" t="s">
        <v>31</v>
      </c>
      <c r="C17" s="2"/>
      <c r="D17" s="2"/>
      <c r="E17" s="2"/>
      <c r="F17" s="2" t="s">
        <v>55</v>
      </c>
      <c r="G17" s="2" t="s">
        <v>56</v>
      </c>
      <c r="H17" s="2"/>
      <c r="I17" s="2"/>
      <c r="J17" s="2"/>
      <c r="K17" s="2"/>
    </row>
    <row r="18" spans="1:15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</row>
    <row r="19" spans="1:15" x14ac:dyDescent="0.2">
      <c r="A19" s="2"/>
      <c r="B19" s="4" t="s">
        <v>32</v>
      </c>
      <c r="C19" s="2"/>
      <c r="D19" s="2"/>
      <c r="E19" s="2"/>
      <c r="F19" s="2"/>
      <c r="G19" s="2"/>
      <c r="H19" s="2"/>
      <c r="I19" s="2"/>
      <c r="J19" s="2"/>
      <c r="K19" s="2"/>
    </row>
    <row r="20" spans="1:15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</row>
    <row r="21" spans="1:15" x14ac:dyDescent="0.2">
      <c r="A21" s="2"/>
      <c r="B21" s="4" t="s">
        <v>54</v>
      </c>
      <c r="C21" s="2"/>
      <c r="D21" s="2"/>
      <c r="E21" s="2"/>
      <c r="F21" s="2"/>
      <c r="G21" s="2"/>
      <c r="H21" s="2"/>
      <c r="I21" s="2"/>
      <c r="J21" s="2"/>
      <c r="K21" s="2"/>
    </row>
    <row r="22" spans="1:15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</row>
    <row r="23" spans="1:15" x14ac:dyDescent="0.2">
      <c r="A23" s="2"/>
      <c r="B23" s="4" t="s">
        <v>0</v>
      </c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1"/>
      <c r="N24" s="1"/>
      <c r="O24" s="11"/>
    </row>
    <row r="25" spans="1:15" x14ac:dyDescent="0.2">
      <c r="A25" s="2"/>
      <c r="B25" s="3" t="s">
        <v>44</v>
      </c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A26" s="2"/>
      <c r="B26" s="4" t="s">
        <v>45</v>
      </c>
      <c r="C26" s="2"/>
      <c r="D26" s="2"/>
      <c r="E26" s="2"/>
      <c r="F26" s="2"/>
      <c r="G26" s="2"/>
      <c r="H26" s="2"/>
      <c r="I26" s="2"/>
      <c r="J26" s="2"/>
      <c r="K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5" x14ac:dyDescent="0.2">
      <c r="A28" s="2"/>
      <c r="B28" s="3" t="s">
        <v>64</v>
      </c>
      <c r="C28" s="2"/>
      <c r="D28" s="2"/>
      <c r="E28" s="2"/>
      <c r="F28" s="2"/>
      <c r="G28" s="2"/>
      <c r="H28" s="2"/>
      <c r="I28" s="2"/>
      <c r="J28" s="2"/>
      <c r="K28" s="2"/>
    </row>
    <row r="29" spans="1:15" x14ac:dyDescent="0.2">
      <c r="A29" s="2"/>
      <c r="B29" s="5" t="s">
        <v>46</v>
      </c>
      <c r="C29" s="2"/>
      <c r="D29" s="2"/>
      <c r="E29" s="2"/>
      <c r="F29" s="2" t="s">
        <v>73</v>
      </c>
      <c r="G29" s="2"/>
      <c r="H29" s="2"/>
      <c r="I29" s="4"/>
      <c r="J29" s="4"/>
      <c r="K29" s="4"/>
      <c r="L29" s="8"/>
      <c r="M29" s="8"/>
    </row>
    <row r="30" spans="1:15" x14ac:dyDescent="0.2">
      <c r="A30" s="2"/>
      <c r="B30" s="5"/>
      <c r="C30" s="2"/>
      <c r="D30" s="2"/>
      <c r="E30" s="2"/>
      <c r="F30" s="2" t="s">
        <v>74</v>
      </c>
      <c r="G30" s="2"/>
      <c r="H30" s="2"/>
      <c r="I30" s="4"/>
      <c r="J30" s="4"/>
      <c r="K30" s="4"/>
      <c r="L30" s="8"/>
      <c r="M30" s="8"/>
    </row>
    <row r="31" spans="1:15" x14ac:dyDescent="0.2">
      <c r="A31" s="2"/>
      <c r="B31" s="5" t="s">
        <v>83</v>
      </c>
      <c r="C31" s="2"/>
      <c r="D31" s="2"/>
      <c r="E31" s="2"/>
      <c r="G31" s="2"/>
      <c r="H31" s="2"/>
      <c r="I31" s="4"/>
      <c r="J31" s="4"/>
      <c r="K31" s="4"/>
      <c r="L31" s="4"/>
      <c r="M31" s="8"/>
    </row>
    <row r="32" spans="1:15" x14ac:dyDescent="0.2">
      <c r="A32" s="2"/>
      <c r="B32" s="5"/>
      <c r="C32" s="2"/>
      <c r="D32" s="2"/>
      <c r="E32" s="2"/>
      <c r="F32" s="2"/>
      <c r="G32" s="2"/>
      <c r="H32" s="2"/>
      <c r="I32" s="4"/>
      <c r="J32" s="4"/>
      <c r="K32" s="4"/>
      <c r="L32" s="4"/>
      <c r="M32" s="8"/>
    </row>
    <row r="33" spans="1:13" x14ac:dyDescent="0.2">
      <c r="A33" s="2"/>
      <c r="B33" s="6" t="s">
        <v>47</v>
      </c>
      <c r="C33" s="2"/>
      <c r="D33" s="2"/>
      <c r="E33" s="2"/>
      <c r="H33" s="2"/>
      <c r="I33" s="4"/>
      <c r="J33" s="4"/>
      <c r="K33" s="4"/>
      <c r="L33" s="9"/>
      <c r="M33" s="4"/>
    </row>
    <row r="34" spans="1:13" x14ac:dyDescent="0.2">
      <c r="A34" s="2"/>
      <c r="B34" s="5" t="s">
        <v>1</v>
      </c>
      <c r="C34" s="2"/>
      <c r="D34" s="2"/>
      <c r="E34" s="2"/>
      <c r="F34" s="2" t="s">
        <v>75</v>
      </c>
      <c r="G34" s="2" t="s">
        <v>73</v>
      </c>
      <c r="H34" s="2"/>
      <c r="I34" s="4"/>
      <c r="J34" s="4"/>
      <c r="K34" s="4"/>
      <c r="L34" s="10"/>
      <c r="M34" s="10"/>
    </row>
    <row r="35" spans="1:13" x14ac:dyDescent="0.2">
      <c r="A35" s="2"/>
      <c r="B35" s="5"/>
      <c r="C35" s="2"/>
      <c r="D35" s="2"/>
      <c r="E35" s="2"/>
      <c r="F35" s="2" t="s">
        <v>76</v>
      </c>
      <c r="G35" s="2" t="s">
        <v>84</v>
      </c>
      <c r="H35" s="2"/>
      <c r="I35" s="4"/>
      <c r="J35" s="4"/>
      <c r="K35" s="4"/>
      <c r="L35" s="10"/>
      <c r="M35" s="10"/>
    </row>
    <row r="36" spans="1:13" x14ac:dyDescent="0.2">
      <c r="A36" s="2"/>
      <c r="B36" s="5" t="s">
        <v>2</v>
      </c>
      <c r="C36" s="2"/>
      <c r="D36" s="2"/>
      <c r="E36" s="2"/>
      <c r="F36" s="2"/>
      <c r="G36" s="2"/>
      <c r="H36" s="2"/>
      <c r="I36" s="2"/>
      <c r="J36" s="2"/>
      <c r="K36" s="2"/>
    </row>
    <row r="37" spans="1:13" x14ac:dyDescent="0.2">
      <c r="A37" s="2"/>
      <c r="B37" s="5"/>
      <c r="C37" s="2"/>
      <c r="D37" s="2"/>
      <c r="E37" s="2"/>
      <c r="F37" s="2"/>
      <c r="G37" s="2"/>
      <c r="H37" s="2"/>
      <c r="I37" s="2"/>
      <c r="J37" s="2"/>
      <c r="K37" s="2"/>
    </row>
    <row r="38" spans="1:13" x14ac:dyDescent="0.2">
      <c r="A38" s="2"/>
      <c r="B38" s="5" t="s">
        <v>3</v>
      </c>
      <c r="C38" s="2"/>
      <c r="D38" s="2"/>
      <c r="E38" s="2"/>
      <c r="F38" s="2"/>
      <c r="G38" s="2"/>
      <c r="H38" s="2"/>
      <c r="I38" s="2"/>
      <c r="J38" s="2"/>
      <c r="K38" s="2"/>
    </row>
    <row r="39" spans="1:13" x14ac:dyDescent="0.2">
      <c r="A39" s="2"/>
      <c r="B39" s="5"/>
      <c r="C39" s="2"/>
      <c r="D39" s="2"/>
      <c r="E39" s="2"/>
      <c r="F39" s="2"/>
      <c r="G39" s="2"/>
      <c r="H39" s="2"/>
      <c r="I39" s="2"/>
      <c r="J39" s="2"/>
      <c r="K39" s="2"/>
    </row>
    <row r="40" spans="1:13" x14ac:dyDescent="0.2">
      <c r="A40" s="2"/>
      <c r="B40" s="5" t="s">
        <v>4</v>
      </c>
      <c r="C40" s="2"/>
      <c r="D40" s="2"/>
      <c r="E40" s="2"/>
      <c r="F40" s="2"/>
      <c r="G40" s="2"/>
      <c r="H40" s="2"/>
      <c r="I40" s="2"/>
      <c r="J40" s="2"/>
      <c r="K40" s="2"/>
    </row>
    <row r="41" spans="1:13" x14ac:dyDescent="0.2">
      <c r="A41" s="2"/>
      <c r="B41" s="5"/>
      <c r="C41" s="2"/>
      <c r="D41" s="2"/>
      <c r="E41" s="2"/>
      <c r="F41" s="2"/>
      <c r="G41" s="2"/>
      <c r="H41" s="2"/>
      <c r="I41" s="2"/>
      <c r="J41" s="2"/>
      <c r="K41" s="2"/>
    </row>
    <row r="42" spans="1:13" x14ac:dyDescent="0.2">
      <c r="A42" s="2"/>
      <c r="B42" s="5" t="s">
        <v>35</v>
      </c>
      <c r="C42" s="2"/>
      <c r="D42" s="2"/>
      <c r="E42" s="2"/>
      <c r="F42" s="2"/>
      <c r="G42" s="2"/>
      <c r="H42" s="2"/>
      <c r="I42" s="2"/>
      <c r="J42" s="2"/>
      <c r="K42" s="2"/>
    </row>
    <row r="43" spans="1:13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</row>
    <row r="44" spans="1:13" x14ac:dyDescent="0.2">
      <c r="A44" s="2"/>
      <c r="B44" s="5" t="s">
        <v>5</v>
      </c>
      <c r="C44" s="2"/>
      <c r="D44" s="2"/>
      <c r="E44" s="2"/>
      <c r="F44" s="2"/>
      <c r="G44" s="2"/>
      <c r="H44" s="2"/>
      <c r="I44" s="2"/>
      <c r="J44" s="2"/>
      <c r="K44" s="2"/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3" x14ac:dyDescent="0.2">
      <c r="A46" s="2"/>
      <c r="B46" s="7" t="s">
        <v>6</v>
      </c>
      <c r="C46" s="2"/>
      <c r="D46" s="2"/>
      <c r="E46" s="2"/>
      <c r="F46" s="2"/>
      <c r="G46" s="2"/>
      <c r="H46" s="2"/>
      <c r="I46" s="2"/>
      <c r="J46" s="2"/>
      <c r="K46" s="2"/>
    </row>
    <row r="47" spans="1:13" x14ac:dyDescent="0.2">
      <c r="A47" s="2"/>
      <c r="B47" s="5" t="s">
        <v>7</v>
      </c>
      <c r="C47" s="2"/>
      <c r="D47" s="2"/>
      <c r="E47" s="2"/>
      <c r="F47" s="2"/>
      <c r="G47" s="2"/>
      <c r="H47" s="2"/>
      <c r="I47" s="2"/>
      <c r="J47" s="2"/>
      <c r="K47" s="2"/>
    </row>
    <row r="48" spans="1:13" x14ac:dyDescent="0.2">
      <c r="A48" s="2"/>
      <c r="B48" s="5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5" t="s">
        <v>36</v>
      </c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5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5" t="s">
        <v>39</v>
      </c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5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5" t="s">
        <v>8</v>
      </c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5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5" t="s">
        <v>9</v>
      </c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5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5" t="s">
        <v>10</v>
      </c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6" t="s">
        <v>48</v>
      </c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5" t="s">
        <v>49</v>
      </c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5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5" t="s">
        <v>57</v>
      </c>
      <c r="C62" s="2"/>
      <c r="D62" s="2"/>
      <c r="E62" s="2"/>
      <c r="F62" s="2" t="s">
        <v>58</v>
      </c>
      <c r="G62" s="2" t="s">
        <v>59</v>
      </c>
      <c r="H62" s="2" t="s">
        <v>60</v>
      </c>
      <c r="I62" s="2" t="s">
        <v>61</v>
      </c>
      <c r="J62" s="2" t="s">
        <v>62</v>
      </c>
      <c r="K62" s="2" t="s">
        <v>63</v>
      </c>
    </row>
    <row r="63" spans="1:11" x14ac:dyDescent="0.2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 t="s">
        <v>33</v>
      </c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 t="s">
        <v>34</v>
      </c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 t="s">
        <v>66</v>
      </c>
      <c r="C68" s="2"/>
      <c r="D68" s="2"/>
      <c r="E68" s="2"/>
      <c r="F68" s="2" t="s">
        <v>67</v>
      </c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3" t="s">
        <v>50</v>
      </c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 t="s">
        <v>51</v>
      </c>
      <c r="C71" s="2"/>
      <c r="D71" s="2"/>
      <c r="E71" s="2"/>
      <c r="F71" s="2" t="s">
        <v>65</v>
      </c>
      <c r="G71" s="2" t="s">
        <v>75</v>
      </c>
      <c r="H71" s="2"/>
      <c r="I71" s="2"/>
      <c r="J71" s="2"/>
      <c r="K71" s="2"/>
    </row>
    <row r="72" spans="1:11" x14ac:dyDescent="0.2">
      <c r="A72" s="2"/>
      <c r="B72" s="5"/>
      <c r="C72" s="2"/>
      <c r="D72" s="2"/>
      <c r="E72" s="2"/>
      <c r="F72" s="2"/>
      <c r="G72" s="2" t="s">
        <v>77</v>
      </c>
      <c r="H72" s="2"/>
      <c r="I72" s="2"/>
      <c r="J72" s="2"/>
      <c r="K72" s="2"/>
    </row>
    <row r="73" spans="1:11" x14ac:dyDescent="0.2">
      <c r="A73" s="2"/>
      <c r="B73" s="7" t="s">
        <v>11</v>
      </c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5" t="s">
        <v>12</v>
      </c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5" t="s">
        <v>13</v>
      </c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5" t="s">
        <v>37</v>
      </c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5" t="s">
        <v>38</v>
      </c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5" t="s">
        <v>85</v>
      </c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5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5" t="s">
        <v>14</v>
      </c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5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F86" s="2"/>
      <c r="G86" s="2"/>
      <c r="H86" s="2"/>
      <c r="I86" s="2"/>
      <c r="J86" s="2"/>
      <c r="K86" s="2"/>
    </row>
    <row r="87" spans="1:11" x14ac:dyDescent="0.2">
      <c r="F87" s="2"/>
      <c r="G87" s="2"/>
      <c r="H87" s="2"/>
      <c r="I87" s="2"/>
      <c r="J87" s="2"/>
      <c r="K87" s="2"/>
    </row>
    <row r="88" spans="1:11" x14ac:dyDescent="0.2">
      <c r="F88" s="2"/>
      <c r="G88" s="2"/>
      <c r="H88" s="2"/>
      <c r="I88" s="2"/>
      <c r="J88" s="2"/>
      <c r="K88" s="2"/>
    </row>
    <row r="89" spans="1:11" x14ac:dyDescent="0.2">
      <c r="F89" s="2"/>
      <c r="G89" s="2"/>
      <c r="H89" s="2"/>
      <c r="I89" s="2"/>
      <c r="J89" s="2"/>
      <c r="K89" s="2"/>
    </row>
    <row r="90" spans="1:11" x14ac:dyDescent="0.2">
      <c r="F90" s="2"/>
      <c r="G90" s="2"/>
      <c r="H90" s="2"/>
      <c r="I90" s="2"/>
      <c r="J90" s="2"/>
      <c r="K90" s="2"/>
    </row>
    <row r="91" spans="1:11" x14ac:dyDescent="0.2">
      <c r="F91" s="2"/>
      <c r="G91" s="2"/>
      <c r="H91" s="2"/>
      <c r="I91" s="2"/>
      <c r="J91" s="2"/>
      <c r="K91" s="2"/>
    </row>
    <row r="92" spans="1:11" x14ac:dyDescent="0.2">
      <c r="F92" s="2"/>
      <c r="G92" s="2"/>
      <c r="H92" s="2"/>
      <c r="I92" s="2"/>
      <c r="J92" s="2"/>
      <c r="K92" s="2"/>
    </row>
    <row r="93" spans="1:11" x14ac:dyDescent="0.2">
      <c r="F93" s="2"/>
      <c r="G93" s="2"/>
      <c r="H93" s="2"/>
      <c r="I93" s="2"/>
      <c r="J93" s="2"/>
      <c r="K93" s="2"/>
    </row>
    <row r="94" spans="1:11" x14ac:dyDescent="0.2">
      <c r="F94" s="2"/>
      <c r="G94" s="2"/>
      <c r="H94" s="2"/>
      <c r="I94" s="2"/>
      <c r="J94" s="2"/>
      <c r="K94" s="2"/>
    </row>
    <row r="95" spans="1:11" x14ac:dyDescent="0.2">
      <c r="F95" s="2"/>
      <c r="G95" s="2"/>
      <c r="H95" s="2"/>
      <c r="I95" s="2"/>
      <c r="J95" s="2"/>
      <c r="K95" s="2"/>
    </row>
    <row r="96" spans="1:11" x14ac:dyDescent="0.2">
      <c r="F96" s="2"/>
      <c r="G96" s="2"/>
      <c r="H96" s="2"/>
      <c r="I96" s="2"/>
      <c r="J96" s="2"/>
      <c r="K96" s="2"/>
    </row>
    <row r="97" spans="6:11" x14ac:dyDescent="0.2">
      <c r="F97" s="2"/>
      <c r="G97" s="2"/>
      <c r="H97" s="2"/>
      <c r="I97" s="2"/>
      <c r="J97" s="2"/>
      <c r="K97" s="2"/>
    </row>
    <row r="98" spans="6:11" x14ac:dyDescent="0.2">
      <c r="F98" s="2"/>
      <c r="G98" s="2"/>
      <c r="H98" s="2"/>
      <c r="I98" s="2"/>
      <c r="J98" s="2"/>
      <c r="K98" s="2"/>
    </row>
    <row r="99" spans="6:11" x14ac:dyDescent="0.2">
      <c r="F99" s="2"/>
      <c r="G99" s="2"/>
      <c r="H99" s="2"/>
      <c r="I99" s="2"/>
      <c r="J99" s="2"/>
      <c r="K99" s="2"/>
    </row>
    <row r="100" spans="6:11" x14ac:dyDescent="0.2">
      <c r="F100" s="2"/>
      <c r="G100" s="2"/>
      <c r="H100" s="2"/>
      <c r="I100" s="2"/>
      <c r="J100" s="2"/>
      <c r="K100" s="2"/>
    </row>
    <row r="101" spans="6:11" x14ac:dyDescent="0.2">
      <c r="F101" s="2"/>
      <c r="G101" s="2"/>
      <c r="H101" s="2"/>
      <c r="I101" s="2"/>
      <c r="J101" s="2"/>
      <c r="K101" s="2"/>
    </row>
    <row r="102" spans="6:11" x14ac:dyDescent="0.2">
      <c r="F102" s="2"/>
      <c r="G102" s="2"/>
      <c r="H102" s="2"/>
      <c r="I102" s="2"/>
      <c r="J102" s="2"/>
      <c r="K102" s="2"/>
    </row>
    <row r="103" spans="6:11" x14ac:dyDescent="0.2">
      <c r="F103" s="2"/>
      <c r="G103" s="2"/>
      <c r="H103" s="2"/>
      <c r="I103" s="2"/>
      <c r="J103" s="2"/>
      <c r="K103" s="2"/>
    </row>
    <row r="104" spans="6:11" x14ac:dyDescent="0.2">
      <c r="F104" s="2"/>
      <c r="G104" s="2"/>
      <c r="H104" s="2"/>
      <c r="I104" s="2"/>
      <c r="J104" s="2"/>
      <c r="K104" s="2"/>
    </row>
    <row r="105" spans="6:11" x14ac:dyDescent="0.2">
      <c r="F105" s="2"/>
      <c r="G105" s="2"/>
      <c r="H105" s="2"/>
      <c r="I105" s="2"/>
      <c r="J105" s="2"/>
      <c r="K105" s="2"/>
    </row>
    <row r="106" spans="6:11" x14ac:dyDescent="0.2">
      <c r="F106" s="2"/>
      <c r="G106" s="2"/>
      <c r="H106" s="2"/>
      <c r="I106" s="2"/>
      <c r="J106" s="2"/>
      <c r="K106" s="2"/>
    </row>
    <row r="107" spans="6:11" x14ac:dyDescent="0.2">
      <c r="F107" s="2"/>
      <c r="G107" s="2"/>
      <c r="H107" s="2"/>
      <c r="I107" s="2"/>
      <c r="J107" s="2"/>
      <c r="K107" s="2"/>
    </row>
    <row r="108" spans="6:11" x14ac:dyDescent="0.2">
      <c r="F108" s="2"/>
      <c r="G108" s="2"/>
      <c r="H108" s="2"/>
      <c r="I108" s="2"/>
      <c r="J108" s="2"/>
      <c r="K108" s="2"/>
    </row>
    <row r="109" spans="6:11" x14ac:dyDescent="0.2">
      <c r="F109" s="2"/>
      <c r="G109" s="2"/>
      <c r="H109" s="2"/>
      <c r="I109" s="2"/>
      <c r="J109" s="2"/>
      <c r="K109" s="2"/>
    </row>
    <row r="110" spans="6:11" x14ac:dyDescent="0.2">
      <c r="F110" s="2"/>
      <c r="G110" s="2"/>
      <c r="H110" s="2"/>
      <c r="I110" s="2"/>
      <c r="J110" s="2"/>
      <c r="K110" s="2"/>
    </row>
    <row r="111" spans="6:11" x14ac:dyDescent="0.2">
      <c r="F111" s="2"/>
      <c r="G111" s="2"/>
      <c r="H111" s="2"/>
      <c r="I111" s="2"/>
      <c r="J111" s="2"/>
      <c r="K111" s="2"/>
    </row>
    <row r="112" spans="6:11" x14ac:dyDescent="0.2">
      <c r="F112" s="2"/>
      <c r="G112" s="2"/>
      <c r="H112" s="2"/>
      <c r="I112" s="2"/>
      <c r="J112" s="2"/>
      <c r="K112" s="2"/>
    </row>
    <row r="113" spans="1:11" x14ac:dyDescent="0.2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sqref="A1:E27"/>
    </sheetView>
  </sheetViews>
  <sheetFormatPr baseColWidth="10" defaultColWidth="10.83203125" defaultRowHeight="16" x14ac:dyDescent="0.2"/>
  <sheetData>
    <row r="1" spans="1:5" x14ac:dyDescent="0.2">
      <c r="A1" s="2"/>
      <c r="B1" s="7" t="s">
        <v>15</v>
      </c>
      <c r="C1" s="2"/>
      <c r="D1" s="2"/>
      <c r="E1" s="2"/>
    </row>
    <row r="2" spans="1:5" x14ac:dyDescent="0.2">
      <c r="A2" s="2"/>
      <c r="B2" s="5" t="s">
        <v>16</v>
      </c>
      <c r="C2" s="2"/>
      <c r="D2" s="2"/>
      <c r="E2" s="2"/>
    </row>
    <row r="3" spans="1:5" x14ac:dyDescent="0.2">
      <c r="A3" s="2"/>
      <c r="B3" s="5"/>
      <c r="C3" s="2"/>
      <c r="D3" s="2"/>
      <c r="E3" s="2"/>
    </row>
    <row r="4" spans="1:5" x14ac:dyDescent="0.2">
      <c r="A4" s="2"/>
      <c r="B4" s="5" t="s">
        <v>17</v>
      </c>
      <c r="C4" s="2"/>
      <c r="D4" s="2"/>
      <c r="E4" s="2"/>
    </row>
    <row r="5" spans="1:5" x14ac:dyDescent="0.2">
      <c r="A5" s="2"/>
      <c r="B5" s="5"/>
      <c r="C5" s="2"/>
      <c r="D5" s="2"/>
      <c r="E5" s="2"/>
    </row>
    <row r="6" spans="1:5" x14ac:dyDescent="0.2">
      <c r="A6" s="2"/>
      <c r="B6" s="5" t="s">
        <v>18</v>
      </c>
      <c r="C6" s="2"/>
      <c r="D6" s="2"/>
      <c r="E6" s="2"/>
    </row>
    <row r="7" spans="1:5" x14ac:dyDescent="0.2">
      <c r="A7" s="2"/>
      <c r="B7" s="5"/>
      <c r="C7" s="2"/>
      <c r="D7" s="2"/>
      <c r="E7" s="2"/>
    </row>
    <row r="8" spans="1:5" x14ac:dyDescent="0.2">
      <c r="A8" s="2"/>
      <c r="B8" s="5" t="s">
        <v>19</v>
      </c>
      <c r="C8" s="2"/>
      <c r="D8" s="2"/>
      <c r="E8" s="2"/>
    </row>
    <row r="9" spans="1:5" x14ac:dyDescent="0.2">
      <c r="A9" s="2"/>
      <c r="B9" s="5"/>
      <c r="C9" s="2"/>
      <c r="D9" s="2"/>
      <c r="E9" s="2"/>
    </row>
    <row r="10" spans="1:5" x14ac:dyDescent="0.2">
      <c r="A10" s="2"/>
      <c r="B10" s="5" t="s">
        <v>20</v>
      </c>
      <c r="C10" s="2"/>
      <c r="D10" s="2"/>
      <c r="E10" s="2"/>
    </row>
    <row r="11" spans="1:5" x14ac:dyDescent="0.2">
      <c r="A11" s="2"/>
      <c r="B11" s="5"/>
      <c r="C11" s="2"/>
      <c r="D11" s="2"/>
      <c r="E11" s="2"/>
    </row>
    <row r="12" spans="1:5" x14ac:dyDescent="0.2">
      <c r="A12" s="2"/>
      <c r="B12" s="5" t="s">
        <v>21</v>
      </c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7" t="s">
        <v>22</v>
      </c>
      <c r="C14" s="2"/>
      <c r="D14" s="2"/>
      <c r="E14" s="2"/>
    </row>
    <row r="15" spans="1:5" x14ac:dyDescent="0.2">
      <c r="A15" s="2"/>
      <c r="B15" s="5" t="s">
        <v>23</v>
      </c>
      <c r="C15" s="2"/>
      <c r="D15" s="2"/>
      <c r="E15" s="2"/>
    </row>
    <row r="16" spans="1:5" x14ac:dyDescent="0.2">
      <c r="A16" s="2"/>
      <c r="B16" s="5"/>
      <c r="C16" s="2"/>
      <c r="D16" s="2"/>
      <c r="E16" s="2"/>
    </row>
    <row r="17" spans="1:5" x14ac:dyDescent="0.2">
      <c r="A17" s="2"/>
      <c r="B17" s="5" t="s">
        <v>24</v>
      </c>
      <c r="C17" s="2"/>
      <c r="D17" s="2"/>
      <c r="E17" s="2"/>
    </row>
    <row r="18" spans="1:5" x14ac:dyDescent="0.2">
      <c r="A18" s="2"/>
      <c r="B18" s="5"/>
      <c r="C18" s="2"/>
      <c r="D18" s="2"/>
      <c r="E18" s="2"/>
    </row>
    <row r="19" spans="1:5" x14ac:dyDescent="0.2">
      <c r="A19" s="2"/>
      <c r="B19" s="5" t="s">
        <v>25</v>
      </c>
      <c r="C19" s="2"/>
      <c r="D19" s="2"/>
      <c r="E19" s="2"/>
    </row>
    <row r="20" spans="1:5" x14ac:dyDescent="0.2">
      <c r="A20" s="2"/>
      <c r="B20" s="5"/>
      <c r="C20" s="2"/>
      <c r="D20" s="2"/>
      <c r="E20" s="2"/>
    </row>
    <row r="21" spans="1:5" x14ac:dyDescent="0.2">
      <c r="A21" s="2"/>
      <c r="B21" s="5" t="s">
        <v>26</v>
      </c>
      <c r="C21" s="2"/>
      <c r="D21" s="2"/>
      <c r="E21" s="2"/>
    </row>
    <row r="22" spans="1:5" x14ac:dyDescent="0.2">
      <c r="A22" s="2"/>
      <c r="B22" s="5"/>
      <c r="C22" s="2"/>
      <c r="D22" s="2"/>
      <c r="E22" s="2"/>
    </row>
    <row r="23" spans="1:5" x14ac:dyDescent="0.2">
      <c r="A23" s="2"/>
      <c r="B23" s="5" t="s">
        <v>27</v>
      </c>
      <c r="C23" s="2"/>
      <c r="D23" s="2"/>
      <c r="E23" s="2"/>
    </row>
    <row r="24" spans="1:5" x14ac:dyDescent="0.2">
      <c r="A24" s="2"/>
      <c r="B24" s="5"/>
      <c r="C24" s="2"/>
      <c r="D24" s="2"/>
      <c r="E24" s="2"/>
    </row>
    <row r="25" spans="1:5" x14ac:dyDescent="0.2">
      <c r="A25" s="2"/>
      <c r="B25" s="5" t="s">
        <v>28</v>
      </c>
      <c r="C25" s="2"/>
      <c r="D25" s="2"/>
      <c r="E25" s="2"/>
    </row>
    <row r="26" spans="1:5" x14ac:dyDescent="0.2">
      <c r="A26" s="2"/>
      <c r="B26" s="5"/>
      <c r="C26" s="2"/>
      <c r="D26" s="2"/>
      <c r="E26" s="2"/>
    </row>
    <row r="27" spans="1:5" x14ac:dyDescent="0.2">
      <c r="A27" s="2"/>
      <c r="B27" s="5" t="s">
        <v>29</v>
      </c>
      <c r="C27" s="2"/>
      <c r="D27" s="2"/>
      <c r="E27" s="2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6"/>
  <sheetViews>
    <sheetView tabSelected="1" zoomScale="200" zoomScaleNormal="200" workbookViewId="0"/>
  </sheetViews>
  <sheetFormatPr baseColWidth="10" defaultColWidth="8.83203125" defaultRowHeight="16" x14ac:dyDescent="0.2"/>
  <cols>
    <col min="2" max="2" width="51.6640625" style="14" bestFit="1" customWidth="1"/>
    <col min="3" max="3" width="13" style="14" hidden="1" customWidth="1"/>
    <col min="4" max="4" width="17.6640625" style="20" customWidth="1"/>
    <col min="5" max="5" width="16.6640625" style="14" customWidth="1"/>
    <col min="6" max="6" width="9" style="14" customWidth="1"/>
    <col min="7" max="7" width="19.1640625" style="14" customWidth="1"/>
    <col min="8" max="8" width="12.1640625" style="14" bestFit="1" customWidth="1"/>
    <col min="9" max="9" width="8.83203125" style="14"/>
    <col min="10" max="10" width="11.1640625" style="14" bestFit="1" customWidth="1"/>
    <col min="11" max="16" width="8.83203125" style="14"/>
  </cols>
  <sheetData>
    <row r="1" spans="1:16" x14ac:dyDescent="0.2">
      <c r="A1" s="13"/>
      <c r="B1" s="15" t="s">
        <v>86</v>
      </c>
      <c r="C1" s="15" t="s">
        <v>90</v>
      </c>
      <c r="D1" s="20" t="s">
        <v>89</v>
      </c>
      <c r="E1" s="15" t="s">
        <v>87</v>
      </c>
      <c r="F1" s="15" t="s">
        <v>88</v>
      </c>
      <c r="G1" s="15" t="s">
        <v>102</v>
      </c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A2" t="s">
        <v>148</v>
      </c>
      <c r="B2" s="41" t="s">
        <v>41</v>
      </c>
      <c r="C2" s="15"/>
      <c r="L2" s="26"/>
      <c r="M2" t="s">
        <v>142</v>
      </c>
    </row>
    <row r="3" spans="1:16" x14ac:dyDescent="0.2">
      <c r="A3" t="s">
        <v>149</v>
      </c>
      <c r="B3" s="29" t="s">
        <v>140</v>
      </c>
      <c r="C3" s="29" t="s">
        <v>98</v>
      </c>
      <c r="D3" s="31" t="e">
        <f ca="1">_xll.RiskUniform(1.2721,4.8428,_xll.RiskName("Mean concentration 4"))</f>
        <v>#NAME?</v>
      </c>
      <c r="E3" s="29" t="s">
        <v>141</v>
      </c>
      <c r="F3" s="14" t="s">
        <v>100</v>
      </c>
      <c r="G3" s="14" t="s">
        <v>103</v>
      </c>
      <c r="L3" s="27"/>
      <c r="M3" t="s">
        <v>125</v>
      </c>
    </row>
    <row r="4" spans="1:16" x14ac:dyDescent="0.2">
      <c r="A4" t="s">
        <v>150</v>
      </c>
      <c r="B4" s="29" t="s">
        <v>238</v>
      </c>
      <c r="C4" s="29"/>
      <c r="D4" s="31" t="e">
        <f ca="1">_xll.RiskLognorm(0.34575,0.5552,_xll.RiskShift(-0.21468),_xll.RiskName("Pesticide log reduction"))</f>
        <v>#NAME?</v>
      </c>
      <c r="E4" s="29" t="s">
        <v>141</v>
      </c>
      <c r="F4" s="14" t="s">
        <v>79</v>
      </c>
      <c r="G4" s="14" t="s">
        <v>103</v>
      </c>
      <c r="H4" s="14" t="s">
        <v>112</v>
      </c>
      <c r="L4" s="28"/>
      <c r="M4" t="s">
        <v>126</v>
      </c>
    </row>
    <row r="5" spans="1:16" x14ac:dyDescent="0.2">
      <c r="A5" s="24" t="s">
        <v>151</v>
      </c>
      <c r="B5" s="22" t="s">
        <v>254</v>
      </c>
      <c r="C5" s="22"/>
      <c r="D5" s="23" t="e">
        <f ca="1">D3-D4</f>
        <v>#NAME?</v>
      </c>
      <c r="E5" s="22" t="s">
        <v>141</v>
      </c>
      <c r="F5" s="18" t="s">
        <v>99</v>
      </c>
      <c r="G5" s="22"/>
      <c r="H5" s="22"/>
      <c r="I5" s="22"/>
      <c r="J5" s="22"/>
      <c r="K5" s="22"/>
      <c r="L5" s="24"/>
      <c r="M5" s="24" t="s">
        <v>127</v>
      </c>
      <c r="N5" s="22"/>
      <c r="O5" s="22"/>
      <c r="P5" s="22"/>
    </row>
    <row r="6" spans="1:16" x14ac:dyDescent="0.2">
      <c r="A6" s="24" t="s">
        <v>152</v>
      </c>
      <c r="B6" s="22" t="s">
        <v>254</v>
      </c>
      <c r="C6" s="22"/>
      <c r="D6" s="23" t="e">
        <f ca="1">10^D5</f>
        <v>#NAME?</v>
      </c>
      <c r="E6" s="22" t="s">
        <v>124</v>
      </c>
      <c r="F6" s="18" t="s">
        <v>99</v>
      </c>
      <c r="G6" s="22"/>
      <c r="H6" s="22"/>
      <c r="I6" s="22"/>
      <c r="J6" s="22"/>
      <c r="K6" s="22"/>
      <c r="L6" s="24"/>
      <c r="M6" s="24"/>
      <c r="N6" s="22"/>
      <c r="O6" s="22"/>
      <c r="P6" s="22"/>
    </row>
    <row r="7" spans="1:16" x14ac:dyDescent="0.2">
      <c r="A7" t="s">
        <v>153</v>
      </c>
      <c r="B7" s="36" t="s">
        <v>269</v>
      </c>
      <c r="C7" s="36"/>
      <c r="D7" s="31" t="e">
        <f ca="1">_xll.RiskTriang(0.12,0.12,0.95301,_xll.RiskName("Prevalence in surface water 2"))</f>
        <v>#NAME?</v>
      </c>
      <c r="E7" s="36" t="s">
        <v>128</v>
      </c>
      <c r="F7" s="18" t="s">
        <v>136</v>
      </c>
      <c r="G7" s="18"/>
      <c r="H7" s="18"/>
      <c r="I7" s="18"/>
      <c r="J7" s="18"/>
      <c r="K7" s="18"/>
      <c r="L7" s="21"/>
      <c r="M7" s="21"/>
      <c r="N7" s="21"/>
      <c r="O7" s="21"/>
      <c r="P7" s="21"/>
    </row>
    <row r="8" spans="1:16" x14ac:dyDescent="0.2">
      <c r="A8" t="s">
        <v>154</v>
      </c>
      <c r="B8" s="34" t="s">
        <v>114</v>
      </c>
      <c r="C8" s="34"/>
      <c r="D8" s="35">
        <v>200</v>
      </c>
      <c r="E8" s="34" t="s">
        <v>110</v>
      </c>
      <c r="F8" s="18" t="s">
        <v>94</v>
      </c>
      <c r="G8" s="14" t="s">
        <v>93</v>
      </c>
      <c r="H8" s="14" t="s">
        <v>91</v>
      </c>
      <c r="I8" s="18"/>
      <c r="J8" s="18"/>
      <c r="K8" s="18"/>
      <c r="L8" s="21"/>
      <c r="M8" s="21"/>
      <c r="N8" s="21"/>
      <c r="O8" s="21"/>
      <c r="P8" s="21"/>
    </row>
    <row r="9" spans="1:16" x14ac:dyDescent="0.2">
      <c r="A9" t="s">
        <v>155</v>
      </c>
      <c r="B9" s="36" t="s">
        <v>113</v>
      </c>
      <c r="C9" s="36"/>
      <c r="D9" s="30" t="e">
        <f ca="1">_xll.RiskBinomial(D8,D7)</f>
        <v>#NAME?</v>
      </c>
      <c r="E9" s="36" t="s">
        <v>110</v>
      </c>
      <c r="F9" s="18" t="s">
        <v>99</v>
      </c>
      <c r="G9" s="18"/>
      <c r="H9" s="18"/>
      <c r="I9" s="18"/>
      <c r="J9" s="18"/>
      <c r="K9" s="18"/>
      <c r="L9" s="21"/>
      <c r="M9" s="21"/>
      <c r="N9" s="21"/>
      <c r="O9" s="21"/>
      <c r="P9" s="21"/>
    </row>
    <row r="10" spans="1:16" x14ac:dyDescent="0.2">
      <c r="A10" t="s">
        <v>156</v>
      </c>
      <c r="B10" s="32" t="s">
        <v>255</v>
      </c>
      <c r="C10" s="32"/>
      <c r="D10" s="33" t="e">
        <f ca="1">_xll.RiskOutput()+D6*D9/D8</f>
        <v>#NAME?</v>
      </c>
      <c r="E10" s="32" t="s">
        <v>124</v>
      </c>
      <c r="F10" s="14" t="s">
        <v>99</v>
      </c>
    </row>
    <row r="11" spans="1:16" x14ac:dyDescent="0.2">
      <c r="A11" s="24" t="s">
        <v>157</v>
      </c>
      <c r="B11" s="37" t="s">
        <v>95</v>
      </c>
      <c r="C11" s="37"/>
      <c r="D11" s="35">
        <v>2.47105</v>
      </c>
      <c r="E11" s="37" t="s">
        <v>129</v>
      </c>
      <c r="F11" s="14" t="s">
        <v>94</v>
      </c>
    </row>
    <row r="12" spans="1:16" x14ac:dyDescent="0.2">
      <c r="A12" s="24" t="s">
        <v>158</v>
      </c>
      <c r="B12" s="37" t="s">
        <v>222</v>
      </c>
      <c r="C12" s="37" t="s">
        <v>96</v>
      </c>
      <c r="D12" s="35">
        <f>ROUND((9113.22222),0)</f>
        <v>9113</v>
      </c>
      <c r="E12" s="37" t="s">
        <v>232</v>
      </c>
      <c r="F12" s="14" t="s">
        <v>94</v>
      </c>
      <c r="G12" s="14" t="s">
        <v>92</v>
      </c>
    </row>
    <row r="13" spans="1:16" x14ac:dyDescent="0.2">
      <c r="A13" t="s">
        <v>159</v>
      </c>
      <c r="B13" s="37" t="s">
        <v>223</v>
      </c>
      <c r="C13" s="37" t="s">
        <v>97</v>
      </c>
      <c r="D13" s="35">
        <v>10</v>
      </c>
      <c r="E13" s="37" t="s">
        <v>233</v>
      </c>
      <c r="F13" s="14" t="s">
        <v>94</v>
      </c>
    </row>
    <row r="14" spans="1:16" x14ac:dyDescent="0.2">
      <c r="A14" t="s">
        <v>160</v>
      </c>
      <c r="B14" s="14" t="s">
        <v>111</v>
      </c>
      <c r="D14" s="20">
        <f>D8/(D11*D12)</f>
        <v>8.8815157900039576E-3</v>
      </c>
      <c r="E14" s="14" t="s">
        <v>105</v>
      </c>
      <c r="F14" s="14" t="s">
        <v>99</v>
      </c>
    </row>
    <row r="15" spans="1:16" x14ac:dyDescent="0.2">
      <c r="A15" t="s">
        <v>161</v>
      </c>
      <c r="B15" s="14" t="s">
        <v>270</v>
      </c>
      <c r="D15" s="20">
        <f>D14/D13</f>
        <v>8.8815157900039581E-4</v>
      </c>
      <c r="E15" s="14" t="s">
        <v>228</v>
      </c>
      <c r="F15" s="14" t="s">
        <v>99</v>
      </c>
      <c r="G15" s="14" t="s">
        <v>130</v>
      </c>
    </row>
    <row r="16" spans="1:16" x14ac:dyDescent="0.2">
      <c r="A16" t="s">
        <v>162</v>
      </c>
      <c r="B16" s="14" t="s">
        <v>256</v>
      </c>
      <c r="D16" s="20" t="e">
        <f ca="1">D10*D15</f>
        <v>#NAME?</v>
      </c>
      <c r="E16" s="14" t="s">
        <v>229</v>
      </c>
      <c r="F16" s="14" t="s">
        <v>99</v>
      </c>
      <c r="G16" s="14" t="s">
        <v>130</v>
      </c>
    </row>
    <row r="17" spans="1:16" x14ac:dyDescent="0.2">
      <c r="A17" s="24" t="s">
        <v>163</v>
      </c>
      <c r="B17" s="14" t="s">
        <v>257</v>
      </c>
      <c r="D17" s="20" t="e">
        <f ca="1">LOG(D16)</f>
        <v>#NAME?</v>
      </c>
      <c r="E17" s="14" t="s">
        <v>234</v>
      </c>
      <c r="F17" s="14" t="s">
        <v>99</v>
      </c>
      <c r="G17" s="14" t="s">
        <v>130</v>
      </c>
    </row>
    <row r="18" spans="1:16" x14ac:dyDescent="0.2">
      <c r="A18" s="24" t="s">
        <v>164</v>
      </c>
      <c r="B18" s="41" t="s">
        <v>248</v>
      </c>
      <c r="C18" s="15"/>
      <c r="G18" s="14" t="s">
        <v>130</v>
      </c>
    </row>
    <row r="19" spans="1:16" x14ac:dyDescent="0.2">
      <c r="A19" t="s">
        <v>165</v>
      </c>
      <c r="B19" s="37" t="s">
        <v>106</v>
      </c>
      <c r="C19" s="37"/>
      <c r="D19" s="35">
        <v>4</v>
      </c>
      <c r="E19" s="37" t="s">
        <v>108</v>
      </c>
      <c r="F19" s="14" t="s">
        <v>101</v>
      </c>
      <c r="G19" s="14" t="s">
        <v>130</v>
      </c>
    </row>
    <row r="20" spans="1:16" x14ac:dyDescent="0.2">
      <c r="A20" t="s">
        <v>166</v>
      </c>
      <c r="B20" s="37" t="s">
        <v>107</v>
      </c>
      <c r="C20" s="38"/>
      <c r="D20" s="35">
        <v>1</v>
      </c>
      <c r="E20" s="37" t="s">
        <v>235</v>
      </c>
      <c r="F20" s="14" t="s">
        <v>101</v>
      </c>
      <c r="G20" s="14" t="s">
        <v>130</v>
      </c>
    </row>
    <row r="21" spans="1:16" x14ac:dyDescent="0.2">
      <c r="A21" t="s">
        <v>167</v>
      </c>
      <c r="B21" s="18" t="s">
        <v>271</v>
      </c>
      <c r="C21" s="18"/>
      <c r="D21" s="20">
        <v>0</v>
      </c>
      <c r="E21" s="18" t="s">
        <v>135</v>
      </c>
      <c r="F21" s="14" t="s">
        <v>147</v>
      </c>
      <c r="G21" s="14" t="s">
        <v>104</v>
      </c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">
      <c r="A22" t="s">
        <v>168</v>
      </c>
      <c r="B22" s="18" t="s">
        <v>115</v>
      </c>
      <c r="D22" s="20">
        <f>D20*D21</f>
        <v>0</v>
      </c>
      <c r="E22" s="18" t="s">
        <v>236</v>
      </c>
      <c r="F22" s="18" t="s">
        <v>99</v>
      </c>
    </row>
    <row r="23" spans="1:16" x14ac:dyDescent="0.2">
      <c r="A23" s="24" t="s">
        <v>169</v>
      </c>
      <c r="B23" s="14" t="s">
        <v>258</v>
      </c>
      <c r="D23" s="20" t="e">
        <f ca="1">D17-D22</f>
        <v>#NAME?</v>
      </c>
      <c r="E23" s="14" t="s">
        <v>234</v>
      </c>
      <c r="F23" s="18" t="s">
        <v>99</v>
      </c>
    </row>
    <row r="24" spans="1:16" x14ac:dyDescent="0.2">
      <c r="A24" s="24" t="s">
        <v>170</v>
      </c>
      <c r="B24" s="41" t="s">
        <v>272</v>
      </c>
      <c r="C24" s="15"/>
    </row>
    <row r="25" spans="1:16" x14ac:dyDescent="0.2">
      <c r="A25" t="s">
        <v>171</v>
      </c>
      <c r="B25" s="40" t="s">
        <v>239</v>
      </c>
      <c r="C25" s="40"/>
      <c r="D25" s="38">
        <v>0.66666666666666663</v>
      </c>
      <c r="E25" s="37"/>
      <c r="F25" s="14" t="s">
        <v>65</v>
      </c>
      <c r="G25" s="14" t="s">
        <v>103</v>
      </c>
    </row>
    <row r="26" spans="1:16" x14ac:dyDescent="0.2">
      <c r="A26" t="s">
        <v>172</v>
      </c>
      <c r="B26" s="40" t="s">
        <v>243</v>
      </c>
      <c r="C26" s="40"/>
      <c r="D26" s="35">
        <v>0.33166666666666667</v>
      </c>
      <c r="E26" s="37"/>
      <c r="F26" s="14" t="s">
        <v>65</v>
      </c>
      <c r="G26" s="14" t="s">
        <v>103</v>
      </c>
    </row>
    <row r="27" spans="1:16" x14ac:dyDescent="0.2">
      <c r="A27" t="s">
        <v>173</v>
      </c>
      <c r="B27" s="39" t="s">
        <v>240</v>
      </c>
      <c r="C27" s="39"/>
      <c r="D27" s="30" t="e">
        <f ca="1">_xll.RiskNormal(D25,D26)</f>
        <v>#NAME?</v>
      </c>
      <c r="E27" s="29" t="s">
        <v>234</v>
      </c>
      <c r="F27" s="18" t="s">
        <v>99</v>
      </c>
    </row>
    <row r="28" spans="1:16" x14ac:dyDescent="0.2">
      <c r="A28" t="s">
        <v>174</v>
      </c>
      <c r="B28" s="16" t="s">
        <v>259</v>
      </c>
      <c r="C28" s="16"/>
      <c r="D28" s="20" t="e">
        <f ca="1">D23-D27</f>
        <v>#NAME?</v>
      </c>
      <c r="E28" s="14" t="s">
        <v>234</v>
      </c>
      <c r="F28" s="14" t="s">
        <v>109</v>
      </c>
    </row>
    <row r="29" spans="1:16" x14ac:dyDescent="0.2">
      <c r="A29" s="24" t="s">
        <v>175</v>
      </c>
      <c r="B29" s="42" t="s">
        <v>260</v>
      </c>
      <c r="C29" s="17"/>
    </row>
    <row r="30" spans="1:16" x14ac:dyDescent="0.2">
      <c r="A30" s="24" t="s">
        <v>176</v>
      </c>
      <c r="B30" s="40" t="s">
        <v>239</v>
      </c>
      <c r="C30" s="40"/>
      <c r="D30" s="38">
        <v>1.35</v>
      </c>
      <c r="E30" s="37"/>
      <c r="F30" s="14" t="s">
        <v>144</v>
      </c>
      <c r="G30" s="14" t="s">
        <v>145</v>
      </c>
    </row>
    <row r="31" spans="1:16" x14ac:dyDescent="0.2">
      <c r="A31" t="s">
        <v>177</v>
      </c>
      <c r="B31" s="40" t="s">
        <v>242</v>
      </c>
      <c r="C31" s="40"/>
      <c r="D31" s="35">
        <v>0.24</v>
      </c>
      <c r="E31" s="37"/>
      <c r="F31" s="14" t="s">
        <v>144</v>
      </c>
      <c r="G31" s="14" t="s">
        <v>145</v>
      </c>
    </row>
    <row r="32" spans="1:16" x14ac:dyDescent="0.2">
      <c r="A32" t="s">
        <v>178</v>
      </c>
      <c r="B32" s="39" t="s">
        <v>241</v>
      </c>
      <c r="C32" s="39"/>
      <c r="D32" s="30" t="e">
        <f ca="1">_xll.RiskNormal(D30,D31)</f>
        <v>#NAME?</v>
      </c>
      <c r="E32" s="29" t="s">
        <v>234</v>
      </c>
      <c r="F32" s="18" t="s">
        <v>99</v>
      </c>
    </row>
    <row r="33" spans="1:16" x14ac:dyDescent="0.2">
      <c r="A33" t="s">
        <v>179</v>
      </c>
      <c r="B33" s="16" t="s">
        <v>259</v>
      </c>
      <c r="C33" s="16"/>
      <c r="D33" s="20" t="e">
        <f ca="1">D28-D32</f>
        <v>#NAME?</v>
      </c>
      <c r="E33" s="14" t="s">
        <v>234</v>
      </c>
      <c r="F33" s="14" t="s">
        <v>109</v>
      </c>
    </row>
    <row r="34" spans="1:16" x14ac:dyDescent="0.2">
      <c r="A34" t="s">
        <v>180</v>
      </c>
      <c r="B34" s="41" t="s">
        <v>247</v>
      </c>
      <c r="C34" s="15"/>
      <c r="H34" s="25" t="s">
        <v>133</v>
      </c>
      <c r="I34" s="14" t="s">
        <v>134</v>
      </c>
    </row>
    <row r="35" spans="1:16" x14ac:dyDescent="0.2">
      <c r="A35" s="24" t="s">
        <v>181</v>
      </c>
      <c r="B35" s="44" t="s">
        <v>123</v>
      </c>
      <c r="C35" s="43"/>
      <c r="D35" s="23">
        <v>0</v>
      </c>
      <c r="E35" s="22" t="s">
        <v>234</v>
      </c>
      <c r="F35" s="22" t="s">
        <v>143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">
      <c r="A36" s="24" t="s">
        <v>182</v>
      </c>
      <c r="B36" s="18" t="s">
        <v>261</v>
      </c>
      <c r="C36" s="15"/>
      <c r="D36" s="20" t="e">
        <f ca="1">D33-D35</f>
        <v>#NAME?</v>
      </c>
      <c r="E36" s="14" t="s">
        <v>234</v>
      </c>
      <c r="F36" s="14" t="s">
        <v>99</v>
      </c>
    </row>
    <row r="37" spans="1:16" x14ac:dyDescent="0.2">
      <c r="A37" t="s">
        <v>183</v>
      </c>
      <c r="B37" s="41" t="s">
        <v>249</v>
      </c>
      <c r="C37" s="15"/>
    </row>
    <row r="38" spans="1:16" x14ac:dyDescent="0.2">
      <c r="A38" t="s">
        <v>184</v>
      </c>
      <c r="B38" s="29" t="s">
        <v>122</v>
      </c>
      <c r="C38" s="31"/>
      <c r="D38" s="30" t="e">
        <f ca="1">ROUND(_xll.RiskUniform(0.5,2),0)</f>
        <v>#NAME?</v>
      </c>
      <c r="E38" s="29" t="s">
        <v>235</v>
      </c>
      <c r="F38" s="14" t="s">
        <v>143</v>
      </c>
    </row>
    <row r="39" spans="1:16" x14ac:dyDescent="0.2">
      <c r="A39" t="s">
        <v>185</v>
      </c>
      <c r="B39" s="37" t="s">
        <v>117</v>
      </c>
      <c r="C39" s="38"/>
      <c r="D39" s="35">
        <v>0.4</v>
      </c>
      <c r="E39" s="37" t="s">
        <v>234</v>
      </c>
      <c r="F39" s="18" t="s">
        <v>65</v>
      </c>
      <c r="G39" s="14" t="s">
        <v>118</v>
      </c>
    </row>
    <row r="40" spans="1:16" x14ac:dyDescent="0.2">
      <c r="A40" t="s">
        <v>186</v>
      </c>
      <c r="B40" s="37" t="s">
        <v>116</v>
      </c>
      <c r="C40" s="38"/>
      <c r="D40" s="35">
        <v>0.18</v>
      </c>
      <c r="E40" s="37"/>
      <c r="F40" s="18" t="s">
        <v>65</v>
      </c>
      <c r="G40" s="14" t="s">
        <v>118</v>
      </c>
    </row>
    <row r="41" spans="1:16" x14ac:dyDescent="0.2">
      <c r="A41" s="24" t="s">
        <v>187</v>
      </c>
      <c r="B41" s="29" t="s">
        <v>131</v>
      </c>
      <c r="C41" s="31"/>
      <c r="D41" s="30" t="e">
        <f ca="1">_xll.RiskNormal(D39,D40)</f>
        <v>#NAME?</v>
      </c>
      <c r="E41" s="29"/>
      <c r="F41" s="14" t="s">
        <v>99</v>
      </c>
    </row>
    <row r="42" spans="1:16" x14ac:dyDescent="0.2">
      <c r="A42" s="24" t="s">
        <v>188</v>
      </c>
      <c r="B42" s="29" t="s">
        <v>132</v>
      </c>
      <c r="C42" s="31"/>
      <c r="D42" s="30" t="e">
        <f ca="1">D41/90</f>
        <v>#NAME?</v>
      </c>
      <c r="E42" s="29"/>
      <c r="F42" s="14" t="s">
        <v>99</v>
      </c>
    </row>
    <row r="43" spans="1:16" x14ac:dyDescent="0.2">
      <c r="A43" t="s">
        <v>189</v>
      </c>
      <c r="B43" s="14" t="s">
        <v>123</v>
      </c>
      <c r="C43" s="15"/>
      <c r="D43" s="20" t="e">
        <f ca="1">D42*D38</f>
        <v>#NAME?</v>
      </c>
      <c r="E43" s="14" t="s">
        <v>234</v>
      </c>
      <c r="F43" s="14" t="s">
        <v>99</v>
      </c>
    </row>
    <row r="44" spans="1:16" x14ac:dyDescent="0.2">
      <c r="A44" t="s">
        <v>190</v>
      </c>
      <c r="B44" s="14" t="s">
        <v>262</v>
      </c>
      <c r="C44" s="15"/>
      <c r="D44" s="20" t="e">
        <f ca="1">D36-D43</f>
        <v>#NAME?</v>
      </c>
      <c r="E44" s="14" t="s">
        <v>234</v>
      </c>
      <c r="F44" s="14" t="s">
        <v>99</v>
      </c>
    </row>
    <row r="45" spans="1:16" x14ac:dyDescent="0.2">
      <c r="A45" t="s">
        <v>191</v>
      </c>
      <c r="B45" s="41" t="s">
        <v>250</v>
      </c>
      <c r="C45" s="15"/>
    </row>
    <row r="46" spans="1:16" x14ac:dyDescent="0.2">
      <c r="A46" t="s">
        <v>192</v>
      </c>
      <c r="B46" s="29" t="s">
        <v>119</v>
      </c>
      <c r="C46" s="31"/>
      <c r="D46" s="30" t="e">
        <f ca="1">ROUND(_xll.RiskUniform(25,30),0)</f>
        <v>#NAME?</v>
      </c>
      <c r="E46" s="29" t="s">
        <v>235</v>
      </c>
      <c r="F46" s="14" t="s">
        <v>143</v>
      </c>
      <c r="G46" s="25" t="s">
        <v>120</v>
      </c>
    </row>
    <row r="47" spans="1:16" x14ac:dyDescent="0.2">
      <c r="A47" s="24" t="s">
        <v>193</v>
      </c>
      <c r="B47" s="22" t="s">
        <v>123</v>
      </c>
      <c r="C47" s="43"/>
      <c r="D47" s="23" t="e">
        <f ca="1">D42*D46</f>
        <v>#NAME?</v>
      </c>
      <c r="E47" s="22" t="s">
        <v>234</v>
      </c>
      <c r="F47" s="14" t="s">
        <v>99</v>
      </c>
    </row>
    <row r="48" spans="1:16" x14ac:dyDescent="0.2">
      <c r="A48" s="24" t="s">
        <v>194</v>
      </c>
      <c r="B48" s="14" t="s">
        <v>263</v>
      </c>
      <c r="C48" s="15"/>
      <c r="D48" s="20" t="e">
        <f ca="1">D44-D47</f>
        <v>#NAME?</v>
      </c>
      <c r="E48" s="14" t="s">
        <v>234</v>
      </c>
      <c r="F48" s="14" t="s">
        <v>99</v>
      </c>
    </row>
    <row r="49" spans="1:16" x14ac:dyDescent="0.2">
      <c r="A49" t="s">
        <v>195</v>
      </c>
      <c r="B49" s="41" t="s">
        <v>251</v>
      </c>
      <c r="C49" s="15"/>
    </row>
    <row r="50" spans="1:16" x14ac:dyDescent="0.2">
      <c r="A50" t="s">
        <v>196</v>
      </c>
      <c r="B50" s="29" t="s">
        <v>119</v>
      </c>
      <c r="C50" s="31"/>
      <c r="D50" s="30" t="e">
        <f ca="1">ROUND(_xll.RiskUniform(0.5,5),0)</f>
        <v>#NAME?</v>
      </c>
      <c r="E50" s="29" t="s">
        <v>235</v>
      </c>
      <c r="F50" s="14" t="s">
        <v>143</v>
      </c>
    </row>
    <row r="51" spans="1:16" x14ac:dyDescent="0.2">
      <c r="A51" t="s">
        <v>197</v>
      </c>
      <c r="B51" s="14" t="s">
        <v>123</v>
      </c>
      <c r="C51" s="15"/>
      <c r="D51" s="20" t="e">
        <f ca="1">D42*D50</f>
        <v>#NAME?</v>
      </c>
      <c r="E51" s="14" t="s">
        <v>234</v>
      </c>
      <c r="F51" s="14" t="s">
        <v>99</v>
      </c>
    </row>
    <row r="52" spans="1:16" x14ac:dyDescent="0.2">
      <c r="A52" t="s">
        <v>198</v>
      </c>
      <c r="B52" s="14" t="s">
        <v>264</v>
      </c>
      <c r="C52" s="15"/>
      <c r="D52" s="20" t="e">
        <f ca="1">D48-(D51)</f>
        <v>#NAME?</v>
      </c>
      <c r="E52" s="14" t="s">
        <v>234</v>
      </c>
      <c r="F52" s="14" t="s">
        <v>99</v>
      </c>
    </row>
    <row r="53" spans="1:16" x14ac:dyDescent="0.2">
      <c r="A53" s="24" t="s">
        <v>199</v>
      </c>
      <c r="B53" s="41" t="s">
        <v>244</v>
      </c>
      <c r="C53" s="15"/>
    </row>
    <row r="54" spans="1:16" x14ac:dyDescent="0.2">
      <c r="A54" s="24" t="s">
        <v>200</v>
      </c>
      <c r="B54" s="29" t="s">
        <v>121</v>
      </c>
      <c r="C54" s="31"/>
      <c r="D54" s="30" t="e">
        <f ca="1">ROUND(_xll.RiskUniform(0.5,90),0)</f>
        <v>#NAME?</v>
      </c>
      <c r="E54" s="29" t="s">
        <v>235</v>
      </c>
      <c r="F54" s="14" t="s">
        <v>143</v>
      </c>
    </row>
    <row r="55" spans="1:16" x14ac:dyDescent="0.2">
      <c r="A55" t="s">
        <v>201</v>
      </c>
      <c r="B55" s="22" t="s">
        <v>123</v>
      </c>
      <c r="C55" s="22"/>
      <c r="D55" s="23" t="e">
        <f ca="1">D42*D54</f>
        <v>#NAME?</v>
      </c>
      <c r="E55" s="14" t="s">
        <v>234</v>
      </c>
      <c r="F55" s="14" t="s">
        <v>99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">
      <c r="A56" t="s">
        <v>202</v>
      </c>
      <c r="B56" s="14" t="s">
        <v>265</v>
      </c>
      <c r="D56" s="20" t="e">
        <f ca="1">D52-D55</f>
        <v>#NAME?</v>
      </c>
      <c r="E56" s="14" t="s">
        <v>234</v>
      </c>
      <c r="F56" s="14" t="s">
        <v>99</v>
      </c>
    </row>
    <row r="57" spans="1:16" x14ac:dyDescent="0.2">
      <c r="A57" t="s">
        <v>203</v>
      </c>
      <c r="B57" s="41" t="s">
        <v>245</v>
      </c>
    </row>
    <row r="58" spans="1:16" x14ac:dyDescent="0.2">
      <c r="A58" t="s">
        <v>204</v>
      </c>
      <c r="B58" s="29" t="s">
        <v>119</v>
      </c>
      <c r="C58" s="31"/>
      <c r="D58" s="30" t="e">
        <f ca="1">ROUND(_xll.RiskUniform(0.5,5),0)</f>
        <v>#NAME?</v>
      </c>
      <c r="E58" s="29" t="s">
        <v>235</v>
      </c>
      <c r="F58" s="14" t="s">
        <v>143</v>
      </c>
    </row>
    <row r="59" spans="1:16" x14ac:dyDescent="0.2">
      <c r="A59" s="24" t="s">
        <v>205</v>
      </c>
      <c r="B59" s="22" t="s">
        <v>123</v>
      </c>
      <c r="C59" s="22"/>
      <c r="D59" s="23" t="e">
        <f ca="1">D42*D58</f>
        <v>#NAME?</v>
      </c>
      <c r="E59" s="22" t="s">
        <v>234</v>
      </c>
      <c r="F59" s="14" t="s">
        <v>99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">
      <c r="A60" s="24" t="s">
        <v>206</v>
      </c>
      <c r="B60" s="22" t="s">
        <v>265</v>
      </c>
      <c r="C60" s="22"/>
      <c r="D60" s="23" t="e">
        <f ca="1">D56-D59</f>
        <v>#NAME?</v>
      </c>
      <c r="E60" s="22" t="s">
        <v>234</v>
      </c>
      <c r="F60" s="14" t="s">
        <v>99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">
      <c r="A61" t="s">
        <v>207</v>
      </c>
      <c r="B61" s="41" t="s">
        <v>252</v>
      </c>
      <c r="C61" s="15"/>
    </row>
    <row r="62" spans="1:16" x14ac:dyDescent="0.2">
      <c r="A62" t="s">
        <v>208</v>
      </c>
      <c r="B62" s="14" t="s">
        <v>266</v>
      </c>
      <c r="D62" s="20" t="e">
        <f ca="1">10^D60</f>
        <v>#NAME?</v>
      </c>
      <c r="E62" s="14" t="s">
        <v>230</v>
      </c>
    </row>
    <row r="63" spans="1:16" x14ac:dyDescent="0.2">
      <c r="A63" t="s">
        <v>209</v>
      </c>
      <c r="B63" s="41" t="s">
        <v>253</v>
      </c>
      <c r="C63" s="15"/>
    </row>
    <row r="64" spans="1:16" x14ac:dyDescent="0.2">
      <c r="A64" t="s">
        <v>210</v>
      </c>
      <c r="B64" s="14" t="s">
        <v>12</v>
      </c>
      <c r="D64" s="20">
        <v>4</v>
      </c>
      <c r="E64" s="14" t="s">
        <v>237</v>
      </c>
      <c r="F64" s="14" t="s">
        <v>143</v>
      </c>
      <c r="H64" s="14" t="s">
        <v>231</v>
      </c>
    </row>
    <row r="65" spans="1:8" x14ac:dyDescent="0.2">
      <c r="A65" s="24" t="s">
        <v>211</v>
      </c>
      <c r="B65" s="14" t="s">
        <v>267</v>
      </c>
      <c r="D65" s="20" t="e">
        <f ca="1">D62</f>
        <v>#NAME?</v>
      </c>
      <c r="E65" s="14" t="s">
        <v>229</v>
      </c>
      <c r="F65" s="14" t="s">
        <v>99</v>
      </c>
      <c r="H65" s="14" t="s">
        <v>221</v>
      </c>
    </row>
    <row r="66" spans="1:8" x14ac:dyDescent="0.2">
      <c r="A66" s="24" t="s">
        <v>212</v>
      </c>
      <c r="B66" s="14" t="s">
        <v>268</v>
      </c>
      <c r="D66" s="20" t="e">
        <f ca="1">_xll.RiskOutput()+D64*D65</f>
        <v>#NAME?</v>
      </c>
      <c r="E66" s="14" t="s">
        <v>229</v>
      </c>
      <c r="F66" s="14" t="s">
        <v>99</v>
      </c>
    </row>
    <row r="67" spans="1:8" x14ac:dyDescent="0.2">
      <c r="A67" t="s">
        <v>213</v>
      </c>
      <c r="B67" s="14" t="s">
        <v>246</v>
      </c>
      <c r="D67" s="20">
        <f>2.55*10^-3</f>
        <v>2.5499999999999997E-3</v>
      </c>
      <c r="E67" s="14" t="s">
        <v>225</v>
      </c>
      <c r="F67" s="14" t="s">
        <v>138</v>
      </c>
    </row>
    <row r="68" spans="1:8" x14ac:dyDescent="0.2">
      <c r="A68" t="s">
        <v>214</v>
      </c>
      <c r="B68" s="14" t="s">
        <v>226</v>
      </c>
      <c r="D68" s="20">
        <v>8.5999999999999993E-2</v>
      </c>
      <c r="E68" s="14" t="s">
        <v>225</v>
      </c>
      <c r="F68" s="14" t="s">
        <v>138</v>
      </c>
    </row>
    <row r="69" spans="1:8" x14ac:dyDescent="0.2">
      <c r="A69" t="s">
        <v>215</v>
      </c>
      <c r="B69" s="14" t="s">
        <v>137</v>
      </c>
      <c r="D69" s="20" t="e">
        <f ca="1">_xll.RiskOutput()+1-(1+(D66*(0.00255)))^-0.086</f>
        <v>#NAME?</v>
      </c>
      <c r="F69" s="14" t="s">
        <v>99</v>
      </c>
    </row>
    <row r="70" spans="1:8" x14ac:dyDescent="0.2">
      <c r="A70" t="s">
        <v>216</v>
      </c>
      <c r="B70" s="41" t="s">
        <v>224</v>
      </c>
    </row>
    <row r="71" spans="1:8" x14ac:dyDescent="0.2">
      <c r="A71" s="24" t="s">
        <v>217</v>
      </c>
      <c r="B71" s="14" t="s">
        <v>139</v>
      </c>
      <c r="D71" s="45">
        <v>100000</v>
      </c>
      <c r="E71" s="14" t="s">
        <v>227</v>
      </c>
      <c r="F71" s="14" t="s">
        <v>143</v>
      </c>
    </row>
    <row r="72" spans="1:8" x14ac:dyDescent="0.2">
      <c r="A72" s="24" t="s">
        <v>218</v>
      </c>
      <c r="B72" s="14" t="s">
        <v>273</v>
      </c>
      <c r="D72" s="20" t="e">
        <f ca="1">_xll.RiskOutput()+_xll.RiskBinomial(D71,D69)</f>
        <v>#NAME?</v>
      </c>
      <c r="E72" s="14" t="s">
        <v>224</v>
      </c>
      <c r="F72" s="14" t="s">
        <v>109</v>
      </c>
    </row>
    <row r="73" spans="1:8" x14ac:dyDescent="0.2">
      <c r="A73" t="s">
        <v>219</v>
      </c>
      <c r="B73" s="14" t="s">
        <v>18</v>
      </c>
      <c r="D73" s="20" t="e">
        <f ca="1">_xll.RiskOutput()+IF(D72&gt;0,1,0)</f>
        <v>#NAME?</v>
      </c>
      <c r="E73" s="14" t="s">
        <v>225</v>
      </c>
      <c r="F73" s="14" t="s">
        <v>109</v>
      </c>
    </row>
    <row r="74" spans="1:8" x14ac:dyDescent="0.2">
      <c r="A74" t="s">
        <v>220</v>
      </c>
      <c r="B74" s="14" t="s">
        <v>146</v>
      </c>
      <c r="D74" s="20" t="e">
        <f ca="1">_xll.RiskOutput()+IF(D73=1,LOG(D72),-5)</f>
        <v>#NAME?</v>
      </c>
      <c r="E74" s="14" t="s">
        <v>99</v>
      </c>
      <c r="F74" s="14" t="s">
        <v>109</v>
      </c>
    </row>
    <row r="76" spans="1:8" x14ac:dyDescent="0.2">
      <c r="B76" s="15"/>
    </row>
    <row r="77" spans="1:8" x14ac:dyDescent="0.2">
      <c r="B77" s="19"/>
      <c r="C77" s="19"/>
    </row>
    <row r="78" spans="1:8" x14ac:dyDescent="0.2">
      <c r="B78" s="19"/>
      <c r="C78" s="19"/>
    </row>
    <row r="79" spans="1:8" x14ac:dyDescent="0.2">
      <c r="B79" s="19"/>
      <c r="C79" s="19"/>
    </row>
    <row r="80" spans="1:8" x14ac:dyDescent="0.2">
      <c r="B80" s="19"/>
      <c r="C80" s="19"/>
    </row>
    <row r="81" spans="2:4" x14ac:dyDescent="0.2">
      <c r="B81" s="19"/>
      <c r="C81" s="19"/>
    </row>
    <row r="82" spans="2:4" x14ac:dyDescent="0.2">
      <c r="B82" s="19"/>
      <c r="C82" s="19"/>
    </row>
    <row r="83" spans="2:4" x14ac:dyDescent="0.2">
      <c r="B83" s="19"/>
      <c r="C83" s="19"/>
    </row>
    <row r="84" spans="2:4" x14ac:dyDescent="0.2">
      <c r="B84" s="19"/>
      <c r="C84" s="19"/>
    </row>
    <row r="86" spans="2:4" x14ac:dyDescent="0.2">
      <c r="D86" s="15"/>
    </row>
  </sheetData>
  <hyperlinks>
    <hyperlink ref="G46" r:id="rId1" xr:uid="{00000000-0004-0000-0400-000000000000}"/>
    <hyperlink ref="H34" r:id="rId2" xr:uid="{00000000-0004-0000-0400-000001000000}"/>
  </hyperlinks>
  <pageMargins left="0.7" right="0.7" top="0.75" bottom="0.75" header="0.3" footer="0.3"/>
  <pageSetup paperSize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pathway</vt:lpstr>
      <vt:lpstr>Sheet1</vt:lpstr>
      <vt:lpstr>Table 1 Updated risk model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Miranda</dc:creator>
  <cp:lastModifiedBy>Donald Schaffner</cp:lastModifiedBy>
  <dcterms:created xsi:type="dcterms:W3CDTF">2016-11-09T00:34:43Z</dcterms:created>
  <dcterms:modified xsi:type="dcterms:W3CDTF">2018-02-26T21:05:47Z</dcterms:modified>
</cp:coreProperties>
</file>