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nmustafa\Desktop\CEA\"/>
    </mc:Choice>
  </mc:AlternateContent>
  <bookViews>
    <workbookView xWindow="0" yWindow="0" windowWidth="21570" windowHeight="8145" tabRatio="760" activeTab="2"/>
  </bookViews>
  <sheets>
    <sheet name="RR Program" sheetId="1" r:id="rId1"/>
    <sheet name="Uniform Program" sheetId="2" r:id="rId2"/>
    <sheet name="CER + Sensivitiy Analysis #2" sheetId="5" r:id="rId3"/>
    <sheet name="Facility&amp;Equip" sheetId="4" r:id="rId4"/>
    <sheet name="Principal Salary" sheetId="3" r:id="rId5"/>
    <sheet name="Sensitivity Analysis #1" sheetId="8" r:id="rId6"/>
    <sheet name="Uniform Sensitivity Low" sheetId="6" r:id="rId7"/>
    <sheet name="Uniform Sensitivity High" sheetId="7" r:id="rId8"/>
    <sheet name="Sheet1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F8" i="5"/>
  <c r="I12" i="5"/>
  <c r="I11" i="5"/>
  <c r="I10" i="5"/>
  <c r="I5" i="5" l="1"/>
  <c r="H5" i="5"/>
  <c r="H10" i="8" l="1"/>
  <c r="H9" i="8"/>
  <c r="I4" i="5"/>
  <c r="C6" i="7"/>
  <c r="C7" i="7"/>
  <c r="C8" i="7"/>
  <c r="C9" i="7"/>
  <c r="C5" i="7"/>
  <c r="G14" i="7"/>
  <c r="C14" i="7"/>
  <c r="G13" i="7"/>
  <c r="C13" i="7"/>
  <c r="H12" i="7"/>
  <c r="J12" i="7" s="1"/>
  <c r="H11" i="7"/>
  <c r="J11" i="7" s="1"/>
  <c r="H4" i="5"/>
  <c r="C6" i="6"/>
  <c r="C7" i="6"/>
  <c r="C8" i="6"/>
  <c r="C9" i="6"/>
  <c r="C5" i="6"/>
  <c r="G14" i="6"/>
  <c r="C14" i="6"/>
  <c r="G13" i="6"/>
  <c r="C13" i="6"/>
  <c r="H12" i="6"/>
  <c r="J12" i="6" s="1"/>
  <c r="H11" i="6"/>
  <c r="J11" i="6" s="1"/>
  <c r="B19" i="4"/>
  <c r="B13" i="4"/>
  <c r="B21" i="4"/>
  <c r="B22" i="4" s="1"/>
  <c r="B23" i="4" s="1"/>
  <c r="E20" i="5"/>
  <c r="E12" i="5"/>
  <c r="C12" i="5"/>
  <c r="C20" i="5" s="1"/>
  <c r="M18" i="1"/>
  <c r="N18" i="1" s="1"/>
  <c r="M10" i="1"/>
  <c r="N10" i="1" s="1"/>
  <c r="M6" i="1"/>
  <c r="N6" i="1" s="1"/>
  <c r="H14" i="6" l="1"/>
  <c r="J14" i="6" s="1"/>
  <c r="B24" i="4"/>
  <c r="H13" i="7"/>
  <c r="J13" i="7" s="1"/>
  <c r="H14" i="7"/>
  <c r="J14" i="7" s="1"/>
  <c r="H13" i="6"/>
  <c r="J13" i="6" s="1"/>
  <c r="D15" i="2" l="1"/>
  <c r="D14" i="2"/>
  <c r="H15" i="2"/>
  <c r="I15" i="2" s="1"/>
  <c r="K15" i="2" s="1"/>
  <c r="M15" i="2" s="1"/>
  <c r="N15" i="2" s="1"/>
  <c r="H14" i="2"/>
  <c r="I14" i="2" l="1"/>
  <c r="K14" i="2" s="1"/>
  <c r="I13" i="2"/>
  <c r="K13" i="2" s="1"/>
  <c r="M13" i="2" s="1"/>
  <c r="N13" i="2" s="1"/>
  <c r="I12" i="2"/>
  <c r="K12" i="2" s="1"/>
  <c r="M12" i="2" s="1"/>
  <c r="N12" i="2" s="1"/>
  <c r="I14" i="1"/>
  <c r="K14" i="1" s="1"/>
  <c r="M14" i="1" s="1"/>
  <c r="N14" i="1" s="1"/>
  <c r="I17" i="1"/>
  <c r="K17" i="1" s="1"/>
  <c r="M17" i="1" s="1"/>
  <c r="N17" i="1" s="1"/>
  <c r="M14" i="2" l="1"/>
  <c r="I16" i="1"/>
  <c r="K16" i="1" s="1"/>
  <c r="M16" i="1" s="1"/>
  <c r="N16" i="1" s="1"/>
  <c r="H12" i="1"/>
  <c r="I12" i="1" s="1"/>
  <c r="K12" i="1" s="1"/>
  <c r="M12" i="1" s="1"/>
  <c r="N12" i="1" s="1"/>
  <c r="H8" i="1"/>
  <c r="I8" i="1" s="1"/>
  <c r="K8" i="1" s="1"/>
  <c r="B9" i="4"/>
  <c r="B4" i="4"/>
  <c r="B5" i="4" s="1"/>
  <c r="M8" i="1" l="1"/>
  <c r="N14" i="2"/>
  <c r="E10" i="3"/>
  <c r="E12" i="3" s="1"/>
  <c r="E14" i="3" s="1"/>
  <c r="C10" i="3"/>
  <c r="C12" i="3" s="1"/>
  <c r="C14" i="3" s="1"/>
  <c r="I7" i="3"/>
  <c r="B6" i="4" s="1"/>
  <c r="I4" i="3"/>
  <c r="E7" i="3"/>
  <c r="C7" i="3"/>
  <c r="D3" i="3"/>
  <c r="D7" i="3" s="1"/>
  <c r="D10" i="3" s="1"/>
  <c r="D12" i="3" s="1"/>
  <c r="D14" i="3" s="1"/>
  <c r="G8" i="7" l="1"/>
  <c r="H8" i="7" s="1"/>
  <c r="J8" i="7" s="1"/>
  <c r="H10" i="2"/>
  <c r="I10" i="2" s="1"/>
  <c r="K10" i="2" s="1"/>
  <c r="M10" i="2" s="1"/>
  <c r="N10" i="2" s="1"/>
  <c r="G7" i="7"/>
  <c r="H7" i="7" s="1"/>
  <c r="J7" i="7" s="1"/>
  <c r="H13" i="1"/>
  <c r="I13" i="1" s="1"/>
  <c r="K13" i="1" s="1"/>
  <c r="K21" i="1" s="1"/>
  <c r="K22" i="1" s="1"/>
  <c r="K23" i="1" s="1"/>
  <c r="C3" i="5" s="1"/>
  <c r="G5" i="7"/>
  <c r="H5" i="7" s="1"/>
  <c r="J5" i="7" s="1"/>
  <c r="G6" i="7"/>
  <c r="H6" i="7" s="1"/>
  <c r="J6" i="7" s="1"/>
  <c r="G9" i="6"/>
  <c r="H9" i="6" s="1"/>
  <c r="J9" i="6" s="1"/>
  <c r="G7" i="6"/>
  <c r="H7" i="6" s="1"/>
  <c r="J7" i="6" s="1"/>
  <c r="H7" i="2"/>
  <c r="I7" i="2" s="1"/>
  <c r="K7" i="2" s="1"/>
  <c r="M7" i="2" s="1"/>
  <c r="N7" i="2" s="1"/>
  <c r="G6" i="6"/>
  <c r="H6" i="6" s="1"/>
  <c r="J6" i="6" s="1"/>
  <c r="H8" i="2"/>
  <c r="I8" i="2" s="1"/>
  <c r="K8" i="2" s="1"/>
  <c r="M8" i="2" s="1"/>
  <c r="N8" i="2" s="1"/>
  <c r="G9" i="7"/>
  <c r="H9" i="7" s="1"/>
  <c r="J9" i="7" s="1"/>
  <c r="G5" i="6"/>
  <c r="H5" i="6" s="1"/>
  <c r="J5" i="6" s="1"/>
  <c r="H9" i="2"/>
  <c r="I9" i="2" s="1"/>
  <c r="H6" i="2"/>
  <c r="I6" i="2" s="1"/>
  <c r="K6" i="2" s="1"/>
  <c r="H15" i="1"/>
  <c r="I15" i="1" s="1"/>
  <c r="K15" i="1" s="1"/>
  <c r="M15" i="1" s="1"/>
  <c r="N15" i="1" s="1"/>
  <c r="G8" i="6"/>
  <c r="H8" i="6" s="1"/>
  <c r="J8" i="6" s="1"/>
  <c r="B7" i="4"/>
  <c r="B10" i="4" s="1"/>
  <c r="N8" i="1"/>
  <c r="M6" i="2" l="1"/>
  <c r="J15" i="6"/>
  <c r="J16" i="6" s="1"/>
  <c r="J17" i="6" s="1"/>
  <c r="H3" i="5" s="1"/>
  <c r="J15" i="7"/>
  <c r="J16" i="7" s="1"/>
  <c r="J17" i="7" s="1"/>
  <c r="I3" i="5" s="1"/>
  <c r="K9" i="2"/>
  <c r="M9" i="2" s="1"/>
  <c r="N9" i="2" s="1"/>
  <c r="M13" i="1"/>
  <c r="M21" i="1" s="1"/>
  <c r="M22" i="1" s="1"/>
  <c r="M23" i="1" s="1"/>
  <c r="C11" i="5" s="1"/>
  <c r="C5" i="5"/>
  <c r="C8" i="5"/>
  <c r="N13" i="1"/>
  <c r="N21" i="1" s="1"/>
  <c r="N22" i="1" s="1"/>
  <c r="N23" i="1" s="1"/>
  <c r="H8" i="5" l="1"/>
  <c r="H7" i="5" s="1"/>
  <c r="I8" i="5"/>
  <c r="I7" i="5" s="1"/>
  <c r="K16" i="2"/>
  <c r="N6" i="2"/>
  <c r="N16" i="2" s="1"/>
  <c r="M16" i="2"/>
  <c r="M17" i="2" s="1"/>
  <c r="M18" i="2" s="1"/>
  <c r="E11" i="5" s="1"/>
  <c r="C7" i="5"/>
  <c r="C19" i="5"/>
  <c r="C16" i="5"/>
  <c r="C15" i="5" s="1"/>
  <c r="C13" i="5"/>
  <c r="E16" i="5" l="1"/>
  <c r="E15" i="5" s="1"/>
  <c r="E13" i="5"/>
  <c r="N17" i="2"/>
  <c r="N18" i="2" s="1"/>
  <c r="E19" i="5" s="1"/>
  <c r="K17" i="2"/>
  <c r="K18" i="2" s="1"/>
  <c r="E3" i="5" s="1"/>
  <c r="C21" i="5"/>
  <c r="C24" i="5"/>
  <c r="C23" i="5" s="1"/>
  <c r="F16" i="5" l="1"/>
  <c r="E8" i="5"/>
  <c r="E5" i="5"/>
  <c r="E24" i="5"/>
  <c r="E23" i="5" s="1"/>
  <c r="E21" i="5"/>
  <c r="F24" i="5"/>
</calcChain>
</file>

<file path=xl/comments1.xml><?xml version="1.0" encoding="utf-8"?>
<comments xmlns="http://schemas.openxmlformats.org/spreadsheetml/2006/main">
  <authors>
    <author>Nasreen Mustafa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Nasreen Mustafa:</t>
        </r>
        <r>
          <rPr>
            <sz val="9"/>
            <color indexed="81"/>
            <rFont val="Tahoma"/>
            <family val="2"/>
          </rPr>
          <t xml:space="preserve">
Source: World Bank (2015)</t>
        </r>
      </text>
    </comment>
  </commentList>
</comments>
</file>

<file path=xl/comments2.xml><?xml version="1.0" encoding="utf-8"?>
<comments xmlns="http://schemas.openxmlformats.org/spreadsheetml/2006/main">
  <authors>
    <author>Nasreen Mustafa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Nasreen Mustafa:</t>
        </r>
        <r>
          <rPr>
            <sz val="9"/>
            <color indexed="81"/>
            <rFont val="Tahoma"/>
            <family val="2"/>
          </rPr>
          <t xml:space="preserve">
Source: World Bank (2015)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Nasreen Mustafa:</t>
        </r>
        <r>
          <rPr>
            <sz val="9"/>
            <color indexed="81"/>
            <rFont val="Tahoma"/>
            <charset val="1"/>
          </rPr>
          <t xml:space="preserve">
8/31/2004 exchange for $6 from Oanda.com
</t>
        </r>
      </text>
    </comment>
  </commentList>
</comments>
</file>

<file path=xl/comments3.xml><?xml version="1.0" encoding="utf-8"?>
<comments xmlns="http://schemas.openxmlformats.org/spreadsheetml/2006/main">
  <authors>
    <author>Nasreen Mustafa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Nasreen Mustafa:</t>
        </r>
        <r>
          <rPr>
            <sz val="9"/>
            <color indexed="81"/>
            <rFont val="Tahoma"/>
            <family val="2"/>
          </rPr>
          <t xml:space="preserve">
Source: World Bank (2015)</t>
        </r>
      </text>
    </comment>
  </commentList>
</comments>
</file>

<file path=xl/comments4.xml><?xml version="1.0" encoding="utf-8"?>
<comments xmlns="http://schemas.openxmlformats.org/spreadsheetml/2006/main">
  <authors>
    <author>Nasreen Mustafa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Nasreen Mustafa:</t>
        </r>
        <r>
          <rPr>
            <sz val="9"/>
            <color indexed="81"/>
            <rFont val="Tahoma"/>
            <family val="2"/>
          </rPr>
          <t xml:space="preserve">
Source: World Bank (2015)</t>
        </r>
      </text>
    </comment>
  </commentList>
</comments>
</file>

<file path=xl/sharedStrings.xml><?xml version="1.0" encoding="utf-8"?>
<sst xmlns="http://schemas.openxmlformats.org/spreadsheetml/2006/main" count="395" uniqueCount="165">
  <si>
    <t>Trained Project Officer</t>
  </si>
  <si>
    <t>Quantity</t>
  </si>
  <si>
    <t>Cost Ingredient</t>
  </si>
  <si>
    <t>Personnel</t>
  </si>
  <si>
    <t>Facilities</t>
  </si>
  <si>
    <t>Other</t>
  </si>
  <si>
    <t>Total ingredients costs</t>
  </si>
  <si>
    <t>Survey on distribution of HIV in Kenyan population</t>
  </si>
  <si>
    <t>10-minute video on "sugar daddies"</t>
  </si>
  <si>
    <t>8th grade classrooms in 71 schools</t>
  </si>
  <si>
    <t>Photocopies of surveys</t>
  </si>
  <si>
    <t>Trained Project Officer transportation</t>
  </si>
  <si>
    <t>Timeline: July 2004-October 2004, 71 schools</t>
  </si>
  <si>
    <t>Project officer training</t>
  </si>
  <si>
    <t>Uniform (Fall 2004)</t>
  </si>
  <si>
    <t>Facility for training</t>
  </si>
  <si>
    <t>Training materials</t>
  </si>
  <si>
    <t>Unit</t>
  </si>
  <si>
    <t>TV</t>
  </si>
  <si>
    <t>VCR</t>
  </si>
  <si>
    <t>Generator</t>
  </si>
  <si>
    <t>Uniform (Feb 2003- July 2003), grade 6</t>
  </si>
  <si>
    <t>Rented each, trainer brought to each location for training session</t>
  </si>
  <si>
    <t>Hour</t>
  </si>
  <si>
    <t>Miles</t>
  </si>
  <si>
    <t xml:space="preserve">Total 8th graders 2,441 / 71 schools= avg child per classroom = about 35 8th graders in each school </t>
  </si>
  <si>
    <t>Price KES</t>
  </si>
  <si>
    <t>Overhead (5%)</t>
  </si>
  <si>
    <t>Videotape</t>
  </si>
  <si>
    <t>Price KES 2004</t>
  </si>
  <si>
    <t>Price Source</t>
  </si>
  <si>
    <t>Price year</t>
  </si>
  <si>
    <t>CPI</t>
  </si>
  <si>
    <t>Edwin, 2015 and Kasami, 2015</t>
  </si>
  <si>
    <t>P. Dupas, personal communication, November 3, 2015</t>
  </si>
  <si>
    <t>Principal GAT II Salary</t>
  </si>
  <si>
    <t xml:space="preserve">Monthly </t>
  </si>
  <si>
    <t>Base</t>
  </si>
  <si>
    <t>Semesters</t>
  </si>
  <si>
    <t>Months per year</t>
  </si>
  <si>
    <t>School day hours</t>
  </si>
  <si>
    <t>School days per week</t>
  </si>
  <si>
    <t>Hours per year</t>
  </si>
  <si>
    <t>Weeks per semester</t>
  </si>
  <si>
    <t>Kenyan Acadmic Year</t>
  </si>
  <si>
    <t>Min</t>
  </si>
  <si>
    <t>Med</t>
  </si>
  <si>
    <t>Max</t>
  </si>
  <si>
    <t>Annual</t>
  </si>
  <si>
    <t>Leave Allowance</t>
  </si>
  <si>
    <t>Housing Allowance</t>
  </si>
  <si>
    <t>Commuter Allowance</t>
  </si>
  <si>
    <t>Hardship Allowance</t>
  </si>
  <si>
    <t xml:space="preserve">Total </t>
  </si>
  <si>
    <t>Per hour rate</t>
  </si>
  <si>
    <t>n/a</t>
  </si>
  <si>
    <t>Rate KES</t>
  </si>
  <si>
    <t>Cost of classroom in TZS, 2006</t>
  </si>
  <si>
    <t>Annualization factor for annual cost of facilities at 3% with asset life of 30 years</t>
  </si>
  <si>
    <t>40-minute period</t>
  </si>
  <si>
    <t>TZS to rent a classroom for 1 hour</t>
  </si>
  <si>
    <t>TZS to rent for 40 minute period</t>
  </si>
  <si>
    <t>Schools</t>
  </si>
  <si>
    <t>Classroom</t>
  </si>
  <si>
    <t>KES to rent a classroom for one hour</t>
  </si>
  <si>
    <t>photocopy</t>
  </si>
  <si>
    <t>VFS Global (2014)</t>
  </si>
  <si>
    <t>2004 CPI:</t>
  </si>
  <si>
    <t>Per World Bank</t>
  </si>
  <si>
    <t>Ebay</t>
  </si>
  <si>
    <t>Notebook</t>
  </si>
  <si>
    <t>Aduda, D. (2005)</t>
  </si>
  <si>
    <t>RR Program</t>
  </si>
  <si>
    <t>Total Cost</t>
  </si>
  <si>
    <t>Number of participants</t>
  </si>
  <si>
    <t>Measure of effectiveness</t>
  </si>
  <si>
    <t>Uniform Program</t>
  </si>
  <si>
    <t>Source</t>
  </si>
  <si>
    <t>Tab "RR Program"</t>
  </si>
  <si>
    <t>Dupas, 2011</t>
  </si>
  <si>
    <t>Number of pregancies averted</t>
  </si>
  <si>
    <t>CER (cost per pregnancy averted)</t>
  </si>
  <si>
    <t>KES</t>
  </si>
  <si>
    <t>Dupas, 2015</t>
  </si>
  <si>
    <t>Tab "Uniform Program"</t>
  </si>
  <si>
    <t>P. Dupas, personal communication, November 8, 2015</t>
  </si>
  <si>
    <t>Uniform</t>
  </si>
  <si>
    <t>Timeline: Feb 2003-July 2003, 83 schools and Fall 2004</t>
  </si>
  <si>
    <t>Transportation 2003</t>
  </si>
  <si>
    <t>Transportation 2004</t>
  </si>
  <si>
    <t>Researcher = Principal Graduate Teacher II equivalent</t>
  </si>
  <si>
    <t>Researcher = Trainer of trainer</t>
  </si>
  <si>
    <t xml:space="preserve">1. Principal
2. Generator
3. TV/VCR
KES 84,000/3 "people"= 28,000. This was for 71 schools but in this program, 83 schools were used. So per school transportation cost is KES 28,000/71= 394. When multiplied by 83 schools, the total for one visit is KES 32,732. I will assume the person went to each site twice, once to get information on sizes and quantities, and a second for distribution. </t>
  </si>
  <si>
    <t>Trip to school</t>
  </si>
  <si>
    <t xml:space="preserve">Track students for 2nd Fall 2004 distribution </t>
  </si>
  <si>
    <t>Gather information on students' uniform sizes and quantities for 1st distribution (2003)</t>
  </si>
  <si>
    <t>Gather information on students' uniform sizes and quantities for 2nd distribution (2004)</t>
  </si>
  <si>
    <t>Distribute uniforms for 1st distribution (2003)</t>
  </si>
  <si>
    <t>Distribute uniforms for 2nd distribution (2004)</t>
  </si>
  <si>
    <t>Approximately 5K in total was used for 83 schools.  (Duflo et al., 2006)</t>
  </si>
  <si>
    <t>Annualization factor for annual cost of facilities at 3% with asset life of 3 years</t>
  </si>
  <si>
    <t>Cost of laptop, 2015</t>
  </si>
  <si>
    <t>Annual cost</t>
  </si>
  <si>
    <t>Total cost for use</t>
  </si>
  <si>
    <t>Cost per hour in a year</t>
  </si>
  <si>
    <t>LAPTOP</t>
  </si>
  <si>
    <t>SCHOOL BUILDING</t>
  </si>
  <si>
    <t>Duflo et al, 2006</t>
  </si>
  <si>
    <t>Cost per student</t>
  </si>
  <si>
    <t>Academic hours in a year</t>
  </si>
  <si>
    <t xml:space="preserve">One officer facilitated a 40-minute session in each school.  </t>
  </si>
  <si>
    <t>Assume the same rate for one classroom used for the RR intervention</t>
  </si>
  <si>
    <t>Principal entry level is Principal Graduate Teacher II in Kenya</t>
  </si>
  <si>
    <t>Notebook for trained officer</t>
  </si>
  <si>
    <t>Principal entry level  is Principal Graudate Teacher II in Kenya rate</t>
  </si>
  <si>
    <t>2,441 photocopies for each student</t>
  </si>
  <si>
    <t>Purchased the video "Sara: The Trap"</t>
  </si>
  <si>
    <t>Pens/Pencils, paper, toner, etc. is 5%</t>
  </si>
  <si>
    <t>Pens/Pencils, paper, toner, etc. totals  5%</t>
  </si>
  <si>
    <t xml:space="preserve">I will assume the researcher went twice in 2004, once to track students and obtain size and quantities and a second time for distribution. </t>
  </si>
  <si>
    <t>Subtotal ingredients costs</t>
  </si>
  <si>
    <t>Supplies (5%)</t>
  </si>
  <si>
    <t>Double enrollment</t>
  </si>
  <si>
    <t>Quadruple enrollment</t>
  </si>
  <si>
    <t>Description</t>
  </si>
  <si>
    <t>Levin &amp; McEwan, 2001</t>
  </si>
  <si>
    <t>Tonini, 2010</t>
  </si>
  <si>
    <t>Annual rental amount in TZS, 2006</t>
  </si>
  <si>
    <t>Kenyan Academic Year Table</t>
  </si>
  <si>
    <t>Oanda.com conversion on 12/31/2006</t>
  </si>
  <si>
    <t>KES to rent 71 schools for 40 minutes</t>
  </si>
  <si>
    <t>KES to rent for 40 minute period</t>
  </si>
  <si>
    <t>Kenyan online store: Jumia.com</t>
  </si>
  <si>
    <t>Hours used (total researcher hours in Uniform Subsidy program)</t>
  </si>
  <si>
    <t>Hours in an academic year</t>
  </si>
  <si>
    <t>Hours used as a percentage of academic year</t>
  </si>
  <si>
    <t>Low</t>
  </si>
  <si>
    <t>High</t>
  </si>
  <si>
    <t>CE Ratio (KES)</t>
  </si>
  <si>
    <t>Uniform Subsidy Program</t>
  </si>
  <si>
    <t>Regular enrollment</t>
  </si>
  <si>
    <t>71 schools</t>
  </si>
  <si>
    <t>142 schools</t>
  </si>
  <si>
    <t>248 schools</t>
  </si>
  <si>
    <t>Sensitivity Analysis- Researcher Hours</t>
  </si>
  <si>
    <t>Self-Administered Knowledge, Attitudes, and Practice (KAP) survey coducted among students enrolled in grades 6,7,and 8 in 2005, after two rounds of unidorm distribution</t>
  </si>
  <si>
    <t>Collection of Intervention Results</t>
  </si>
  <si>
    <t>March 2005: Schooling, marital, and childbearing status update via visits at all 328 schools of origin</t>
  </si>
  <si>
    <t>May-July 2005: Anonymous follow-up survey administered at Secondary Schools in study area. Students filling-in survey asked to record primary school of origin so that their "treatment"status can be identified</t>
  </si>
  <si>
    <t>July 2005: Schooling, marital, and childbearing status update via visits at all 328 schools of origin</t>
  </si>
  <si>
    <t>RR</t>
  </si>
  <si>
    <t>Aug-Sept: Follow-up survey conducted through home visits for girls reported as having started childbearing</t>
  </si>
  <si>
    <t>Program ends Oct 2004</t>
  </si>
  <si>
    <t>Collected at bseline among a subset of students sampled for the experiment, students were enrolled in 8th grade (total of 2422 observations)</t>
  </si>
  <si>
    <t xml:space="preserve">Produced Summary statistics on HIV-related knowledge and behavior </t>
  </si>
  <si>
    <t>Survey on HIV Dist</t>
  </si>
  <si>
    <t xml:space="preserve">By 2005, most students at </t>
  </si>
  <si>
    <t xml:space="preserve">Unspecified </t>
  </si>
  <si>
    <t>Unspecified</t>
  </si>
  <si>
    <t>Tonini (2010)</t>
  </si>
  <si>
    <t>Edwin (2015) and Dickens 2015</t>
  </si>
  <si>
    <t>Edwin (2015) and Dickens (2015)</t>
  </si>
  <si>
    <t>Low: 208 hours</t>
  </si>
  <si>
    <t>Medium: 415 hours</t>
  </si>
  <si>
    <t>High: 830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</si>
</sst>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_);_(* \(#,##0.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0" fillId="0" borderId="0" xfId="0" applyFill="1" applyAlignment="1">
      <alignment wrapText="1"/>
    </xf>
    <xf numFmtId="43" fontId="0" fillId="0" borderId="0" xfId="0" applyNumberFormat="1" applyFill="1"/>
    <xf numFmtId="164" fontId="0" fillId="0" borderId="0" xfId="1" applyNumberFormat="1" applyFont="1"/>
    <xf numFmtId="164" fontId="0" fillId="0" borderId="0" xfId="1" applyNumberFormat="1" applyFont="1" applyAlignment="1">
      <alignment horizontal="left" vertical="top"/>
    </xf>
    <xf numFmtId="43" fontId="0" fillId="0" borderId="0" xfId="1" applyNumberFormat="1" applyFont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3" fontId="0" fillId="0" borderId="0" xfId="0" applyNumberFormat="1"/>
    <xf numFmtId="43" fontId="0" fillId="0" borderId="0" xfId="1" applyFont="1"/>
    <xf numFmtId="9" fontId="0" fillId="0" borderId="0" xfId="2" applyNumberFormat="1" applyFont="1"/>
    <xf numFmtId="43" fontId="0" fillId="0" borderId="0" xfId="0" applyNumberFormat="1"/>
    <xf numFmtId="0" fontId="0" fillId="0" borderId="0" xfId="0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43" fontId="0" fillId="0" borderId="0" xfId="1" applyFont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164" fontId="1" fillId="0" borderId="0" xfId="1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7" fontId="0" fillId="0" borderId="0" xfId="2" applyNumberFormat="1" applyFont="1"/>
    <xf numFmtId="10" fontId="0" fillId="0" borderId="0" xfId="2" applyNumberFormat="1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5" fillId="0" borderId="0" xfId="0" applyNumberFormat="1" applyFont="1" applyBorder="1"/>
    <xf numFmtId="164" fontId="5" fillId="0" borderId="0" xfId="0" applyNumberFormat="1" applyFont="1"/>
    <xf numFmtId="43" fontId="5" fillId="0" borderId="0" xfId="1" applyNumberFormat="1" applyFont="1" applyFill="1" applyAlignment="1">
      <alignment horizontal="right" vertical="center"/>
    </xf>
    <xf numFmtId="43" fontId="5" fillId="0" borderId="0" xfId="0" applyNumberFormat="1" applyFont="1" applyBorder="1"/>
    <xf numFmtId="164" fontId="5" fillId="0" borderId="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0" xfId="0" applyFont="1" applyFill="1" applyBorder="1"/>
    <xf numFmtId="164" fontId="5" fillId="0" borderId="1" xfId="1" applyNumberFormat="1" applyFont="1" applyFill="1" applyBorder="1"/>
    <xf numFmtId="164" fontId="5" fillId="0" borderId="0" xfId="1" applyNumberFormat="1" applyFont="1" applyFill="1"/>
    <xf numFmtId="164" fontId="5" fillId="0" borderId="0" xfId="1" applyNumberFormat="1" applyFont="1" applyBorder="1"/>
    <xf numFmtId="164" fontId="5" fillId="0" borderId="0" xfId="1" applyNumberFormat="1" applyFont="1"/>
    <xf numFmtId="43" fontId="5" fillId="0" borderId="0" xfId="1" applyFont="1" applyFill="1"/>
    <xf numFmtId="164" fontId="5" fillId="0" borderId="0" xfId="0" applyNumberFormat="1" applyFont="1" applyFill="1"/>
    <xf numFmtId="43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Border="1"/>
    <xf numFmtId="0" fontId="5" fillId="0" borderId="4" xfId="0" applyFont="1" applyFill="1" applyBorder="1"/>
    <xf numFmtId="164" fontId="5" fillId="0" borderId="5" xfId="1" applyNumberFormat="1" applyFont="1" applyFill="1" applyBorder="1" applyAlignment="1">
      <alignment horizontal="right" vertical="center"/>
    </xf>
    <xf numFmtId="164" fontId="5" fillId="0" borderId="7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/>
    </xf>
    <xf numFmtId="0" fontId="5" fillId="0" borderId="3" xfId="0" applyFont="1" applyBorder="1"/>
    <xf numFmtId="0" fontId="5" fillId="0" borderId="5" xfId="0" applyFont="1" applyFill="1" applyBorder="1" applyAlignment="1"/>
    <xf numFmtId="0" fontId="6" fillId="0" borderId="6" xfId="0" applyFont="1" applyBorder="1"/>
    <xf numFmtId="0" fontId="6" fillId="0" borderId="0" xfId="0" applyFont="1" applyBorder="1"/>
    <xf numFmtId="0" fontId="5" fillId="0" borderId="7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wrapText="1"/>
    </xf>
    <xf numFmtId="43" fontId="5" fillId="0" borderId="2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top" wrapText="1"/>
    </xf>
    <xf numFmtId="166" fontId="5" fillId="0" borderId="2" xfId="0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43" fontId="5" fillId="0" borderId="2" xfId="1" applyNumberFormat="1" applyFont="1" applyFill="1" applyBorder="1" applyAlignment="1">
      <alignment horizontal="right" vertic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/>
    </xf>
    <xf numFmtId="43" fontId="5" fillId="0" borderId="11" xfId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66" fontId="5" fillId="0" borderId="11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8" xfId="0" applyFont="1" applyFill="1" applyBorder="1"/>
    <xf numFmtId="0" fontId="5" fillId="0" borderId="12" xfId="0" applyFont="1" applyFill="1" applyBorder="1"/>
    <xf numFmtId="0" fontId="5" fillId="0" borderId="9" xfId="0" applyFont="1" applyBorder="1"/>
    <xf numFmtId="0" fontId="5" fillId="0" borderId="10" xfId="0" applyFont="1" applyBorder="1" applyAlignment="1">
      <alignment wrapText="1"/>
    </xf>
    <xf numFmtId="0" fontId="5" fillId="0" borderId="11" xfId="0" applyFont="1" applyBorder="1"/>
    <xf numFmtId="0" fontId="5" fillId="0" borderId="9" xfId="0" applyFont="1" applyFill="1" applyBorder="1" applyAlignment="1">
      <alignment horizontal="left" vertical="center"/>
    </xf>
    <xf numFmtId="0" fontId="5" fillId="0" borderId="14" xfId="0" applyFont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Fill="1" applyBorder="1"/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3" xfId="0" applyFont="1" applyBorder="1"/>
    <xf numFmtId="0" fontId="6" fillId="0" borderId="12" xfId="0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9" fontId="0" fillId="2" borderId="0" xfId="2" applyFont="1" applyFill="1"/>
    <xf numFmtId="164" fontId="0" fillId="2" borderId="1" xfId="1" applyNumberFormat="1" applyFont="1" applyFill="1" applyBorder="1"/>
    <xf numFmtId="43" fontId="0" fillId="2" borderId="0" xfId="0" applyNumberFormat="1" applyFill="1"/>
    <xf numFmtId="164" fontId="0" fillId="3" borderId="0" xfId="1" applyNumberFormat="1" applyFont="1" applyFill="1"/>
    <xf numFmtId="164" fontId="1" fillId="3" borderId="0" xfId="1" applyNumberFormat="1" applyFont="1" applyFill="1"/>
    <xf numFmtId="164" fontId="0" fillId="4" borderId="0" xfId="1" applyNumberFormat="1" applyFont="1" applyFill="1"/>
    <xf numFmtId="164" fontId="1" fillId="4" borderId="0" xfId="1" applyNumberFormat="1" applyFont="1" applyFill="1"/>
    <xf numFmtId="164" fontId="0" fillId="5" borderId="0" xfId="1" applyNumberFormat="1" applyFont="1" applyFill="1"/>
    <xf numFmtId="164" fontId="1" fillId="5" borderId="0" xfId="1" applyNumberFormat="1" applyFont="1" applyFill="1"/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 + Sensivitiy Analysis #2'!$I$9</c:f>
              <c:strCache>
                <c:ptCount val="1"/>
                <c:pt idx="0">
                  <c:v>Sensitivity Analysis- Researcher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 + Sensivitiy Analysis #2'!$H$10:$H$12</c:f>
              <c:strCache>
                <c:ptCount val="3"/>
                <c:pt idx="0">
                  <c:v>Low: 208 hours</c:v>
                </c:pt>
                <c:pt idx="1">
                  <c:v>Medium: 415 hours</c:v>
                </c:pt>
                <c:pt idx="2">
                  <c:v>High: 830 hours</c:v>
                </c:pt>
              </c:strCache>
            </c:strRef>
          </c:cat>
          <c:val>
            <c:numRef>
              <c:f>'CER + Sensivitiy Analysis #2'!$I$10:$I$12</c:f>
              <c:numCache>
                <c:formatCode>_(* #,##0_);_(* \(#,##0\);_(* "-"??_);_(@_)</c:formatCode>
                <c:ptCount val="3"/>
                <c:pt idx="0">
                  <c:v>75761.593392585346</c:v>
                </c:pt>
                <c:pt idx="1">
                  <c:v>77148.246567322829</c:v>
                </c:pt>
                <c:pt idx="2">
                  <c:v>79921.552916797824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2-419D-B2F4-72E686EE9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709728"/>
        <c:axId val="170708944"/>
      </c:barChart>
      <c:catAx>
        <c:axId val="17070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Uniform</a:t>
                </a:r>
                <a:r>
                  <a:rPr lang="en-US" baseline="0"/>
                  <a:t> Subsidy Progam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08944"/>
        <c:crosses val="autoZero"/>
        <c:auto val="1"/>
        <c:lblAlgn val="ctr"/>
        <c:lblOffset val="100"/>
        <c:noMultiLvlLbl val="0"/>
      </c:catAx>
      <c:valAx>
        <c:axId val="17070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 Ratio (KES)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0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Sensitivity Analysis- Number of Schools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'Sensitivity Analysis #1'!$K$8</c:f>
              <c:strCache>
                <c:ptCount val="1"/>
                <c:pt idx="0">
                  <c:v>CE Ratio (KES)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'Sensitivity Analysis #1'!$J$9:$J$11</c:f>
              <c:strCache>
                <c:ptCount val="3"/>
                <c:pt idx="0">
                  <c:v>71 schools</c:v>
                </c:pt>
                <c:pt idx="1">
                  <c:v>142 schools</c:v>
                </c:pt>
                <c:pt idx="2">
                  <c:v>248 schools</c:v>
                </c:pt>
              </c:strCache>
            </c:strRef>
          </c:cat>
          <c:val>
            <c:numRef>
              <c:f>'Sensitivity Analysis #1'!$K$9:$K$11</c:f>
              <c:numCache>
                <c:formatCode>_(* #,##0_);_(* \(#,##0\);_(* "-"??_);_(@_)</c:formatCode>
                <c:ptCount val="3"/>
                <c:pt idx="0">
                  <c:v>8864</c:v>
                </c:pt>
                <c:pt idx="1">
                  <c:v>8517</c:v>
                </c:pt>
                <c:pt idx="2">
                  <c:v>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7-40EC-8F43-4C8767AC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709336"/>
        <c:axId val="170711688"/>
      </c:barChart>
      <c:catAx>
        <c:axId val="17070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RR Program Number of Schools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11688"/>
        <c:crosses val="autoZero"/>
        <c:auto val="1"/>
        <c:lblAlgn val="ctr"/>
        <c:lblOffset val="100"/>
        <c:noMultiLvlLbl val="0"/>
      </c:catAx>
      <c:valAx>
        <c:axId val="17071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</a:t>
                </a:r>
                <a:r>
                  <a:rPr lang="en-US" baseline="0"/>
                  <a:t> Ratio (KES)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12</xdr:row>
      <xdr:rowOff>100012</xdr:rowOff>
    </xdr:from>
    <xdr:to>
      <xdr:col>12</xdr:col>
      <xdr:colOff>542925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15</xdr:row>
      <xdr:rowOff>176212</xdr:rowOff>
    </xdr:from>
    <xdr:to>
      <xdr:col>12</xdr:col>
      <xdr:colOff>476250</xdr:colOff>
      <xdr:row>30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1"/>
  <sheetViews>
    <sheetView showGridLines="0" zoomScale="110" zoomScaleNormal="110" workbookViewId="0">
      <pane ySplit="4" topLeftCell="A5" activePane="bottomLeft" state="frozen"/>
      <selection pane="bottomLeft" activeCell="B6" sqref="B6"/>
    </sheetView>
  </sheetViews>
  <sheetFormatPr defaultColWidth="9" defaultRowHeight="15.75" x14ac:dyDescent="0.25"/>
  <cols>
    <col min="1" max="1" width="3" style="51" customWidth="1"/>
    <col min="2" max="2" width="42.42578125" style="51" bestFit="1" customWidth="1"/>
    <col min="3" max="3" width="43.5703125" style="51" customWidth="1"/>
    <col min="4" max="4" width="12.85546875" style="52" bestFit="1" customWidth="1"/>
    <col min="5" max="5" width="11.42578125" style="52" bestFit="1" customWidth="1"/>
    <col min="6" max="6" width="27.28515625" style="52" customWidth="1"/>
    <col min="7" max="7" width="9.140625" style="52" bestFit="1" customWidth="1"/>
    <col min="8" max="8" width="8" style="52" bestFit="1" customWidth="1"/>
    <col min="9" max="9" width="9.7109375" style="52" bestFit="1" customWidth="1"/>
    <col min="10" max="10" width="13.7109375" style="52" bestFit="1" customWidth="1"/>
    <col min="11" max="11" width="19.140625" style="52" customWidth="1"/>
    <col min="12" max="12" width="11.42578125" style="52" customWidth="1"/>
    <col min="13" max="13" width="18.140625" style="54" bestFit="1" customWidth="1"/>
    <col min="14" max="14" width="21.140625" style="51" bestFit="1" customWidth="1"/>
    <col min="15" max="16384" width="9" style="51"/>
  </cols>
  <sheetData>
    <row r="2" spans="2:14" x14ac:dyDescent="0.25">
      <c r="B2" s="84" t="s">
        <v>12</v>
      </c>
      <c r="C2" s="78"/>
      <c r="D2" s="79"/>
      <c r="E2" s="79"/>
      <c r="F2" s="79"/>
      <c r="G2" s="79"/>
      <c r="H2" s="79"/>
      <c r="I2" s="79"/>
      <c r="J2" s="79"/>
      <c r="K2" s="85"/>
      <c r="L2" s="53"/>
    </row>
    <row r="3" spans="2:14" x14ac:dyDescent="0.25">
      <c r="B3" s="84" t="s">
        <v>67</v>
      </c>
      <c r="C3" s="78">
        <v>50.3</v>
      </c>
      <c r="D3" s="79"/>
      <c r="E3" s="79"/>
      <c r="F3" s="79"/>
      <c r="G3" s="79"/>
      <c r="H3" s="79"/>
      <c r="I3" s="79"/>
      <c r="J3" s="79" t="s">
        <v>68</v>
      </c>
      <c r="K3" s="85"/>
      <c r="L3" s="53"/>
    </row>
    <row r="4" spans="2:14" x14ac:dyDescent="0.25">
      <c r="B4" s="55" t="s">
        <v>2</v>
      </c>
      <c r="C4" s="55" t="s">
        <v>124</v>
      </c>
      <c r="D4" s="56" t="s">
        <v>1</v>
      </c>
      <c r="E4" s="56" t="s">
        <v>17</v>
      </c>
      <c r="F4" s="56" t="s">
        <v>30</v>
      </c>
      <c r="G4" s="56" t="s">
        <v>31</v>
      </c>
      <c r="H4" s="56" t="s">
        <v>56</v>
      </c>
      <c r="I4" s="56" t="s">
        <v>26</v>
      </c>
      <c r="J4" s="136" t="s">
        <v>32</v>
      </c>
      <c r="K4" s="57" t="s">
        <v>29</v>
      </c>
      <c r="L4" s="83"/>
      <c r="M4" s="56" t="s">
        <v>122</v>
      </c>
      <c r="N4" s="56" t="s">
        <v>123</v>
      </c>
    </row>
    <row r="5" spans="2:14" x14ac:dyDescent="0.25">
      <c r="B5" s="86" t="s">
        <v>3</v>
      </c>
      <c r="C5" s="87"/>
      <c r="D5" s="67"/>
      <c r="E5" s="67"/>
      <c r="F5" s="67"/>
      <c r="G5" s="77"/>
      <c r="H5" s="77"/>
      <c r="I5" s="77"/>
      <c r="J5" s="77"/>
      <c r="K5" s="88"/>
      <c r="L5" s="58"/>
    </row>
    <row r="6" spans="2:14" ht="49.5" customHeight="1" x14ac:dyDescent="0.25">
      <c r="B6" s="91" t="s">
        <v>0</v>
      </c>
      <c r="C6" s="92" t="s">
        <v>110</v>
      </c>
      <c r="D6" s="93" t="s">
        <v>157</v>
      </c>
      <c r="E6" s="94" t="s">
        <v>23</v>
      </c>
      <c r="F6" s="95" t="s">
        <v>85</v>
      </c>
      <c r="G6" s="96">
        <v>2004</v>
      </c>
      <c r="H6" s="96" t="s">
        <v>55</v>
      </c>
      <c r="I6" s="96" t="s">
        <v>55</v>
      </c>
      <c r="J6" s="96" t="s">
        <v>55</v>
      </c>
      <c r="K6" s="97">
        <v>35000</v>
      </c>
      <c r="L6" s="59"/>
      <c r="M6" s="60">
        <f>K6*2</f>
        <v>70000</v>
      </c>
      <c r="N6" s="61">
        <f>M6*2</f>
        <v>140000</v>
      </c>
    </row>
    <row r="7" spans="2:14" x14ac:dyDescent="0.25">
      <c r="B7" s="89" t="s">
        <v>4</v>
      </c>
      <c r="C7" s="87"/>
      <c r="D7" s="67"/>
      <c r="E7" s="75"/>
      <c r="F7" s="76"/>
      <c r="G7" s="77"/>
      <c r="H7" s="77"/>
      <c r="I7" s="77"/>
      <c r="J7" s="77"/>
      <c r="K7" s="81"/>
      <c r="L7" s="59"/>
    </row>
    <row r="8" spans="2:14" ht="31.5" x14ac:dyDescent="0.25">
      <c r="B8" s="91" t="s">
        <v>9</v>
      </c>
      <c r="C8" s="98" t="s">
        <v>25</v>
      </c>
      <c r="D8" s="56">
        <v>71</v>
      </c>
      <c r="E8" s="94" t="s">
        <v>63</v>
      </c>
      <c r="F8" s="95" t="s">
        <v>159</v>
      </c>
      <c r="G8" s="90">
        <v>2006</v>
      </c>
      <c r="H8" s="99">
        <f>'Facility&amp;Equip'!B11</f>
        <v>10.7997</v>
      </c>
      <c r="I8" s="97">
        <f>D8*H8</f>
        <v>766.77869999999996</v>
      </c>
      <c r="J8" s="90">
        <v>63.6</v>
      </c>
      <c r="K8" s="97">
        <f>I8*$C$3/J8</f>
        <v>606.43032405660369</v>
      </c>
      <c r="L8" s="59"/>
      <c r="M8" s="60">
        <f>K8*2</f>
        <v>1212.8606481132074</v>
      </c>
      <c r="N8" s="60">
        <f>M8*2</f>
        <v>2425.7212962264148</v>
      </c>
    </row>
    <row r="9" spans="2:14" x14ac:dyDescent="0.25">
      <c r="B9" s="89" t="s">
        <v>5</v>
      </c>
      <c r="C9" s="87"/>
      <c r="D9" s="67"/>
      <c r="E9" s="75"/>
      <c r="F9" s="76"/>
      <c r="G9" s="77"/>
      <c r="H9" s="77"/>
      <c r="I9" s="77"/>
      <c r="J9" s="77"/>
      <c r="K9" s="81"/>
      <c r="L9" s="59"/>
    </row>
    <row r="10" spans="2:14" ht="47.25" x14ac:dyDescent="0.25">
      <c r="B10" s="91" t="s">
        <v>11</v>
      </c>
      <c r="C10" s="100"/>
      <c r="D10" s="94" t="s">
        <v>158</v>
      </c>
      <c r="E10" s="94" t="s">
        <v>24</v>
      </c>
      <c r="F10" s="95" t="s">
        <v>85</v>
      </c>
      <c r="G10" s="96">
        <v>2004</v>
      </c>
      <c r="H10" s="96" t="s">
        <v>55</v>
      </c>
      <c r="I10" s="96" t="s">
        <v>55</v>
      </c>
      <c r="J10" s="96" t="s">
        <v>55</v>
      </c>
      <c r="K10" s="97">
        <v>84000</v>
      </c>
      <c r="L10" s="59"/>
      <c r="M10" s="60">
        <f>K10*2</f>
        <v>168000</v>
      </c>
      <c r="N10" s="60">
        <f>M10*2</f>
        <v>336000</v>
      </c>
    </row>
    <row r="11" spans="2:14" x14ac:dyDescent="0.25">
      <c r="B11" s="115" t="s">
        <v>13</v>
      </c>
      <c r="C11" s="119"/>
      <c r="D11" s="104"/>
      <c r="E11" s="105"/>
      <c r="F11" s="122"/>
      <c r="G11" s="106"/>
      <c r="H11" s="106"/>
      <c r="I11" s="106"/>
      <c r="J11" s="106"/>
      <c r="K11" s="80"/>
      <c r="L11" s="59"/>
    </row>
    <row r="12" spans="2:14" ht="31.5" x14ac:dyDescent="0.25">
      <c r="B12" s="116" t="s">
        <v>15</v>
      </c>
      <c r="C12" s="120" t="s">
        <v>111</v>
      </c>
      <c r="D12" s="107">
        <v>13.5</v>
      </c>
      <c r="E12" s="108" t="s">
        <v>23</v>
      </c>
      <c r="F12" s="109" t="s">
        <v>159</v>
      </c>
      <c r="G12" s="110">
        <v>2006</v>
      </c>
      <c r="H12" s="111">
        <f>'Facility&amp;Equip'!B8</f>
        <v>16.191600000000001</v>
      </c>
      <c r="I12" s="112">
        <f t="shared" ref="I12:I17" si="0">D12*H12</f>
        <v>218.5866</v>
      </c>
      <c r="J12" s="110">
        <v>63.6</v>
      </c>
      <c r="K12" s="82">
        <f t="shared" ref="K12:K17" si="1">I12*$C$3/J12</f>
        <v>172.87588018867925</v>
      </c>
      <c r="L12" s="59"/>
      <c r="M12" s="60">
        <f>K12</f>
        <v>172.87588018867925</v>
      </c>
      <c r="N12" s="60">
        <f t="shared" ref="N12:N15" si="2">M12</f>
        <v>172.87588018867925</v>
      </c>
    </row>
    <row r="13" spans="2:14" ht="31.5" x14ac:dyDescent="0.25">
      <c r="B13" s="113" t="s">
        <v>91</v>
      </c>
      <c r="C13" s="120" t="s">
        <v>112</v>
      </c>
      <c r="D13" s="117">
        <v>13.5</v>
      </c>
      <c r="E13" s="108" t="s">
        <v>23</v>
      </c>
      <c r="F13" s="109" t="s">
        <v>160</v>
      </c>
      <c r="G13" s="110">
        <v>2015</v>
      </c>
      <c r="H13" s="112">
        <f>'Principal Salary'!D14</f>
        <v>601.69615384615383</v>
      </c>
      <c r="I13" s="112">
        <f t="shared" si="0"/>
        <v>8122.8980769230766</v>
      </c>
      <c r="J13" s="114">
        <v>140.9</v>
      </c>
      <c r="K13" s="112">
        <f t="shared" si="1"/>
        <v>2899.7996683408851</v>
      </c>
      <c r="L13" s="59"/>
      <c r="M13" s="60">
        <f>K13</f>
        <v>2899.7996683408851</v>
      </c>
      <c r="N13" s="60">
        <f t="shared" si="2"/>
        <v>2899.7996683408851</v>
      </c>
    </row>
    <row r="14" spans="2:14" x14ac:dyDescent="0.25">
      <c r="B14" s="110" t="s">
        <v>16</v>
      </c>
      <c r="C14" s="121" t="s">
        <v>113</v>
      </c>
      <c r="D14" s="118">
        <v>1</v>
      </c>
      <c r="E14" s="94" t="s">
        <v>70</v>
      </c>
      <c r="F14" s="95" t="s">
        <v>71</v>
      </c>
      <c r="G14" s="90">
        <v>2005</v>
      </c>
      <c r="H14" s="90">
        <v>0.185</v>
      </c>
      <c r="I14" s="102">
        <f t="shared" si="0"/>
        <v>0.185</v>
      </c>
      <c r="J14" s="90">
        <v>55.5</v>
      </c>
      <c r="K14" s="103">
        <f t="shared" si="1"/>
        <v>0.16766666666666663</v>
      </c>
      <c r="L14" s="62"/>
      <c r="M14" s="63">
        <f>K14</f>
        <v>0.16766666666666663</v>
      </c>
      <c r="N14" s="63">
        <f t="shared" si="2"/>
        <v>0.16766666666666663</v>
      </c>
    </row>
    <row r="15" spans="2:14" ht="31.5" x14ac:dyDescent="0.25">
      <c r="B15" s="91" t="s">
        <v>7</v>
      </c>
      <c r="C15" s="98" t="s">
        <v>114</v>
      </c>
      <c r="D15" s="56">
        <v>40</v>
      </c>
      <c r="E15" s="94" t="s">
        <v>23</v>
      </c>
      <c r="F15" s="91"/>
      <c r="G15" s="90">
        <v>2015</v>
      </c>
      <c r="H15" s="97">
        <f>'Principal Salary'!D14</f>
        <v>601.69615384615383</v>
      </c>
      <c r="I15" s="97">
        <f t="shared" si="0"/>
        <v>24067.846153846152</v>
      </c>
      <c r="J15" s="101">
        <v>140.9</v>
      </c>
      <c r="K15" s="97">
        <f t="shared" si="1"/>
        <v>8591.999017306327</v>
      </c>
      <c r="L15" s="59"/>
      <c r="M15" s="60">
        <f>K15</f>
        <v>8591.999017306327</v>
      </c>
      <c r="N15" s="60">
        <f t="shared" si="2"/>
        <v>8591.999017306327</v>
      </c>
    </row>
    <row r="16" spans="2:14" x14ac:dyDescent="0.25">
      <c r="B16" s="91" t="s">
        <v>10</v>
      </c>
      <c r="C16" s="55" t="s">
        <v>115</v>
      </c>
      <c r="D16" s="56">
        <v>2441</v>
      </c>
      <c r="E16" s="94" t="s">
        <v>65</v>
      </c>
      <c r="F16" s="95" t="s">
        <v>66</v>
      </c>
      <c r="G16" s="90">
        <v>2014</v>
      </c>
      <c r="H16" s="90">
        <v>5</v>
      </c>
      <c r="I16" s="97">
        <f t="shared" si="0"/>
        <v>12205</v>
      </c>
      <c r="J16" s="90">
        <v>140.9</v>
      </c>
      <c r="K16" s="97">
        <f t="shared" si="1"/>
        <v>4357.0723917672103</v>
      </c>
      <c r="L16" s="59"/>
      <c r="M16" s="60">
        <f>K16*2</f>
        <v>8714.1447835344206</v>
      </c>
      <c r="N16" s="60">
        <f>M16*2</f>
        <v>17428.289567068841</v>
      </c>
    </row>
    <row r="17" spans="2:14" x14ac:dyDescent="0.25">
      <c r="B17" s="91" t="s">
        <v>8</v>
      </c>
      <c r="C17" s="55" t="s">
        <v>116</v>
      </c>
      <c r="D17" s="56">
        <v>1</v>
      </c>
      <c r="E17" s="94" t="s">
        <v>28</v>
      </c>
      <c r="F17" s="91" t="s">
        <v>69</v>
      </c>
      <c r="G17" s="90">
        <v>2015</v>
      </c>
      <c r="H17" s="90">
        <v>1004</v>
      </c>
      <c r="I17" s="97">
        <f t="shared" si="0"/>
        <v>1004</v>
      </c>
      <c r="J17" s="90">
        <v>140.9</v>
      </c>
      <c r="K17" s="97">
        <f t="shared" si="1"/>
        <v>358.41873669268983</v>
      </c>
      <c r="L17" s="59"/>
      <c r="M17" s="60">
        <f>K17</f>
        <v>358.41873669268983</v>
      </c>
      <c r="N17" s="60">
        <f>M17</f>
        <v>358.41873669268983</v>
      </c>
    </row>
    <row r="18" spans="2:14" x14ac:dyDescent="0.25">
      <c r="B18" s="91" t="s">
        <v>18</v>
      </c>
      <c r="C18" s="151" t="s">
        <v>22</v>
      </c>
      <c r="D18" s="56">
        <v>1</v>
      </c>
      <c r="E18" s="94" t="s">
        <v>18</v>
      </c>
      <c r="F18" s="152" t="s">
        <v>85</v>
      </c>
      <c r="G18" s="154">
        <v>2004</v>
      </c>
      <c r="H18" s="154" t="s">
        <v>55</v>
      </c>
      <c r="I18" s="154" t="s">
        <v>55</v>
      </c>
      <c r="J18" s="154" t="s">
        <v>55</v>
      </c>
      <c r="K18" s="153">
        <v>17490</v>
      </c>
      <c r="L18" s="64"/>
      <c r="M18" s="60">
        <f>K18*2</f>
        <v>34980</v>
      </c>
      <c r="N18" s="60">
        <f>M18*2</f>
        <v>69960</v>
      </c>
    </row>
    <row r="19" spans="2:14" x14ac:dyDescent="0.25">
      <c r="B19" s="91" t="s">
        <v>19</v>
      </c>
      <c r="C19" s="151"/>
      <c r="D19" s="56">
        <v>1</v>
      </c>
      <c r="E19" s="94" t="s">
        <v>19</v>
      </c>
      <c r="F19" s="152"/>
      <c r="G19" s="154"/>
      <c r="H19" s="154"/>
      <c r="I19" s="154"/>
      <c r="J19" s="154"/>
      <c r="K19" s="153"/>
      <c r="L19" s="64"/>
    </row>
    <row r="20" spans="2:14" s="66" customFormat="1" x14ac:dyDescent="0.25">
      <c r="B20" s="91" t="s">
        <v>20</v>
      </c>
      <c r="C20" s="151"/>
      <c r="D20" s="56">
        <v>1</v>
      </c>
      <c r="E20" s="94" t="s">
        <v>20</v>
      </c>
      <c r="F20" s="152"/>
      <c r="G20" s="154"/>
      <c r="H20" s="154"/>
      <c r="I20" s="154"/>
      <c r="J20" s="154"/>
      <c r="K20" s="153"/>
      <c r="L20" s="65"/>
    </row>
    <row r="21" spans="2:14" x14ac:dyDescent="0.25">
      <c r="B21" s="130"/>
      <c r="C21" s="131"/>
      <c r="D21" s="124"/>
      <c r="E21" s="124"/>
      <c r="F21" s="132"/>
      <c r="G21" s="133"/>
      <c r="H21" s="133"/>
      <c r="I21" s="133"/>
      <c r="J21" s="129" t="s">
        <v>120</v>
      </c>
      <c r="K21" s="81">
        <f>SUM(K6:K20)</f>
        <v>153476.76368501902</v>
      </c>
      <c r="L21" s="59"/>
      <c r="M21" s="59">
        <f>SUM(M6:M20)</f>
        <v>294930.26640084293</v>
      </c>
      <c r="N21" s="59">
        <f>SUM(N6:N20)</f>
        <v>577837.27183249046</v>
      </c>
    </row>
    <row r="22" spans="2:14" x14ac:dyDescent="0.25">
      <c r="B22" s="127" t="s">
        <v>27</v>
      </c>
      <c r="C22" s="55" t="s">
        <v>117</v>
      </c>
      <c r="D22" s="128"/>
      <c r="E22" s="124"/>
      <c r="F22" s="124"/>
      <c r="G22" s="125"/>
      <c r="H22" s="125"/>
      <c r="I22" s="125"/>
      <c r="J22" s="129"/>
      <c r="K22" s="126">
        <f>0.05*K21</f>
        <v>7673.8381842509516</v>
      </c>
      <c r="L22" s="65"/>
      <c r="M22" s="68">
        <f>0.05*M21</f>
        <v>14746.513320042148</v>
      </c>
      <c r="N22" s="68">
        <f>0.05*N21</f>
        <v>28891.863591624526</v>
      </c>
    </row>
    <row r="23" spans="2:14" x14ac:dyDescent="0.25">
      <c r="B23" s="134"/>
      <c r="C23" s="123"/>
      <c r="D23" s="124"/>
      <c r="E23" s="124"/>
      <c r="F23" s="124"/>
      <c r="G23" s="125"/>
      <c r="H23" s="125"/>
      <c r="I23" s="125"/>
      <c r="J23" s="135" t="s">
        <v>6</v>
      </c>
      <c r="K23" s="82">
        <f>SUM(K21:K22)</f>
        <v>161150.60186926997</v>
      </c>
      <c r="L23" s="59"/>
      <c r="M23" s="69">
        <f>SUM(M21:M22)</f>
        <v>309676.7797208851</v>
      </c>
      <c r="N23" s="69">
        <f>SUM(N21:N22)</f>
        <v>606729.135424115</v>
      </c>
    </row>
    <row r="24" spans="2:14" x14ac:dyDescent="0.25">
      <c r="B24" s="52"/>
      <c r="K24" s="69"/>
      <c r="L24" s="69"/>
      <c r="M24" s="70"/>
      <c r="N24" s="71"/>
    </row>
    <row r="25" spans="2:14" x14ac:dyDescent="0.25">
      <c r="B25" s="52"/>
      <c r="K25" s="69"/>
      <c r="L25" s="69"/>
    </row>
    <row r="26" spans="2:14" x14ac:dyDescent="0.25">
      <c r="K26" s="69"/>
      <c r="L26" s="69"/>
    </row>
    <row r="27" spans="2:14" x14ac:dyDescent="0.25">
      <c r="G27" s="72"/>
      <c r="K27" s="69"/>
      <c r="L27" s="69"/>
    </row>
    <row r="28" spans="2:14" x14ac:dyDescent="0.25">
      <c r="G28" s="73"/>
      <c r="H28" s="73"/>
    </row>
    <row r="29" spans="2:14" x14ac:dyDescent="0.25">
      <c r="G29" s="74"/>
      <c r="H29" s="74"/>
    </row>
    <row r="30" spans="2:14" x14ac:dyDescent="0.25">
      <c r="G30" s="69"/>
      <c r="H30" s="69"/>
    </row>
    <row r="31" spans="2:14" x14ac:dyDescent="0.25">
      <c r="G31" s="74"/>
      <c r="H31" s="74"/>
    </row>
  </sheetData>
  <mergeCells count="7">
    <mergeCell ref="C18:C20"/>
    <mergeCell ref="F18:F20"/>
    <mergeCell ref="K18:K20"/>
    <mergeCell ref="G18:G20"/>
    <mergeCell ref="H18:H20"/>
    <mergeCell ref="I18:I20"/>
    <mergeCell ref="J18:J2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zoomScale="110" zoomScaleNormal="110" workbookViewId="0">
      <pane ySplit="4" topLeftCell="A5" activePane="bottomLeft" state="frozen"/>
      <selection activeCell="B1" sqref="B1"/>
      <selection pane="bottomLeft" activeCell="K12" sqref="K12"/>
    </sheetView>
  </sheetViews>
  <sheetFormatPr defaultRowHeight="15" x14ac:dyDescent="0.25"/>
  <cols>
    <col min="1" max="1" width="4.7109375" customWidth="1"/>
    <col min="2" max="2" width="38.42578125" bestFit="1" customWidth="1"/>
    <col min="3" max="3" width="72.5703125" customWidth="1"/>
    <col min="4" max="4" width="15" style="6" customWidth="1"/>
    <col min="5" max="5" width="7.85546875" style="6" customWidth="1"/>
    <col min="6" max="6" width="22.85546875" style="6" customWidth="1"/>
    <col min="7" max="7" width="9.7109375" bestFit="1" customWidth="1"/>
    <col min="8" max="8" width="10.5703125" bestFit="1" customWidth="1"/>
    <col min="9" max="9" width="11.28515625" bestFit="1" customWidth="1"/>
    <col min="10" max="10" width="14.7109375" bestFit="1" customWidth="1"/>
    <col min="11" max="11" width="17" bestFit="1" customWidth="1"/>
    <col min="12" max="12" width="13.5703125" customWidth="1"/>
    <col min="13" max="13" width="18.140625" bestFit="1" customWidth="1"/>
    <col min="14" max="14" width="18.28515625" bestFit="1" customWidth="1"/>
    <col min="15" max="15" width="13.28515625" bestFit="1" customWidth="1"/>
  </cols>
  <sheetData>
    <row r="2" spans="2:15" x14ac:dyDescent="0.25">
      <c r="B2" s="30" t="s">
        <v>87</v>
      </c>
      <c r="C2" s="4"/>
    </row>
    <row r="3" spans="2:15" x14ac:dyDescent="0.25">
      <c r="B3" t="s">
        <v>67</v>
      </c>
      <c r="C3">
        <v>50.3</v>
      </c>
      <c r="G3" s="6"/>
      <c r="H3" s="6"/>
      <c r="I3" s="6"/>
      <c r="J3" s="6" t="s">
        <v>68</v>
      </c>
      <c r="K3" s="23"/>
      <c r="L3" s="23"/>
    </row>
    <row r="4" spans="2:15" x14ac:dyDescent="0.25">
      <c r="B4" s="5" t="s">
        <v>2</v>
      </c>
      <c r="C4" s="5" t="s">
        <v>124</v>
      </c>
      <c r="D4" s="7" t="s">
        <v>1</v>
      </c>
      <c r="E4" s="7" t="s">
        <v>17</v>
      </c>
      <c r="F4" s="7" t="s">
        <v>30</v>
      </c>
      <c r="G4" s="7" t="s">
        <v>31</v>
      </c>
      <c r="H4" s="7" t="s">
        <v>56</v>
      </c>
      <c r="I4" s="7" t="s">
        <v>26</v>
      </c>
      <c r="J4" s="7" t="s">
        <v>32</v>
      </c>
      <c r="K4" s="18" t="s">
        <v>29</v>
      </c>
      <c r="L4" s="18"/>
      <c r="M4" s="7" t="s">
        <v>122</v>
      </c>
      <c r="N4" s="7" t="s">
        <v>123</v>
      </c>
    </row>
    <row r="5" spans="2:15" x14ac:dyDescent="0.25">
      <c r="B5" s="3" t="s">
        <v>3</v>
      </c>
      <c r="C5" s="3"/>
    </row>
    <row r="6" spans="2:15" ht="30" x14ac:dyDescent="0.25">
      <c r="B6" s="158" t="s">
        <v>90</v>
      </c>
      <c r="C6" s="4" t="s">
        <v>95</v>
      </c>
      <c r="D6" s="6">
        <v>83</v>
      </c>
      <c r="E6" s="6" t="s">
        <v>23</v>
      </c>
      <c r="F6" s="156" t="s">
        <v>161</v>
      </c>
      <c r="G6" s="157">
        <v>2015</v>
      </c>
      <c r="H6" s="27">
        <f>'Principal Salary'!$D$14</f>
        <v>601.69615384615383</v>
      </c>
      <c r="I6" s="13">
        <f>H6*D6</f>
        <v>49940.780769230769</v>
      </c>
      <c r="J6" s="12">
        <v>140.9</v>
      </c>
      <c r="K6" s="13">
        <f>$C$3*I6/J6</f>
        <v>17828.397960910628</v>
      </c>
      <c r="L6" s="13"/>
      <c r="M6" s="35">
        <f>K6*2</f>
        <v>35656.795921821256</v>
      </c>
      <c r="N6" s="35">
        <f>M6*2</f>
        <v>71313.591843642513</v>
      </c>
    </row>
    <row r="7" spans="2:15" x14ac:dyDescent="0.25">
      <c r="B7" s="158"/>
      <c r="C7" t="s">
        <v>97</v>
      </c>
      <c r="D7" s="6">
        <v>83</v>
      </c>
      <c r="E7" s="6" t="s">
        <v>23</v>
      </c>
      <c r="F7" s="156"/>
      <c r="G7" s="157"/>
      <c r="H7" s="27">
        <f>'Principal Salary'!$D$14</f>
        <v>601.69615384615383</v>
      </c>
      <c r="I7" s="13">
        <f>H7*D7</f>
        <v>49940.780769230769</v>
      </c>
      <c r="J7" s="12">
        <v>140.9</v>
      </c>
      <c r="K7" s="13">
        <f t="shared" ref="K7:K10" si="0">$C$3*I7/J7</f>
        <v>17828.397960910628</v>
      </c>
      <c r="L7" s="13"/>
      <c r="M7" s="35">
        <f>K7*2</f>
        <v>35656.795921821256</v>
      </c>
      <c r="N7" s="35">
        <f t="shared" ref="N7:N12" si="1">M7*2</f>
        <v>71313.591843642513</v>
      </c>
    </row>
    <row r="8" spans="2:15" x14ac:dyDescent="0.25">
      <c r="B8" s="158"/>
      <c r="C8" t="s">
        <v>94</v>
      </c>
      <c r="D8" s="6">
        <v>83</v>
      </c>
      <c r="E8" s="6" t="s">
        <v>23</v>
      </c>
      <c r="F8" s="156"/>
      <c r="G8" s="157"/>
      <c r="H8" s="27">
        <f>'Principal Salary'!$D$14</f>
        <v>601.69615384615383</v>
      </c>
      <c r="I8" s="13">
        <f>H8*D8</f>
        <v>49940.780769230769</v>
      </c>
      <c r="J8" s="12">
        <v>140.9</v>
      </c>
      <c r="K8" s="13">
        <f t="shared" si="0"/>
        <v>17828.397960910628</v>
      </c>
      <c r="L8" s="13"/>
      <c r="M8" s="35">
        <f>K8*2</f>
        <v>35656.795921821256</v>
      </c>
      <c r="N8" s="35">
        <f t="shared" si="1"/>
        <v>71313.591843642513</v>
      </c>
      <c r="O8" s="22"/>
    </row>
    <row r="9" spans="2:15" ht="30" x14ac:dyDescent="0.25">
      <c r="B9" s="158"/>
      <c r="C9" s="4" t="s">
        <v>96</v>
      </c>
      <c r="D9" s="6">
        <v>83</v>
      </c>
      <c r="E9" s="2" t="s">
        <v>23</v>
      </c>
      <c r="F9" s="156"/>
      <c r="G9" s="157"/>
      <c r="H9" s="27">
        <f>'Principal Salary'!$D$14</f>
        <v>601.69615384615383</v>
      </c>
      <c r="I9" s="13">
        <f>H9*D9</f>
        <v>49940.780769230769</v>
      </c>
      <c r="J9" s="12">
        <v>140.9</v>
      </c>
      <c r="K9" s="13">
        <f>$C$3*I9/J9</f>
        <v>17828.397960910628</v>
      </c>
      <c r="L9" s="13"/>
      <c r="M9" s="35">
        <f>K9*2</f>
        <v>35656.795921821256</v>
      </c>
      <c r="N9" s="35">
        <f t="shared" si="1"/>
        <v>71313.591843642513</v>
      </c>
      <c r="O9" s="22"/>
    </row>
    <row r="10" spans="2:15" x14ac:dyDescent="0.25">
      <c r="B10" s="158"/>
      <c r="C10" t="s">
        <v>98</v>
      </c>
      <c r="D10" s="6">
        <v>83</v>
      </c>
      <c r="E10" s="2" t="s">
        <v>23</v>
      </c>
      <c r="F10" s="156"/>
      <c r="G10" s="157"/>
      <c r="H10" s="27">
        <f>'Principal Salary'!$D$14</f>
        <v>601.69615384615383</v>
      </c>
      <c r="I10" s="13">
        <f>H10*D10</f>
        <v>49940.780769230769</v>
      </c>
      <c r="J10" s="12">
        <v>140.9</v>
      </c>
      <c r="K10" s="13">
        <f t="shared" si="0"/>
        <v>17828.397960910628</v>
      </c>
      <c r="L10" s="13"/>
      <c r="M10" s="35">
        <f>K10*2</f>
        <v>35656.795921821256</v>
      </c>
      <c r="N10" s="35">
        <f t="shared" si="1"/>
        <v>71313.591843642513</v>
      </c>
    </row>
    <row r="11" spans="2:15" x14ac:dyDescent="0.25">
      <c r="B11" s="3" t="s">
        <v>5</v>
      </c>
      <c r="C11" s="3"/>
      <c r="F11" s="33"/>
      <c r="M11" s="35"/>
    </row>
    <row r="12" spans="2:15" ht="47.25" customHeight="1" x14ac:dyDescent="0.25">
      <c r="B12" t="s">
        <v>21</v>
      </c>
      <c r="C12" s="155" t="s">
        <v>99</v>
      </c>
      <c r="D12" s="9">
        <v>2500</v>
      </c>
      <c r="E12" s="6" t="s">
        <v>86</v>
      </c>
      <c r="F12" s="25" t="s">
        <v>85</v>
      </c>
      <c r="G12">
        <v>2003</v>
      </c>
      <c r="H12" s="6">
        <v>478</v>
      </c>
      <c r="I12" s="13">
        <f t="shared" ref="I12:I15" si="2">H12*D12</f>
        <v>1195000</v>
      </c>
      <c r="J12">
        <v>45.1</v>
      </c>
      <c r="K12" s="9">
        <f>I12*J12/$C$3</f>
        <v>1071461.2326043737</v>
      </c>
      <c r="L12" s="9"/>
      <c r="M12" s="35">
        <f t="shared" ref="M12:M15" si="3">K12*2</f>
        <v>2142922.4652087474</v>
      </c>
      <c r="N12" s="35">
        <f t="shared" si="1"/>
        <v>4285844.9304174948</v>
      </c>
    </row>
    <row r="13" spans="2:15" ht="45" x14ac:dyDescent="0.25">
      <c r="B13" t="s">
        <v>14</v>
      </c>
      <c r="C13" s="155"/>
      <c r="D13" s="9">
        <v>2500</v>
      </c>
      <c r="E13" s="6" t="s">
        <v>86</v>
      </c>
      <c r="F13" s="25" t="s">
        <v>85</v>
      </c>
      <c r="G13">
        <v>2004</v>
      </c>
      <c r="H13" s="6">
        <v>478</v>
      </c>
      <c r="I13" s="13">
        <f t="shared" si="2"/>
        <v>1195000</v>
      </c>
      <c r="J13" s="31" t="s">
        <v>55</v>
      </c>
      <c r="K13" s="13">
        <f>I13</f>
        <v>1195000</v>
      </c>
      <c r="L13" s="13"/>
      <c r="M13" s="35">
        <f t="shared" si="3"/>
        <v>2390000</v>
      </c>
      <c r="N13" s="35">
        <f t="shared" ref="N13" si="4">M13*2</f>
        <v>4780000</v>
      </c>
    </row>
    <row r="14" spans="2:15" ht="123" customHeight="1" x14ac:dyDescent="0.25">
      <c r="B14" s="32" t="s">
        <v>88</v>
      </c>
      <c r="C14" s="24" t="s">
        <v>92</v>
      </c>
      <c r="D14" s="6">
        <f>83*2</f>
        <v>166</v>
      </c>
      <c r="E14" s="137" t="s">
        <v>93</v>
      </c>
      <c r="F14" s="25" t="s">
        <v>85</v>
      </c>
      <c r="G14">
        <v>2003</v>
      </c>
      <c r="H14" s="9">
        <f>'RR Program'!K10/3/71</f>
        <v>394.36619718309856</v>
      </c>
      <c r="I14" s="13">
        <f t="shared" si="2"/>
        <v>65464.788732394365</v>
      </c>
      <c r="J14">
        <v>45.1</v>
      </c>
      <c r="K14" s="9">
        <f>I14*J14/$C$3</f>
        <v>58697.057094055388</v>
      </c>
      <c r="L14" s="9"/>
      <c r="M14" s="13">
        <f t="shared" si="3"/>
        <v>117394.11418811078</v>
      </c>
      <c r="N14" s="35">
        <f t="shared" ref="N14:N15" si="5">M14*2</f>
        <v>234788.22837622155</v>
      </c>
    </row>
    <row r="15" spans="2:15" ht="45" x14ac:dyDescent="0.25">
      <c r="B15" s="1" t="s">
        <v>89</v>
      </c>
      <c r="C15" s="41" t="s">
        <v>119</v>
      </c>
      <c r="D15" s="8">
        <f>83*2</f>
        <v>166</v>
      </c>
      <c r="E15" s="43" t="s">
        <v>93</v>
      </c>
      <c r="F15" s="43" t="s">
        <v>85</v>
      </c>
      <c r="G15" s="1">
        <v>2004</v>
      </c>
      <c r="H15" s="10">
        <f>'RR Program'!K10/3/71</f>
        <v>394.36619718309856</v>
      </c>
      <c r="I15" s="16">
        <f t="shared" si="2"/>
        <v>65464.788732394365</v>
      </c>
      <c r="J15" s="17" t="s">
        <v>55</v>
      </c>
      <c r="K15" s="16">
        <f>I15</f>
        <v>65464.788732394365</v>
      </c>
      <c r="L15" s="16"/>
      <c r="M15" s="16">
        <f t="shared" si="3"/>
        <v>130929.57746478873</v>
      </c>
      <c r="N15" s="44">
        <f t="shared" si="5"/>
        <v>261859.15492957746</v>
      </c>
    </row>
    <row r="16" spans="2:15" x14ac:dyDescent="0.25">
      <c r="B16" t="s">
        <v>120</v>
      </c>
      <c r="C16" s="4"/>
      <c r="E16" s="11"/>
      <c r="F16" s="39"/>
      <c r="H16" s="9"/>
      <c r="I16" s="13"/>
      <c r="J16" s="31"/>
      <c r="K16" s="13">
        <f>SUM(K6:K15)</f>
        <v>2479765.0682353768</v>
      </c>
      <c r="L16" s="13"/>
      <c r="M16" s="13">
        <f>SUM(M6:M15)</f>
        <v>4959530.1364707537</v>
      </c>
      <c r="N16" s="13">
        <f>SUM(N6:N15)</f>
        <v>9919060.2729415074</v>
      </c>
    </row>
    <row r="17" spans="2:14" s="1" customFormat="1" x14ac:dyDescent="0.25">
      <c r="B17" s="1" t="s">
        <v>121</v>
      </c>
      <c r="C17" s="40" t="s">
        <v>118</v>
      </c>
      <c r="D17" s="8"/>
      <c r="E17" s="8"/>
      <c r="F17" s="34"/>
      <c r="K17" s="16">
        <f>0.05*K16</f>
        <v>123988.25341176885</v>
      </c>
      <c r="L17" s="16"/>
      <c r="M17" s="16">
        <f>0.05*M16</f>
        <v>247976.5068235377</v>
      </c>
      <c r="N17" s="16">
        <f>0.05*N16</f>
        <v>495953.01364707539</v>
      </c>
    </row>
    <row r="18" spans="2:14" x14ac:dyDescent="0.25">
      <c r="B18" t="s">
        <v>6</v>
      </c>
      <c r="K18" s="13">
        <f>SUM(K16:K17)</f>
        <v>2603753.3216471458</v>
      </c>
      <c r="L18" s="13"/>
      <c r="M18" s="13">
        <f>SUM(M16:M17)</f>
        <v>5207506.6432942916</v>
      </c>
      <c r="N18" s="13">
        <f>SUM(N16:N17)</f>
        <v>10415013.286588583</v>
      </c>
    </row>
    <row r="19" spans="2:14" x14ac:dyDescent="0.25">
      <c r="K19" s="13"/>
      <c r="L19" s="13"/>
      <c r="M19" s="13"/>
      <c r="N19" s="13"/>
    </row>
    <row r="20" spans="2:14" x14ac:dyDescent="0.25">
      <c r="K20" s="22"/>
    </row>
    <row r="31" spans="2:14" x14ac:dyDescent="0.25">
      <c r="G31" s="6"/>
    </row>
    <row r="33" spans="9:10" x14ac:dyDescent="0.25">
      <c r="I33" s="36"/>
      <c r="J33" s="37"/>
    </row>
  </sheetData>
  <mergeCells count="4">
    <mergeCell ref="C12:C13"/>
    <mergeCell ref="F6:F10"/>
    <mergeCell ref="G6:G10"/>
    <mergeCell ref="B6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34"/>
  <sheetViews>
    <sheetView tabSelected="1" workbookViewId="0">
      <selection activeCell="R9" sqref="R9"/>
    </sheetView>
  </sheetViews>
  <sheetFormatPr defaultRowHeight="15" x14ac:dyDescent="0.25"/>
  <cols>
    <col min="1" max="1" width="30.7109375" bestFit="1" customWidth="1"/>
    <col min="2" max="2" width="4.140625" bestFit="1" customWidth="1"/>
    <col min="3" max="3" width="11.5703125" bestFit="1" customWidth="1"/>
    <col min="4" max="4" width="18.140625" bestFit="1" customWidth="1"/>
    <col min="5" max="5" width="16.140625" bestFit="1" customWidth="1"/>
    <col min="6" max="6" width="21.85546875" bestFit="1" customWidth="1"/>
    <col min="8" max="8" width="23" customWidth="1"/>
    <col min="9" max="9" width="24.5703125" customWidth="1"/>
  </cols>
  <sheetData>
    <row r="1" spans="1:9" x14ac:dyDescent="0.25">
      <c r="H1" s="47" t="s">
        <v>136</v>
      </c>
      <c r="I1" s="47" t="s">
        <v>137</v>
      </c>
    </row>
    <row r="2" spans="1:9" x14ac:dyDescent="0.25">
      <c r="A2" s="1"/>
      <c r="B2" s="1"/>
      <c r="C2" s="45" t="s">
        <v>72</v>
      </c>
      <c r="D2" s="1" t="s">
        <v>77</v>
      </c>
      <c r="E2" s="45" t="s">
        <v>76</v>
      </c>
      <c r="F2" s="46" t="s">
        <v>77</v>
      </c>
      <c r="H2" s="48" t="s">
        <v>76</v>
      </c>
      <c r="I2" s="48" t="s">
        <v>76</v>
      </c>
    </row>
    <row r="3" spans="1:9" x14ac:dyDescent="0.25">
      <c r="A3" t="s">
        <v>73</v>
      </c>
      <c r="B3" t="s">
        <v>82</v>
      </c>
      <c r="C3" s="13">
        <f>'RR Program'!K23</f>
        <v>161150.60186926997</v>
      </c>
      <c r="D3" s="26" t="s">
        <v>78</v>
      </c>
      <c r="E3" s="13">
        <f>'Uniform Program'!K18</f>
        <v>2603753.3216471458</v>
      </c>
      <c r="F3" t="s">
        <v>84</v>
      </c>
      <c r="H3" s="13">
        <f>'Uniform Sensitivity Low'!J17</f>
        <v>2556953.7769997553</v>
      </c>
      <c r="I3" s="13">
        <f>'Uniform Sensitivity High'!J17</f>
        <v>2697352.4109419263</v>
      </c>
    </row>
    <row r="4" spans="1:9" x14ac:dyDescent="0.25">
      <c r="A4" t="s">
        <v>74</v>
      </c>
      <c r="C4" s="13">
        <v>1212</v>
      </c>
      <c r="D4" t="s">
        <v>79</v>
      </c>
      <c r="E4" s="9">
        <v>1250</v>
      </c>
      <c r="F4" s="6" t="s">
        <v>107</v>
      </c>
      <c r="H4" s="35">
        <f>E4</f>
        <v>1250</v>
      </c>
      <c r="I4" s="35">
        <f>E4</f>
        <v>1250</v>
      </c>
    </row>
    <row r="5" spans="1:9" x14ac:dyDescent="0.25">
      <c r="A5" t="s">
        <v>108</v>
      </c>
      <c r="B5" t="s">
        <v>82</v>
      </c>
      <c r="C5" s="13">
        <f>C3/C4</f>
        <v>132.96254279642736</v>
      </c>
      <c r="E5" s="13">
        <f>E3/E4</f>
        <v>2083.0026573177165</v>
      </c>
      <c r="F5" s="6"/>
      <c r="H5" s="13">
        <f>H3/H4</f>
        <v>2045.5630215998042</v>
      </c>
      <c r="I5" s="13">
        <f>I3/I4</f>
        <v>2157.8819287535412</v>
      </c>
    </row>
    <row r="6" spans="1:9" x14ac:dyDescent="0.25">
      <c r="A6" t="s">
        <v>75</v>
      </c>
      <c r="C6">
        <v>1.4999999999999999E-2</v>
      </c>
      <c r="D6" t="s">
        <v>79</v>
      </c>
      <c r="E6">
        <v>2.7E-2</v>
      </c>
      <c r="F6" t="s">
        <v>83</v>
      </c>
      <c r="H6">
        <v>2.7E-2</v>
      </c>
      <c r="I6">
        <v>2.7E-2</v>
      </c>
    </row>
    <row r="7" spans="1:9" x14ac:dyDescent="0.25">
      <c r="A7" s="1" t="s">
        <v>80</v>
      </c>
      <c r="B7" s="1"/>
      <c r="C7" s="28">
        <f>C3/C8</f>
        <v>18.18</v>
      </c>
      <c r="D7" s="1"/>
      <c r="E7" s="28">
        <f>E3/E8</f>
        <v>33.750000000000007</v>
      </c>
      <c r="F7" s="1"/>
      <c r="G7" s="22"/>
      <c r="H7" s="28">
        <f>H3/H8</f>
        <v>33.75</v>
      </c>
      <c r="I7" s="28">
        <f>I3/I8</f>
        <v>33.75</v>
      </c>
    </row>
    <row r="8" spans="1:9" x14ac:dyDescent="0.25">
      <c r="A8" s="3" t="s">
        <v>81</v>
      </c>
      <c r="B8" s="3" t="s">
        <v>82</v>
      </c>
      <c r="C8" s="29">
        <f>C3/C4/C6</f>
        <v>8864.1695197618246</v>
      </c>
      <c r="E8" s="150">
        <f>E3/E4/E6</f>
        <v>77148.246567322829</v>
      </c>
      <c r="F8" s="35">
        <f>E8-C8</f>
        <v>68284.077047561004</v>
      </c>
      <c r="H8" s="146">
        <f>H3/H4/H6</f>
        <v>75761.593392585346</v>
      </c>
      <c r="I8" s="148">
        <f>I3/I4/I6</f>
        <v>79921.552916797824</v>
      </c>
    </row>
    <row r="9" spans="1:9" x14ac:dyDescent="0.25">
      <c r="I9" t="s">
        <v>144</v>
      </c>
    </row>
    <row r="10" spans="1:9" x14ac:dyDescent="0.25">
      <c r="A10" s="1" t="s">
        <v>122</v>
      </c>
      <c r="B10" s="1"/>
      <c r="C10" s="45" t="s">
        <v>72</v>
      </c>
      <c r="D10" s="40"/>
      <c r="E10" s="45" t="s">
        <v>76</v>
      </c>
      <c r="H10" t="s">
        <v>162</v>
      </c>
      <c r="I10" s="145">
        <f>H8</f>
        <v>75761.593392585346</v>
      </c>
    </row>
    <row r="11" spans="1:9" x14ac:dyDescent="0.25">
      <c r="A11" t="s">
        <v>73</v>
      </c>
      <c r="B11" t="s">
        <v>82</v>
      </c>
      <c r="C11" s="13">
        <f>'RR Program'!M23</f>
        <v>309676.7797208851</v>
      </c>
      <c r="E11" s="13">
        <f>'Uniform Program'!M18</f>
        <v>5207506.6432942916</v>
      </c>
      <c r="H11" t="s">
        <v>163</v>
      </c>
      <c r="I11" s="149">
        <f>E8</f>
        <v>77148.246567322829</v>
      </c>
    </row>
    <row r="12" spans="1:9" x14ac:dyDescent="0.25">
      <c r="A12" t="s">
        <v>74</v>
      </c>
      <c r="C12" s="35">
        <f>C4*2</f>
        <v>2424</v>
      </c>
      <c r="E12" s="13">
        <f>E4*2</f>
        <v>2500</v>
      </c>
      <c r="H12" t="s">
        <v>164</v>
      </c>
      <c r="I12" s="147">
        <f>I8</f>
        <v>79921.552916797824</v>
      </c>
    </row>
    <row r="13" spans="1:9" x14ac:dyDescent="0.25">
      <c r="A13" t="s">
        <v>108</v>
      </c>
      <c r="B13" t="s">
        <v>82</v>
      </c>
      <c r="C13" s="13">
        <f>C11/C12</f>
        <v>127.75444707957305</v>
      </c>
      <c r="E13" s="13">
        <f>E11/E12</f>
        <v>2083.0026573177165</v>
      </c>
    </row>
    <row r="14" spans="1:9" x14ac:dyDescent="0.25">
      <c r="A14" t="s">
        <v>75</v>
      </c>
      <c r="C14">
        <v>1.4999999999999999E-2</v>
      </c>
      <c r="E14">
        <v>2.7E-2</v>
      </c>
    </row>
    <row r="15" spans="1:9" x14ac:dyDescent="0.25">
      <c r="A15" s="1" t="s">
        <v>80</v>
      </c>
      <c r="B15" s="1"/>
      <c r="C15" s="28">
        <f>C11/C16</f>
        <v>36.36</v>
      </c>
      <c r="D15" s="1"/>
      <c r="E15" s="28">
        <f>E11/E16</f>
        <v>67.500000000000014</v>
      </c>
    </row>
    <row r="16" spans="1:9" x14ac:dyDescent="0.25">
      <c r="A16" s="3" t="s">
        <v>81</v>
      </c>
      <c r="B16" s="3" t="s">
        <v>82</v>
      </c>
      <c r="C16" s="29">
        <f>C11/C12/C14</f>
        <v>8516.9631386382043</v>
      </c>
      <c r="E16" s="29">
        <f>E11/E12/E14</f>
        <v>77148.246567322829</v>
      </c>
      <c r="F16" s="35">
        <f>C16-E16</f>
        <v>-68631.283428684619</v>
      </c>
    </row>
    <row r="18" spans="1:6" x14ac:dyDescent="0.25">
      <c r="A18" s="1" t="s">
        <v>123</v>
      </c>
      <c r="B18" s="1"/>
      <c r="C18" s="45" t="s">
        <v>72</v>
      </c>
      <c r="D18" s="40"/>
      <c r="E18" s="45" t="s">
        <v>76</v>
      </c>
    </row>
    <row r="19" spans="1:6" x14ac:dyDescent="0.25">
      <c r="A19" t="s">
        <v>73</v>
      </c>
      <c r="B19" t="s">
        <v>82</v>
      </c>
      <c r="C19" s="13">
        <f>'RR Program'!N23</f>
        <v>606729.135424115</v>
      </c>
      <c r="E19" s="13">
        <f>'Uniform Program'!N18</f>
        <v>10415013.286588583</v>
      </c>
    </row>
    <row r="20" spans="1:6" x14ac:dyDescent="0.25">
      <c r="A20" t="s">
        <v>74</v>
      </c>
      <c r="C20" s="35">
        <f>C12*2</f>
        <v>4848</v>
      </c>
      <c r="E20" s="35">
        <f>E12*2</f>
        <v>5000</v>
      </c>
    </row>
    <row r="21" spans="1:6" x14ac:dyDescent="0.25">
      <c r="A21" t="s">
        <v>108</v>
      </c>
      <c r="B21" t="s">
        <v>82</v>
      </c>
      <c r="C21" s="13">
        <f>C19/C20</f>
        <v>125.15039922114583</v>
      </c>
      <c r="E21" s="13">
        <f>E19/E20</f>
        <v>2083.0026573177165</v>
      </c>
    </row>
    <row r="22" spans="1:6" x14ac:dyDescent="0.25">
      <c r="A22" t="s">
        <v>75</v>
      </c>
      <c r="C22">
        <v>1.4999999999999999E-2</v>
      </c>
      <c r="E22">
        <v>2.7E-2</v>
      </c>
    </row>
    <row r="23" spans="1:6" x14ac:dyDescent="0.25">
      <c r="A23" s="1" t="s">
        <v>80</v>
      </c>
      <c r="B23" s="1"/>
      <c r="C23" s="28">
        <f>C19/C24</f>
        <v>72.72</v>
      </c>
      <c r="D23" s="1"/>
      <c r="E23" s="28">
        <f>E19/E24</f>
        <v>135.00000000000003</v>
      </c>
    </row>
    <row r="24" spans="1:6" x14ac:dyDescent="0.25">
      <c r="A24" s="3" t="s">
        <v>81</v>
      </c>
      <c r="B24" s="3" t="s">
        <v>82</v>
      </c>
      <c r="C24" s="29">
        <f>C19/C20/C22</f>
        <v>8343.3599480763896</v>
      </c>
      <c r="E24" s="29">
        <f>E19/E20/E22</f>
        <v>77148.246567322829</v>
      </c>
      <c r="F24" s="35">
        <f>C24-E24</f>
        <v>-68804.886619246434</v>
      </c>
    </row>
    <row r="28" spans="1:6" x14ac:dyDescent="0.25">
      <c r="A28" s="1"/>
      <c r="B28" s="1"/>
      <c r="C28" s="1" t="s">
        <v>72</v>
      </c>
      <c r="D28" s="1" t="s">
        <v>76</v>
      </c>
    </row>
    <row r="29" spans="1:6" x14ac:dyDescent="0.25">
      <c r="A29" t="s">
        <v>73</v>
      </c>
      <c r="B29" t="s">
        <v>82</v>
      </c>
      <c r="C29" s="13">
        <v>161151</v>
      </c>
      <c r="D29" s="13">
        <v>252098</v>
      </c>
    </row>
    <row r="30" spans="1:6" x14ac:dyDescent="0.25">
      <c r="A30" t="s">
        <v>74</v>
      </c>
      <c r="C30" s="13">
        <v>1212</v>
      </c>
      <c r="D30" s="13">
        <v>1250</v>
      </c>
    </row>
    <row r="31" spans="1:6" x14ac:dyDescent="0.25">
      <c r="A31" t="s">
        <v>108</v>
      </c>
      <c r="B31" t="s">
        <v>82</v>
      </c>
      <c r="C31" s="13">
        <v>126.07724655421718</v>
      </c>
      <c r="D31" s="13">
        <v>202</v>
      </c>
    </row>
    <row r="32" spans="1:6" x14ac:dyDescent="0.25">
      <c r="A32" t="s">
        <v>75</v>
      </c>
      <c r="C32" s="50">
        <v>1.4999999999999999E-2</v>
      </c>
      <c r="D32" s="50">
        <v>2.7E-2</v>
      </c>
    </row>
    <row r="33" spans="1:4" x14ac:dyDescent="0.25">
      <c r="A33" s="1" t="s">
        <v>80</v>
      </c>
      <c r="B33" s="1"/>
      <c r="C33" s="16">
        <v>18.179999999999996</v>
      </c>
      <c r="D33" s="16">
        <v>33.75</v>
      </c>
    </row>
    <row r="34" spans="1:4" x14ac:dyDescent="0.25">
      <c r="A34" t="s">
        <v>81</v>
      </c>
      <c r="B34" t="s">
        <v>82</v>
      </c>
      <c r="C34" s="13">
        <v>8864</v>
      </c>
      <c r="D34" s="13">
        <v>7470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35" sqref="B35"/>
    </sheetView>
  </sheetViews>
  <sheetFormatPr defaultRowHeight="15" x14ac:dyDescent="0.25"/>
  <cols>
    <col min="1" max="1" width="70.42578125" customWidth="1"/>
    <col min="2" max="2" width="27.5703125" bestFit="1" customWidth="1"/>
    <col min="3" max="3" width="34.85546875" bestFit="1" customWidth="1"/>
    <col min="4" max="4" width="14.140625" bestFit="1" customWidth="1"/>
    <col min="5" max="5" width="14.140625" customWidth="1"/>
    <col min="6" max="6" width="16.5703125" bestFit="1" customWidth="1"/>
    <col min="7" max="7" width="30.5703125" bestFit="1" customWidth="1"/>
    <col min="8" max="8" width="16.28515625" bestFit="1" customWidth="1"/>
    <col min="10" max="10" width="19.85546875" bestFit="1" customWidth="1"/>
  </cols>
  <sheetData>
    <row r="2" spans="1:3" x14ac:dyDescent="0.25">
      <c r="A2" s="1" t="s">
        <v>106</v>
      </c>
      <c r="B2" s="1"/>
      <c r="C2" s="1" t="s">
        <v>77</v>
      </c>
    </row>
    <row r="3" spans="1:3" x14ac:dyDescent="0.25">
      <c r="A3" t="s">
        <v>58</v>
      </c>
      <c r="B3">
        <v>5.0999999999999997E-2</v>
      </c>
      <c r="C3" t="s">
        <v>125</v>
      </c>
    </row>
    <row r="4" spans="1:3" x14ac:dyDescent="0.25">
      <c r="A4" t="s">
        <v>57</v>
      </c>
      <c r="B4" s="19">
        <f>7000000/0.75</f>
        <v>9333333.333333334</v>
      </c>
      <c r="C4" s="22" t="s">
        <v>126</v>
      </c>
    </row>
    <row r="5" spans="1:3" x14ac:dyDescent="0.25">
      <c r="A5" t="s">
        <v>127</v>
      </c>
      <c r="B5" s="13">
        <f>B4*B3</f>
        <v>476000</v>
      </c>
    </row>
    <row r="6" spans="1:3" x14ac:dyDescent="0.25">
      <c r="A6" t="s">
        <v>109</v>
      </c>
      <c r="B6" s="13">
        <f>'Principal Salary'!I7</f>
        <v>1560</v>
      </c>
      <c r="C6" t="s">
        <v>128</v>
      </c>
    </row>
    <row r="7" spans="1:3" x14ac:dyDescent="0.25">
      <c r="A7" t="s">
        <v>60</v>
      </c>
      <c r="B7" s="22">
        <f>B5/B6</f>
        <v>305.12820512820514</v>
      </c>
    </row>
    <row r="8" spans="1:3" x14ac:dyDescent="0.25">
      <c r="A8" t="s">
        <v>64</v>
      </c>
      <c r="B8" s="20">
        <v>16.191600000000001</v>
      </c>
      <c r="C8" t="s">
        <v>129</v>
      </c>
    </row>
    <row r="9" spans="1:3" x14ac:dyDescent="0.25">
      <c r="A9" t="s">
        <v>59</v>
      </c>
      <c r="B9" s="21">
        <f>40/60</f>
        <v>0.66666666666666663</v>
      </c>
    </row>
    <row r="10" spans="1:3" x14ac:dyDescent="0.25">
      <c r="A10" t="s">
        <v>61</v>
      </c>
      <c r="B10" s="22">
        <f>B7*B9</f>
        <v>203.41880341880341</v>
      </c>
    </row>
    <row r="11" spans="1:3" x14ac:dyDescent="0.25">
      <c r="A11" t="s">
        <v>131</v>
      </c>
      <c r="B11" s="20">
        <v>10.7997</v>
      </c>
      <c r="C11" t="s">
        <v>129</v>
      </c>
    </row>
    <row r="12" spans="1:3" x14ac:dyDescent="0.25">
      <c r="A12" s="1" t="s">
        <v>62</v>
      </c>
      <c r="B12" s="1">
        <v>71</v>
      </c>
    </row>
    <row r="13" spans="1:3" x14ac:dyDescent="0.25">
      <c r="A13" t="s">
        <v>130</v>
      </c>
      <c r="B13" s="20">
        <f>B12*B11</f>
        <v>766.77869999999996</v>
      </c>
    </row>
    <row r="16" spans="1:3" x14ac:dyDescent="0.25">
      <c r="A16" s="138" t="s">
        <v>105</v>
      </c>
      <c r="B16" s="138"/>
      <c r="C16" s="138" t="s">
        <v>77</v>
      </c>
    </row>
    <row r="17" spans="1:3" x14ac:dyDescent="0.25">
      <c r="A17" s="139" t="s">
        <v>100</v>
      </c>
      <c r="B17" s="139">
        <v>0.35349999999999998</v>
      </c>
      <c r="C17" s="139" t="s">
        <v>125</v>
      </c>
    </row>
    <row r="18" spans="1:3" x14ac:dyDescent="0.25">
      <c r="A18" s="139" t="s">
        <v>101</v>
      </c>
      <c r="B18" s="140">
        <v>25999</v>
      </c>
      <c r="C18" s="139" t="s">
        <v>132</v>
      </c>
    </row>
    <row r="19" spans="1:3" x14ac:dyDescent="0.25">
      <c r="A19" s="139" t="s">
        <v>102</v>
      </c>
      <c r="B19" s="141">
        <f>B17*B18</f>
        <v>9190.6464999999989</v>
      </c>
      <c r="C19" s="139"/>
    </row>
    <row r="20" spans="1:3" x14ac:dyDescent="0.25">
      <c r="A20" s="139" t="s">
        <v>134</v>
      </c>
      <c r="B20" s="140">
        <v>1560</v>
      </c>
      <c r="C20" s="139" t="s">
        <v>128</v>
      </c>
    </row>
    <row r="21" spans="1:3" x14ac:dyDescent="0.25">
      <c r="A21" s="139" t="s">
        <v>133</v>
      </c>
      <c r="B21" s="139">
        <f>SUM('Uniform Program'!D6:D10)</f>
        <v>415</v>
      </c>
      <c r="C21" s="139"/>
    </row>
    <row r="22" spans="1:3" x14ac:dyDescent="0.25">
      <c r="A22" s="139" t="s">
        <v>135</v>
      </c>
      <c r="B22" s="142">
        <f>B21/B20</f>
        <v>0.26602564102564102</v>
      </c>
      <c r="C22" s="139"/>
    </row>
    <row r="23" spans="1:3" x14ac:dyDescent="0.25">
      <c r="A23" s="138" t="s">
        <v>103</v>
      </c>
      <c r="B23" s="143">
        <f>B19*B22</f>
        <v>2444.947626602564</v>
      </c>
      <c r="C23" s="139"/>
    </row>
    <row r="24" spans="1:3" x14ac:dyDescent="0.25">
      <c r="A24" s="139" t="s">
        <v>104</v>
      </c>
      <c r="B24" s="144">
        <f>B19/B20</f>
        <v>5.8914400641025635</v>
      </c>
      <c r="C24" s="1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5" sqref="I25"/>
    </sheetView>
  </sheetViews>
  <sheetFormatPr defaultRowHeight="15" x14ac:dyDescent="0.25"/>
  <cols>
    <col min="2" max="2" width="20.42578125" bestFit="1" customWidth="1"/>
    <col min="3" max="5" width="10.5703125" bestFit="1" customWidth="1"/>
    <col min="6" max="6" width="9.5703125" bestFit="1" customWidth="1"/>
    <col min="8" max="8" width="20.140625" bestFit="1" customWidth="1"/>
  </cols>
  <sheetData>
    <row r="1" spans="1:9" x14ac:dyDescent="0.25">
      <c r="B1" t="s">
        <v>35</v>
      </c>
      <c r="H1" t="s">
        <v>44</v>
      </c>
    </row>
    <row r="2" spans="1:9" x14ac:dyDescent="0.25">
      <c r="A2" t="s">
        <v>36</v>
      </c>
      <c r="C2" s="17" t="s">
        <v>45</v>
      </c>
      <c r="D2" s="17" t="s">
        <v>46</v>
      </c>
      <c r="E2" s="17" t="s">
        <v>47</v>
      </c>
      <c r="H2" t="s">
        <v>38</v>
      </c>
      <c r="I2">
        <v>3</v>
      </c>
    </row>
    <row r="3" spans="1:9" x14ac:dyDescent="0.25">
      <c r="B3" t="s">
        <v>37</v>
      </c>
      <c r="C3" s="13">
        <v>48190</v>
      </c>
      <c r="D3" s="13">
        <f>(C3+E3)/2</f>
        <v>56740</v>
      </c>
      <c r="E3" s="13">
        <v>65290</v>
      </c>
      <c r="F3" s="13"/>
      <c r="G3" s="13"/>
      <c r="H3" s="14" t="s">
        <v>43</v>
      </c>
      <c r="I3" s="13">
        <v>13</v>
      </c>
    </row>
    <row r="4" spans="1:9" x14ac:dyDescent="0.25">
      <c r="B4" t="s">
        <v>50</v>
      </c>
      <c r="C4" s="13">
        <v>13816</v>
      </c>
      <c r="D4" s="13">
        <v>13816</v>
      </c>
      <c r="E4" s="13">
        <v>13816</v>
      </c>
      <c r="F4" s="13"/>
      <c r="G4" s="13"/>
      <c r="H4" s="13" t="s">
        <v>39</v>
      </c>
      <c r="I4" s="15">
        <f>I2*I3/4</f>
        <v>9.75</v>
      </c>
    </row>
    <row r="5" spans="1:9" x14ac:dyDescent="0.25">
      <c r="B5" t="s">
        <v>51</v>
      </c>
      <c r="C5" s="13">
        <v>8000</v>
      </c>
      <c r="D5" s="13">
        <v>8000</v>
      </c>
      <c r="E5" s="13">
        <v>8000</v>
      </c>
      <c r="F5" s="13"/>
      <c r="G5" s="13"/>
      <c r="H5" s="13" t="s">
        <v>40</v>
      </c>
      <c r="I5" s="13">
        <v>8</v>
      </c>
    </row>
    <row r="6" spans="1:9" x14ac:dyDescent="0.25">
      <c r="B6" t="s">
        <v>52</v>
      </c>
      <c r="C6" s="16">
        <v>17100</v>
      </c>
      <c r="D6" s="16">
        <v>17100</v>
      </c>
      <c r="E6" s="16">
        <v>17100</v>
      </c>
      <c r="F6" s="13"/>
      <c r="G6" s="13"/>
      <c r="H6" s="13" t="s">
        <v>41</v>
      </c>
      <c r="I6" s="13">
        <v>5</v>
      </c>
    </row>
    <row r="7" spans="1:9" x14ac:dyDescent="0.25">
      <c r="B7" t="s">
        <v>53</v>
      </c>
      <c r="C7" s="13">
        <f>SUM(C3:C6)</f>
        <v>87106</v>
      </c>
      <c r="D7" s="13">
        <f>SUM(D3:D6)</f>
        <v>95656</v>
      </c>
      <c r="E7" s="13">
        <f>SUM(E3:E6)</f>
        <v>104206</v>
      </c>
      <c r="F7" s="13"/>
      <c r="G7" s="13"/>
      <c r="H7" s="13" t="s">
        <v>42</v>
      </c>
      <c r="I7" s="13">
        <f>I3*I5*I6*I2</f>
        <v>1560</v>
      </c>
    </row>
    <row r="8" spans="1:9" x14ac:dyDescent="0.25">
      <c r="C8" s="13"/>
      <c r="D8" s="13"/>
      <c r="E8" s="13"/>
      <c r="F8" s="13"/>
      <c r="G8" s="13"/>
      <c r="H8" s="13"/>
      <c r="I8" s="13"/>
    </row>
    <row r="9" spans="1:9" x14ac:dyDescent="0.25">
      <c r="A9" t="s">
        <v>48</v>
      </c>
      <c r="F9" s="13"/>
      <c r="G9" s="13"/>
      <c r="H9" s="13"/>
      <c r="I9" s="13"/>
    </row>
    <row r="10" spans="1:9" x14ac:dyDescent="0.25">
      <c r="B10" t="s">
        <v>37</v>
      </c>
      <c r="C10" s="13">
        <f>C7*$I$4</f>
        <v>849283.5</v>
      </c>
      <c r="D10" s="13">
        <f>D7*$I$4</f>
        <v>932646</v>
      </c>
      <c r="E10" s="13">
        <f>E7*$I$4</f>
        <v>1016008.5</v>
      </c>
      <c r="F10" s="13"/>
      <c r="G10" s="13"/>
      <c r="H10" s="13"/>
      <c r="I10" s="13"/>
    </row>
    <row r="11" spans="1:9" x14ac:dyDescent="0.25">
      <c r="B11" t="s">
        <v>49</v>
      </c>
      <c r="C11" s="16">
        <v>6000</v>
      </c>
      <c r="D11" s="16">
        <v>6000</v>
      </c>
      <c r="E11" s="16">
        <v>6000</v>
      </c>
      <c r="F11" s="13"/>
      <c r="G11" s="13"/>
      <c r="H11" s="13"/>
      <c r="I11" s="13"/>
    </row>
    <row r="12" spans="1:9" x14ac:dyDescent="0.25">
      <c r="B12" t="s">
        <v>53</v>
      </c>
      <c r="C12" s="13">
        <f>SUM(C10:C11)</f>
        <v>855283.5</v>
      </c>
      <c r="D12" s="13">
        <f>SUM(D10:D11)</f>
        <v>938646</v>
      </c>
      <c r="E12" s="13">
        <f>SUM(E10:E11)</f>
        <v>1022008.5</v>
      </c>
      <c r="F12" s="13"/>
      <c r="G12" s="13"/>
      <c r="H12" s="13"/>
      <c r="I12" s="13"/>
    </row>
    <row r="13" spans="1:9" x14ac:dyDescent="0.25">
      <c r="C13" s="13"/>
      <c r="D13" s="13"/>
      <c r="E13" s="13"/>
      <c r="F13" s="13"/>
      <c r="G13" s="13"/>
      <c r="H13" s="13"/>
      <c r="I13" s="13"/>
    </row>
    <row r="14" spans="1:9" x14ac:dyDescent="0.25">
      <c r="A14" t="s">
        <v>23</v>
      </c>
      <c r="B14" t="s">
        <v>54</v>
      </c>
      <c r="C14" s="13">
        <f>C12/$I$7</f>
        <v>548.25865384615383</v>
      </c>
      <c r="D14" s="13">
        <f>D12/$I$7</f>
        <v>601.69615384615383</v>
      </c>
      <c r="E14" s="13">
        <f>E12/$I$7</f>
        <v>655.13365384615383</v>
      </c>
      <c r="F14" s="15"/>
      <c r="G14" s="13"/>
      <c r="H14" s="13"/>
      <c r="I14" s="13"/>
    </row>
    <row r="15" spans="1:9" x14ac:dyDescent="0.25">
      <c r="C15" s="13"/>
      <c r="D15" s="13"/>
      <c r="E15" s="13"/>
      <c r="F15" s="13"/>
      <c r="G15" s="13"/>
      <c r="H15" s="13"/>
      <c r="I15" s="13"/>
    </row>
    <row r="16" spans="1:9" x14ac:dyDescent="0.25">
      <c r="C16" s="13"/>
      <c r="D16" s="13"/>
      <c r="E16" s="13"/>
      <c r="F16" s="13"/>
      <c r="G16" s="13"/>
      <c r="H16" s="13"/>
      <c r="I16" s="13"/>
    </row>
    <row r="17" spans="3:9" x14ac:dyDescent="0.25">
      <c r="C17" s="13"/>
      <c r="D17" s="13"/>
      <c r="E17" s="13"/>
      <c r="F17" s="13"/>
      <c r="G17" s="13"/>
      <c r="H17" s="13"/>
      <c r="I17" s="13"/>
    </row>
    <row r="18" spans="3:9" x14ac:dyDescent="0.25">
      <c r="C18" s="13"/>
      <c r="D18" s="13"/>
      <c r="E18" s="13"/>
      <c r="F18" s="13"/>
      <c r="G18" s="13"/>
      <c r="H18" s="13"/>
      <c r="I1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3"/>
  <sheetViews>
    <sheetView topLeftCell="C13" workbookViewId="0">
      <selection activeCell="K35" sqref="K35"/>
    </sheetView>
  </sheetViews>
  <sheetFormatPr defaultRowHeight="15" x14ac:dyDescent="0.25"/>
  <cols>
    <col min="1" max="1" width="30.7109375" bestFit="1" customWidth="1"/>
    <col min="2" max="2" width="4.140625" bestFit="1" customWidth="1"/>
    <col min="3" max="3" width="12" bestFit="1" customWidth="1"/>
    <col min="4" max="4" width="16.28515625" bestFit="1" customWidth="1"/>
    <col min="10" max="10" width="23.85546875" bestFit="1" customWidth="1"/>
    <col min="11" max="11" width="18.42578125" bestFit="1" customWidth="1"/>
    <col min="12" max="12" width="18.140625" bestFit="1" customWidth="1"/>
    <col min="13" max="13" width="21.140625" bestFit="1" customWidth="1"/>
  </cols>
  <sheetData>
    <row r="1" spans="1:13" x14ac:dyDescent="0.25">
      <c r="C1" t="s">
        <v>72</v>
      </c>
      <c r="D1" t="s">
        <v>76</v>
      </c>
    </row>
    <row r="2" spans="1:13" x14ac:dyDescent="0.25">
      <c r="A2" t="s">
        <v>73</v>
      </c>
      <c r="B2" t="s">
        <v>82</v>
      </c>
      <c r="C2" s="13">
        <v>161150.60186926997</v>
      </c>
      <c r="D2" s="13">
        <v>2603753.3216471458</v>
      </c>
    </row>
    <row r="3" spans="1:13" x14ac:dyDescent="0.25">
      <c r="A3" t="s">
        <v>74</v>
      </c>
      <c r="C3" s="13">
        <v>1212</v>
      </c>
      <c r="D3" s="13">
        <v>1250</v>
      </c>
      <c r="K3" t="s">
        <v>140</v>
      </c>
      <c r="L3" t="s">
        <v>122</v>
      </c>
      <c r="M3" t="s">
        <v>123</v>
      </c>
    </row>
    <row r="4" spans="1:13" x14ac:dyDescent="0.25">
      <c r="A4" t="s">
        <v>108</v>
      </c>
      <c r="B4" t="s">
        <v>82</v>
      </c>
      <c r="C4" s="13">
        <v>132.96254279642736</v>
      </c>
      <c r="D4" s="13">
        <v>2083.0026573177165</v>
      </c>
      <c r="J4" t="s">
        <v>72</v>
      </c>
    </row>
    <row r="5" spans="1:13" x14ac:dyDescent="0.25">
      <c r="A5" t="s">
        <v>75</v>
      </c>
      <c r="C5" s="49">
        <v>1.4999999999999999E-2</v>
      </c>
      <c r="D5" s="49">
        <v>2.7E-2</v>
      </c>
      <c r="J5" t="s">
        <v>139</v>
      </c>
    </row>
    <row r="6" spans="1:13" x14ac:dyDescent="0.25">
      <c r="A6" s="1" t="s">
        <v>80</v>
      </c>
      <c r="B6" s="1"/>
      <c r="C6" s="16">
        <v>18.18</v>
      </c>
      <c r="D6" s="16">
        <v>33.750000000000007</v>
      </c>
    </row>
    <row r="7" spans="1:13" x14ac:dyDescent="0.25">
      <c r="A7" t="s">
        <v>81</v>
      </c>
      <c r="B7" t="s">
        <v>82</v>
      </c>
      <c r="C7" s="13">
        <v>8864.1695197618246</v>
      </c>
      <c r="D7" s="13">
        <v>77148.246567322829</v>
      </c>
    </row>
    <row r="8" spans="1:13" x14ac:dyDescent="0.25">
      <c r="C8" s="13"/>
      <c r="D8" s="13"/>
      <c r="K8" t="s">
        <v>138</v>
      </c>
    </row>
    <row r="9" spans="1:13" x14ac:dyDescent="0.25">
      <c r="A9" t="s">
        <v>122</v>
      </c>
      <c r="C9" s="13" t="s">
        <v>72</v>
      </c>
      <c r="D9" s="13" t="s">
        <v>76</v>
      </c>
      <c r="H9">
        <f>71*2</f>
        <v>142</v>
      </c>
      <c r="J9" t="s">
        <v>141</v>
      </c>
      <c r="K9" s="13">
        <v>8864</v>
      </c>
    </row>
    <row r="10" spans="1:13" x14ac:dyDescent="0.25">
      <c r="A10" t="s">
        <v>73</v>
      </c>
      <c r="B10" t="s">
        <v>82</v>
      </c>
      <c r="C10" s="13">
        <v>309676.7797208851</v>
      </c>
      <c r="D10" s="13">
        <v>5207506.6432942916</v>
      </c>
      <c r="H10">
        <f>71*4</f>
        <v>284</v>
      </c>
      <c r="J10" t="s">
        <v>142</v>
      </c>
      <c r="K10" s="13">
        <v>8517</v>
      </c>
    </row>
    <row r="11" spans="1:13" x14ac:dyDescent="0.25">
      <c r="A11" t="s">
        <v>74</v>
      </c>
      <c r="C11" s="13">
        <v>2424</v>
      </c>
      <c r="D11" s="13">
        <v>2500</v>
      </c>
      <c r="J11" t="s">
        <v>143</v>
      </c>
      <c r="K11" s="13">
        <v>8343</v>
      </c>
    </row>
    <row r="12" spans="1:13" x14ac:dyDescent="0.25">
      <c r="A12" t="s">
        <v>108</v>
      </c>
      <c r="B12" t="s">
        <v>82</v>
      </c>
      <c r="C12" s="13">
        <v>127.75444707957305</v>
      </c>
      <c r="D12" s="13">
        <v>2083.0026573177165</v>
      </c>
    </row>
    <row r="13" spans="1:13" x14ac:dyDescent="0.25">
      <c r="A13" t="s">
        <v>75</v>
      </c>
      <c r="C13" s="49">
        <v>1.4999999999999999E-2</v>
      </c>
      <c r="D13" s="49">
        <v>2.7E-2</v>
      </c>
    </row>
    <row r="14" spans="1:13" x14ac:dyDescent="0.25">
      <c r="A14" s="1" t="s">
        <v>80</v>
      </c>
      <c r="B14" s="1"/>
      <c r="C14" s="16">
        <v>36.36</v>
      </c>
      <c r="D14" s="16">
        <v>67.500000000000014</v>
      </c>
    </row>
    <row r="15" spans="1:13" x14ac:dyDescent="0.25">
      <c r="A15" t="s">
        <v>81</v>
      </c>
      <c r="B15" t="s">
        <v>82</v>
      </c>
      <c r="C15" s="13">
        <v>8516.9631386382043</v>
      </c>
      <c r="D15" s="13">
        <v>77148.246567322829</v>
      </c>
    </row>
    <row r="16" spans="1:13" x14ac:dyDescent="0.25">
      <c r="C16" s="13"/>
      <c r="D16" s="13"/>
    </row>
    <row r="17" spans="1:4" x14ac:dyDescent="0.25">
      <c r="A17" t="s">
        <v>123</v>
      </c>
      <c r="C17" s="13" t="s">
        <v>72</v>
      </c>
      <c r="D17" s="13" t="s">
        <v>76</v>
      </c>
    </row>
    <row r="18" spans="1:4" x14ac:dyDescent="0.25">
      <c r="A18" t="s">
        <v>73</v>
      </c>
      <c r="B18" t="s">
        <v>82</v>
      </c>
      <c r="C18" s="13">
        <v>606729.135424115</v>
      </c>
      <c r="D18" s="13">
        <v>10415013.286588583</v>
      </c>
    </row>
    <row r="19" spans="1:4" x14ac:dyDescent="0.25">
      <c r="A19" t="s">
        <v>74</v>
      </c>
      <c r="C19" s="13">
        <v>4848</v>
      </c>
      <c r="D19" s="13">
        <v>5000</v>
      </c>
    </row>
    <row r="20" spans="1:4" x14ac:dyDescent="0.25">
      <c r="A20" t="s">
        <v>108</v>
      </c>
      <c r="B20" t="s">
        <v>82</v>
      </c>
      <c r="C20" s="13">
        <v>125.15039922114583</v>
      </c>
      <c r="D20" s="13">
        <v>2083.0026573177165</v>
      </c>
    </row>
    <row r="21" spans="1:4" x14ac:dyDescent="0.25">
      <c r="A21" t="s">
        <v>75</v>
      </c>
      <c r="C21" s="49">
        <v>1.4999999999999999E-2</v>
      </c>
      <c r="D21" s="49">
        <v>2.7E-2</v>
      </c>
    </row>
    <row r="22" spans="1:4" x14ac:dyDescent="0.25">
      <c r="A22" s="1" t="s">
        <v>80</v>
      </c>
      <c r="B22" s="1"/>
      <c r="C22" s="16">
        <v>72.72</v>
      </c>
      <c r="D22" s="16">
        <v>135.00000000000003</v>
      </c>
    </row>
    <row r="23" spans="1:4" x14ac:dyDescent="0.25">
      <c r="A23" t="s">
        <v>81</v>
      </c>
      <c r="B23" t="s">
        <v>82</v>
      </c>
      <c r="C23" s="13">
        <v>8343.3599480763896</v>
      </c>
      <c r="D23" s="13">
        <v>77148.246567322829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K32"/>
  <sheetViews>
    <sheetView zoomScaleNormal="100" workbookViewId="0">
      <pane ySplit="3" topLeftCell="A4" activePane="bottomLeft" state="frozen"/>
      <selection activeCell="B25" sqref="B25"/>
      <selection pane="bottomLeft" activeCell="B25" sqref="B25"/>
    </sheetView>
  </sheetViews>
  <sheetFormatPr defaultRowHeight="15" x14ac:dyDescent="0.25"/>
  <cols>
    <col min="1" max="1" width="38.42578125" bestFit="1" customWidth="1"/>
    <col min="2" max="2" width="72.5703125" customWidth="1"/>
    <col min="3" max="3" width="15" style="6" customWidth="1"/>
    <col min="4" max="4" width="7.85546875" style="6" customWidth="1"/>
    <col min="5" max="5" width="17.5703125" style="6" bestFit="1" customWidth="1"/>
    <col min="6" max="6" width="9.7109375" bestFit="1" customWidth="1"/>
    <col min="7" max="8" width="10.5703125" bestFit="1" customWidth="1"/>
    <col min="9" max="9" width="14.7109375" bestFit="1" customWidth="1"/>
    <col min="10" max="10" width="13.5703125" bestFit="1" customWidth="1"/>
    <col min="11" max="11" width="13.28515625" bestFit="1" customWidth="1"/>
  </cols>
  <sheetData>
    <row r="1" spans="1:11" x14ac:dyDescent="0.25">
      <c r="A1" s="30" t="s">
        <v>87</v>
      </c>
      <c r="B1" s="4"/>
    </row>
    <row r="2" spans="1:11" x14ac:dyDescent="0.25">
      <c r="A2" t="s">
        <v>67</v>
      </c>
      <c r="B2">
        <v>50.3</v>
      </c>
      <c r="F2" s="6"/>
      <c r="G2" s="6"/>
      <c r="H2" s="6"/>
      <c r="I2" s="6" t="s">
        <v>68</v>
      </c>
      <c r="J2" s="23"/>
    </row>
    <row r="3" spans="1:11" x14ac:dyDescent="0.25">
      <c r="A3" s="5" t="s">
        <v>2</v>
      </c>
      <c r="B3" s="5" t="s">
        <v>124</v>
      </c>
      <c r="C3" s="7" t="s">
        <v>1</v>
      </c>
      <c r="D3" s="7" t="s">
        <v>17</v>
      </c>
      <c r="E3" s="7" t="s">
        <v>30</v>
      </c>
      <c r="F3" s="7" t="s">
        <v>31</v>
      </c>
      <c r="G3" s="7" t="s">
        <v>56</v>
      </c>
      <c r="H3" s="7" t="s">
        <v>26</v>
      </c>
      <c r="I3" s="7" t="s">
        <v>32</v>
      </c>
      <c r="J3" s="18" t="s">
        <v>29</v>
      </c>
    </row>
    <row r="4" spans="1:11" x14ac:dyDescent="0.25">
      <c r="A4" s="3" t="s">
        <v>3</v>
      </c>
      <c r="B4" s="3"/>
    </row>
    <row r="5" spans="1:11" x14ac:dyDescent="0.25">
      <c r="A5" s="158" t="s">
        <v>90</v>
      </c>
      <c r="B5" t="s">
        <v>95</v>
      </c>
      <c r="C5" s="6">
        <f>83/2</f>
        <v>41.5</v>
      </c>
      <c r="D5" s="6" t="s">
        <v>23</v>
      </c>
      <c r="E5" s="156" t="s">
        <v>33</v>
      </c>
      <c r="F5" s="157">
        <v>2015</v>
      </c>
      <c r="G5" s="27">
        <f>'Principal Salary'!$D$14</f>
        <v>601.69615384615383</v>
      </c>
      <c r="H5" s="13">
        <f>G5*C5</f>
        <v>24970.390384615384</v>
      </c>
      <c r="I5" s="12">
        <v>140.9</v>
      </c>
      <c r="J5" s="13">
        <f>$B$2*H5/I5</f>
        <v>8914.1989804553141</v>
      </c>
    </row>
    <row r="6" spans="1:11" x14ac:dyDescent="0.25">
      <c r="A6" s="158"/>
      <c r="B6" t="s">
        <v>97</v>
      </c>
      <c r="C6" s="6">
        <f t="shared" ref="C6:C9" si="0">83/2</f>
        <v>41.5</v>
      </c>
      <c r="D6" s="6" t="s">
        <v>23</v>
      </c>
      <c r="E6" s="156"/>
      <c r="F6" s="157"/>
      <c r="G6" s="27">
        <f>'Principal Salary'!$D$14</f>
        <v>601.69615384615383</v>
      </c>
      <c r="H6" s="13">
        <f>G6*C6</f>
        <v>24970.390384615384</v>
      </c>
      <c r="I6" s="12">
        <v>140.9</v>
      </c>
      <c r="J6" s="13">
        <f t="shared" ref="J6:J9" si="1">$B$2*H6/I6</f>
        <v>8914.1989804553141</v>
      </c>
    </row>
    <row r="7" spans="1:11" x14ac:dyDescent="0.25">
      <c r="A7" s="158"/>
      <c r="B7" t="s">
        <v>94</v>
      </c>
      <c r="C7" s="6">
        <f t="shared" si="0"/>
        <v>41.5</v>
      </c>
      <c r="D7" s="6" t="s">
        <v>23</v>
      </c>
      <c r="E7" s="156"/>
      <c r="F7" s="157"/>
      <c r="G7" s="27">
        <f>'Principal Salary'!$D$14</f>
        <v>601.69615384615383</v>
      </c>
      <c r="H7" s="13">
        <f>G7*C7</f>
        <v>24970.390384615384</v>
      </c>
      <c r="I7" s="12">
        <v>140.9</v>
      </c>
      <c r="J7" s="13">
        <f t="shared" si="1"/>
        <v>8914.1989804553141</v>
      </c>
      <c r="K7" s="22"/>
    </row>
    <row r="8" spans="1:11" x14ac:dyDescent="0.25">
      <c r="A8" s="158"/>
      <c r="B8" t="s">
        <v>96</v>
      </c>
      <c r="C8" s="6">
        <f t="shared" si="0"/>
        <v>41.5</v>
      </c>
      <c r="D8" s="2" t="s">
        <v>23</v>
      </c>
      <c r="E8" s="156"/>
      <c r="F8" s="157"/>
      <c r="G8" s="27">
        <f>'Principal Salary'!$D$14</f>
        <v>601.69615384615383</v>
      </c>
      <c r="H8" s="13">
        <f>G8*C8</f>
        <v>24970.390384615384</v>
      </c>
      <c r="I8" s="12">
        <v>140.9</v>
      </c>
      <c r="J8" s="13">
        <f t="shared" si="1"/>
        <v>8914.1989804553141</v>
      </c>
      <c r="K8" s="22"/>
    </row>
    <row r="9" spans="1:11" x14ac:dyDescent="0.25">
      <c r="A9" s="158"/>
      <c r="B9" t="s">
        <v>98</v>
      </c>
      <c r="C9" s="6">
        <f t="shared" si="0"/>
        <v>41.5</v>
      </c>
      <c r="D9" s="2" t="s">
        <v>23</v>
      </c>
      <c r="E9" s="156"/>
      <c r="F9" s="157"/>
      <c r="G9" s="27">
        <f>'Principal Salary'!$D$14</f>
        <v>601.69615384615383</v>
      </c>
      <c r="H9" s="13">
        <f>G9*C9</f>
        <v>24970.390384615384</v>
      </c>
      <c r="I9" s="12">
        <v>140.9</v>
      </c>
      <c r="J9" s="13">
        <f t="shared" si="1"/>
        <v>8914.1989804553141</v>
      </c>
    </row>
    <row r="10" spans="1:11" x14ac:dyDescent="0.25">
      <c r="A10" s="3" t="s">
        <v>5</v>
      </c>
      <c r="B10" s="3"/>
      <c r="E10" s="33"/>
    </row>
    <row r="11" spans="1:11" ht="47.25" customHeight="1" x14ac:dyDescent="0.25">
      <c r="A11" t="s">
        <v>21</v>
      </c>
      <c r="B11" s="155" t="s">
        <v>99</v>
      </c>
      <c r="C11" s="9">
        <v>2500</v>
      </c>
      <c r="D11" s="6" t="s">
        <v>86</v>
      </c>
      <c r="E11" s="39" t="s">
        <v>85</v>
      </c>
      <c r="F11">
        <v>2003</v>
      </c>
      <c r="G11" s="6">
        <v>478</v>
      </c>
      <c r="H11" s="13">
        <f t="shared" ref="H11:H14" si="2">G11*C11</f>
        <v>1195000</v>
      </c>
      <c r="I11">
        <v>45.1</v>
      </c>
      <c r="J11" s="9">
        <f>H11*I11/$B$2</f>
        <v>1071461.2326043737</v>
      </c>
    </row>
    <row r="12" spans="1:11" ht="45" x14ac:dyDescent="0.25">
      <c r="A12" t="s">
        <v>14</v>
      </c>
      <c r="B12" s="155"/>
      <c r="C12" s="9">
        <v>2500</v>
      </c>
      <c r="D12" s="6" t="s">
        <v>86</v>
      </c>
      <c r="E12" s="39" t="s">
        <v>85</v>
      </c>
      <c r="F12">
        <v>2004</v>
      </c>
      <c r="G12" s="6">
        <v>478</v>
      </c>
      <c r="H12" s="13">
        <f t="shared" si="2"/>
        <v>1195000</v>
      </c>
      <c r="I12" s="31" t="s">
        <v>55</v>
      </c>
      <c r="J12" s="13">
        <f>H12</f>
        <v>1195000</v>
      </c>
    </row>
    <row r="13" spans="1:11" ht="123" customHeight="1" x14ac:dyDescent="0.25">
      <c r="A13" s="32" t="s">
        <v>88</v>
      </c>
      <c r="B13" s="38" t="s">
        <v>92</v>
      </c>
      <c r="C13" s="6">
        <f>83*2</f>
        <v>166</v>
      </c>
      <c r="D13" s="11" t="s">
        <v>93</v>
      </c>
      <c r="E13" s="39" t="s">
        <v>34</v>
      </c>
      <c r="F13">
        <v>2003</v>
      </c>
      <c r="G13" s="9">
        <f>'RR Program'!K10/3/71</f>
        <v>394.36619718309856</v>
      </c>
      <c r="H13" s="13">
        <f t="shared" si="2"/>
        <v>65464.788732394365</v>
      </c>
      <c r="I13">
        <v>45.1</v>
      </c>
      <c r="J13" s="9">
        <f>H13*I13/$B$2</f>
        <v>58697.057094055388</v>
      </c>
    </row>
    <row r="14" spans="1:11" ht="45" x14ac:dyDescent="0.25">
      <c r="A14" s="1" t="s">
        <v>89</v>
      </c>
      <c r="B14" s="41" t="s">
        <v>119</v>
      </c>
      <c r="C14" s="8">
        <f>83*2</f>
        <v>166</v>
      </c>
      <c r="D14" s="42" t="s">
        <v>93</v>
      </c>
      <c r="E14" s="43" t="s">
        <v>34</v>
      </c>
      <c r="F14" s="1">
        <v>2004</v>
      </c>
      <c r="G14" s="10">
        <f>'RR Program'!K10/3/71</f>
        <v>394.36619718309856</v>
      </c>
      <c r="H14" s="16">
        <f t="shared" si="2"/>
        <v>65464.788732394365</v>
      </c>
      <c r="I14" s="17" t="s">
        <v>55</v>
      </c>
      <c r="J14" s="16">
        <f>H14</f>
        <v>65464.788732394365</v>
      </c>
    </row>
    <row r="15" spans="1:11" x14ac:dyDescent="0.25">
      <c r="A15" t="s">
        <v>120</v>
      </c>
      <c r="B15" s="4"/>
      <c r="D15" s="11"/>
      <c r="E15" s="39"/>
      <c r="G15" s="9"/>
      <c r="H15" s="13"/>
      <c r="I15" s="31"/>
      <c r="J15" s="13">
        <f>SUM(J5:J14)</f>
        <v>2435194.0733331004</v>
      </c>
    </row>
    <row r="16" spans="1:11" s="1" customFormat="1" x14ac:dyDescent="0.25">
      <c r="A16" s="1" t="s">
        <v>121</v>
      </c>
      <c r="B16" s="40" t="s">
        <v>118</v>
      </c>
      <c r="C16" s="8"/>
      <c r="D16" s="8"/>
      <c r="E16" s="34"/>
      <c r="J16" s="16">
        <f>0.05*J15</f>
        <v>121759.70366665503</v>
      </c>
    </row>
    <row r="17" spans="1:10" x14ac:dyDescent="0.25">
      <c r="A17" t="s">
        <v>6</v>
      </c>
      <c r="J17" s="13">
        <f>SUM(J15:J16)</f>
        <v>2556953.7769997553</v>
      </c>
    </row>
    <row r="18" spans="1:10" x14ac:dyDescent="0.25">
      <c r="J18" s="13"/>
    </row>
    <row r="30" spans="1:10" x14ac:dyDescent="0.25">
      <c r="F30" s="6"/>
    </row>
    <row r="32" spans="1:10" x14ac:dyDescent="0.25">
      <c r="H32" s="36"/>
      <c r="I32" s="37"/>
    </row>
  </sheetData>
  <mergeCells count="4">
    <mergeCell ref="A5:A9"/>
    <mergeCell ref="E5:E9"/>
    <mergeCell ref="F5:F9"/>
    <mergeCell ref="B11:B1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K32"/>
  <sheetViews>
    <sheetView zoomScaleNormal="100" workbookViewId="0">
      <pane ySplit="3" topLeftCell="A4" activePane="bottomLeft" state="frozen"/>
      <selection activeCell="E25" sqref="E25"/>
      <selection pane="bottomLeft" activeCell="J17" sqref="J17"/>
    </sheetView>
  </sheetViews>
  <sheetFormatPr defaultRowHeight="15" x14ac:dyDescent="0.25"/>
  <cols>
    <col min="1" max="1" width="38.42578125" bestFit="1" customWidth="1"/>
    <col min="2" max="2" width="72.5703125" customWidth="1"/>
    <col min="3" max="3" width="15" style="6" customWidth="1"/>
    <col min="4" max="4" width="7.85546875" style="6" customWidth="1"/>
    <col min="5" max="5" width="17.5703125" style="6" bestFit="1" customWidth="1"/>
    <col min="6" max="6" width="9.7109375" bestFit="1" customWidth="1"/>
    <col min="7" max="8" width="10.5703125" bestFit="1" customWidth="1"/>
    <col min="9" max="9" width="14.7109375" bestFit="1" customWidth="1"/>
    <col min="10" max="10" width="13.5703125" bestFit="1" customWidth="1"/>
    <col min="11" max="11" width="13.28515625" bestFit="1" customWidth="1"/>
  </cols>
  <sheetData>
    <row r="1" spans="1:11" x14ac:dyDescent="0.25">
      <c r="A1" s="30" t="s">
        <v>87</v>
      </c>
      <c r="B1" s="4"/>
    </row>
    <row r="2" spans="1:11" x14ac:dyDescent="0.25">
      <c r="A2" t="s">
        <v>67</v>
      </c>
      <c r="B2">
        <v>50.3</v>
      </c>
      <c r="F2" s="6"/>
      <c r="G2" s="6"/>
      <c r="H2" s="6"/>
      <c r="I2" s="6" t="s">
        <v>68</v>
      </c>
      <c r="J2" s="23"/>
    </row>
    <row r="3" spans="1:11" x14ac:dyDescent="0.25">
      <c r="A3" s="5" t="s">
        <v>2</v>
      </c>
      <c r="B3" s="5" t="s">
        <v>124</v>
      </c>
      <c r="C3" s="7" t="s">
        <v>1</v>
      </c>
      <c r="D3" s="7" t="s">
        <v>17</v>
      </c>
      <c r="E3" s="7" t="s">
        <v>30</v>
      </c>
      <c r="F3" s="7" t="s">
        <v>31</v>
      </c>
      <c r="G3" s="7" t="s">
        <v>56</v>
      </c>
      <c r="H3" s="7" t="s">
        <v>26</v>
      </c>
      <c r="I3" s="7" t="s">
        <v>32</v>
      </c>
      <c r="J3" s="18" t="s">
        <v>29</v>
      </c>
    </row>
    <row r="4" spans="1:11" x14ac:dyDescent="0.25">
      <c r="A4" s="3" t="s">
        <v>3</v>
      </c>
      <c r="B4" s="3"/>
    </row>
    <row r="5" spans="1:11" x14ac:dyDescent="0.25">
      <c r="A5" s="158" t="s">
        <v>90</v>
      </c>
      <c r="B5" t="s">
        <v>95</v>
      </c>
      <c r="C5" s="6">
        <f>83*2</f>
        <v>166</v>
      </c>
      <c r="D5" s="6" t="s">
        <v>23</v>
      </c>
      <c r="E5" s="156" t="s">
        <v>33</v>
      </c>
      <c r="F5" s="157">
        <v>2015</v>
      </c>
      <c r="G5" s="27">
        <f>'Principal Salary'!$D$14</f>
        <v>601.69615384615383</v>
      </c>
      <c r="H5" s="13">
        <f>G5*C5</f>
        <v>99881.561538461538</v>
      </c>
      <c r="I5" s="12">
        <v>140.9</v>
      </c>
      <c r="J5" s="13">
        <f>$B$2*H5/I5</f>
        <v>35656.795921821256</v>
      </c>
    </row>
    <row r="6" spans="1:11" x14ac:dyDescent="0.25">
      <c r="A6" s="158"/>
      <c r="B6" t="s">
        <v>97</v>
      </c>
      <c r="C6" s="6">
        <f t="shared" ref="C6:C9" si="0">83*2</f>
        <v>166</v>
      </c>
      <c r="D6" s="6" t="s">
        <v>23</v>
      </c>
      <c r="E6" s="156"/>
      <c r="F6" s="157"/>
      <c r="G6" s="27">
        <f>'Principal Salary'!$D$14</f>
        <v>601.69615384615383</v>
      </c>
      <c r="H6" s="13">
        <f>G6*C6</f>
        <v>99881.561538461538</v>
      </c>
      <c r="I6" s="12">
        <v>140.9</v>
      </c>
      <c r="J6" s="13">
        <f t="shared" ref="J6:J9" si="1">$B$2*H6/I6</f>
        <v>35656.795921821256</v>
      </c>
    </row>
    <row r="7" spans="1:11" x14ac:dyDescent="0.25">
      <c r="A7" s="158"/>
      <c r="B7" t="s">
        <v>94</v>
      </c>
      <c r="C7" s="6">
        <f t="shared" si="0"/>
        <v>166</v>
      </c>
      <c r="D7" s="6" t="s">
        <v>23</v>
      </c>
      <c r="E7" s="156"/>
      <c r="F7" s="157"/>
      <c r="G7" s="27">
        <f>'Principal Salary'!$D$14</f>
        <v>601.69615384615383</v>
      </c>
      <c r="H7" s="13">
        <f>G7*C7</f>
        <v>99881.561538461538</v>
      </c>
      <c r="I7" s="12">
        <v>140.9</v>
      </c>
      <c r="J7" s="13">
        <f t="shared" si="1"/>
        <v>35656.795921821256</v>
      </c>
      <c r="K7" s="22"/>
    </row>
    <row r="8" spans="1:11" x14ac:dyDescent="0.25">
      <c r="A8" s="158"/>
      <c r="B8" t="s">
        <v>96</v>
      </c>
      <c r="C8" s="6">
        <f t="shared" si="0"/>
        <v>166</v>
      </c>
      <c r="D8" s="2" t="s">
        <v>23</v>
      </c>
      <c r="E8" s="156"/>
      <c r="F8" s="157"/>
      <c r="G8" s="27">
        <f>'Principal Salary'!$D$14</f>
        <v>601.69615384615383</v>
      </c>
      <c r="H8" s="13">
        <f>G8*C8</f>
        <v>99881.561538461538</v>
      </c>
      <c r="I8" s="12">
        <v>140.9</v>
      </c>
      <c r="J8" s="13">
        <f t="shared" si="1"/>
        <v>35656.795921821256</v>
      </c>
      <c r="K8" s="22"/>
    </row>
    <row r="9" spans="1:11" x14ac:dyDescent="0.25">
      <c r="A9" s="158"/>
      <c r="B9" t="s">
        <v>98</v>
      </c>
      <c r="C9" s="6">
        <f t="shared" si="0"/>
        <v>166</v>
      </c>
      <c r="D9" s="2" t="s">
        <v>23</v>
      </c>
      <c r="E9" s="156"/>
      <c r="F9" s="157"/>
      <c r="G9" s="27">
        <f>'Principal Salary'!$D$14</f>
        <v>601.69615384615383</v>
      </c>
      <c r="H9" s="13">
        <f>G9*C9</f>
        <v>99881.561538461538</v>
      </c>
      <c r="I9" s="12">
        <v>140.9</v>
      </c>
      <c r="J9" s="13">
        <f t="shared" si="1"/>
        <v>35656.795921821256</v>
      </c>
    </row>
    <row r="10" spans="1:11" x14ac:dyDescent="0.25">
      <c r="A10" s="3" t="s">
        <v>5</v>
      </c>
      <c r="B10" s="3"/>
      <c r="E10" s="33"/>
    </row>
    <row r="11" spans="1:11" ht="47.25" customHeight="1" x14ac:dyDescent="0.25">
      <c r="A11" t="s">
        <v>21</v>
      </c>
      <c r="B11" s="155" t="s">
        <v>99</v>
      </c>
      <c r="C11" s="9">
        <v>2500</v>
      </c>
      <c r="D11" s="6" t="s">
        <v>86</v>
      </c>
      <c r="E11" s="39" t="s">
        <v>85</v>
      </c>
      <c r="F11">
        <v>2003</v>
      </c>
      <c r="G11" s="6">
        <v>478</v>
      </c>
      <c r="H11" s="13">
        <f t="shared" ref="H11:H14" si="2">G11*C11</f>
        <v>1195000</v>
      </c>
      <c r="I11">
        <v>45.1</v>
      </c>
      <c r="J11" s="9">
        <f>H11*I11/$B$2</f>
        <v>1071461.2326043737</v>
      </c>
    </row>
    <row r="12" spans="1:11" ht="45" x14ac:dyDescent="0.25">
      <c r="A12" t="s">
        <v>14</v>
      </c>
      <c r="B12" s="155"/>
      <c r="C12" s="9">
        <v>2500</v>
      </c>
      <c r="D12" s="6" t="s">
        <v>86</v>
      </c>
      <c r="E12" s="39" t="s">
        <v>85</v>
      </c>
      <c r="F12">
        <v>2004</v>
      </c>
      <c r="G12" s="6">
        <v>478</v>
      </c>
      <c r="H12" s="13">
        <f t="shared" si="2"/>
        <v>1195000</v>
      </c>
      <c r="I12" s="31" t="s">
        <v>55</v>
      </c>
      <c r="J12" s="13">
        <f>H12</f>
        <v>1195000</v>
      </c>
    </row>
    <row r="13" spans="1:11" ht="123" customHeight="1" x14ac:dyDescent="0.25">
      <c r="A13" s="32" t="s">
        <v>88</v>
      </c>
      <c r="B13" s="38" t="s">
        <v>92</v>
      </c>
      <c r="C13" s="6">
        <f>83*2</f>
        <v>166</v>
      </c>
      <c r="D13" s="11" t="s">
        <v>93</v>
      </c>
      <c r="E13" s="39" t="s">
        <v>34</v>
      </c>
      <c r="F13">
        <v>2003</v>
      </c>
      <c r="G13" s="9">
        <f>'RR Program'!K10/3/71</f>
        <v>394.36619718309856</v>
      </c>
      <c r="H13" s="13">
        <f t="shared" si="2"/>
        <v>65464.788732394365</v>
      </c>
      <c r="I13">
        <v>45.1</v>
      </c>
      <c r="J13" s="9">
        <f>H13*I13/$B$2</f>
        <v>58697.057094055388</v>
      </c>
    </row>
    <row r="14" spans="1:11" ht="45" x14ac:dyDescent="0.25">
      <c r="A14" s="1" t="s">
        <v>89</v>
      </c>
      <c r="B14" s="41" t="s">
        <v>119</v>
      </c>
      <c r="C14" s="8">
        <f>83*2</f>
        <v>166</v>
      </c>
      <c r="D14" s="42" t="s">
        <v>93</v>
      </c>
      <c r="E14" s="43" t="s">
        <v>34</v>
      </c>
      <c r="F14" s="1">
        <v>2004</v>
      </c>
      <c r="G14" s="10">
        <f>'RR Program'!K10/3/71</f>
        <v>394.36619718309856</v>
      </c>
      <c r="H14" s="16">
        <f t="shared" si="2"/>
        <v>65464.788732394365</v>
      </c>
      <c r="I14" s="17" t="s">
        <v>55</v>
      </c>
      <c r="J14" s="16">
        <f>H14</f>
        <v>65464.788732394365</v>
      </c>
    </row>
    <row r="15" spans="1:11" x14ac:dyDescent="0.25">
      <c r="A15" t="s">
        <v>120</v>
      </c>
      <c r="B15" s="4"/>
      <c r="D15" s="11"/>
      <c r="E15" s="39"/>
      <c r="G15" s="9"/>
      <c r="H15" s="13"/>
      <c r="I15" s="31"/>
      <c r="J15" s="13">
        <f>SUM(J5:J14)</f>
        <v>2568907.0580399297</v>
      </c>
    </row>
    <row r="16" spans="1:11" s="1" customFormat="1" x14ac:dyDescent="0.25">
      <c r="A16" s="1" t="s">
        <v>121</v>
      </c>
      <c r="B16" s="40" t="s">
        <v>118</v>
      </c>
      <c r="C16" s="8"/>
      <c r="D16" s="8"/>
      <c r="E16" s="34"/>
      <c r="J16" s="16">
        <f>0.05*J15</f>
        <v>128445.35290199649</v>
      </c>
    </row>
    <row r="17" spans="1:10" x14ac:dyDescent="0.25">
      <c r="A17" t="s">
        <v>6</v>
      </c>
      <c r="J17" s="13">
        <f>SUM(J15:J16)</f>
        <v>2697352.4109419263</v>
      </c>
    </row>
    <row r="18" spans="1:10" x14ac:dyDescent="0.25">
      <c r="J18" s="13"/>
    </row>
    <row r="30" spans="1:10" x14ac:dyDescent="0.25">
      <c r="F30" s="6"/>
    </row>
    <row r="32" spans="1:10" x14ac:dyDescent="0.25">
      <c r="H32" s="36"/>
      <c r="I32" s="37"/>
    </row>
  </sheetData>
  <mergeCells count="4">
    <mergeCell ref="A5:A9"/>
    <mergeCell ref="E5:E9"/>
    <mergeCell ref="F5:F9"/>
    <mergeCell ref="B11:B1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P39" sqref="P39"/>
    </sheetView>
  </sheetViews>
  <sheetFormatPr defaultRowHeight="15" x14ac:dyDescent="0.25"/>
  <sheetData>
    <row r="2" spans="2:4" x14ac:dyDescent="0.25">
      <c r="B2" t="s">
        <v>146</v>
      </c>
    </row>
    <row r="3" spans="2:4" x14ac:dyDescent="0.25">
      <c r="C3" t="s">
        <v>86</v>
      </c>
    </row>
    <row r="4" spans="2:4" x14ac:dyDescent="0.25">
      <c r="C4" t="s">
        <v>145</v>
      </c>
    </row>
    <row r="9" spans="2:4" x14ac:dyDescent="0.25">
      <c r="C9" t="s">
        <v>150</v>
      </c>
      <c r="D9" t="s">
        <v>152</v>
      </c>
    </row>
    <row r="10" spans="2:4" x14ac:dyDescent="0.25">
      <c r="C10" t="s">
        <v>147</v>
      </c>
    </row>
    <row r="11" spans="2:4" x14ac:dyDescent="0.25">
      <c r="C11" t="s">
        <v>148</v>
      </c>
    </row>
    <row r="12" spans="2:4" x14ac:dyDescent="0.25">
      <c r="C12" t="s">
        <v>156</v>
      </c>
    </row>
    <row r="14" spans="2:4" x14ac:dyDescent="0.25">
      <c r="C14" t="s">
        <v>149</v>
      </c>
    </row>
    <row r="15" spans="2:4" x14ac:dyDescent="0.25">
      <c r="C15" t="s">
        <v>151</v>
      </c>
    </row>
    <row r="19" spans="2:3" x14ac:dyDescent="0.25">
      <c r="B19" s="31" t="s">
        <v>155</v>
      </c>
      <c r="C19" t="s">
        <v>153</v>
      </c>
    </row>
    <row r="20" spans="2:3" x14ac:dyDescent="0.25">
      <c r="C20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RR Program</vt:lpstr>
      <vt:lpstr>Uniform Program</vt:lpstr>
      <vt:lpstr>CER + Sensivitiy Analysis #2</vt:lpstr>
      <vt:lpstr>Facility&amp;Equip</vt:lpstr>
      <vt:lpstr>Principal Salary</vt:lpstr>
      <vt:lpstr>Sensitivity Analysis #1</vt:lpstr>
      <vt:lpstr>Uniform Sensitivity Low</vt:lpstr>
      <vt:lpstr>Uniform Sensitivity High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Nasreen Mustafa</dc:creator>
  <cp:lastModifiedBy>Nasreen Mustafa</cp:lastModifiedBy>
  <dcterms:created xsi:type="dcterms:W3CDTF">2015-11-01T22:26:54Z</dcterms:created>
  <dcterms:modified xsi:type="dcterms:W3CDTF">2017-08-18T20:26:20Z</dcterms:modified>
</cp:coreProperties>
</file>