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2018 서울대-소시지 초고압 연구\[4] 본실험\[숙명여대] 본실험데이터\"/>
    </mc:Choice>
  </mc:AlternateContent>
  <xr:revisionPtr revIDLastSave="0" documentId="13_ncr:1_{D10944E5-D90B-478D-9A70-E44BCF61246A}" xr6:coauthVersionLast="28" xr6:coauthVersionMax="28" xr10:uidLastSave="{00000000-0000-0000-0000-000000000000}"/>
  <bookViews>
    <workbookView xWindow="1080" yWindow="120" windowWidth="19420" windowHeight="11020" tabRatio="815" activeTab="14" xr2:uid="{00000000-000D-0000-FFFF-FFFF00000000}"/>
  </bookViews>
  <sheets>
    <sheet name="CV0" sheetId="39" r:id="rId1"/>
    <sheet name="HV0" sheetId="29" r:id="rId2"/>
    <sheet name="CV1" sheetId="43" r:id="rId3"/>
    <sheet name="HV1" sheetId="46" r:id="rId4"/>
    <sheet name="CV2" sheetId="41" r:id="rId5"/>
    <sheet name="HV2" sheetId="36" r:id="rId6"/>
    <sheet name="CVN" sheetId="44" r:id="rId7"/>
    <sheet name="CS0 " sheetId="38" r:id="rId8"/>
    <sheet name="HS0" sheetId="47" r:id="rId9"/>
    <sheet name="CS1" sheetId="42" r:id="rId10"/>
    <sheet name="HS1" sheetId="48" r:id="rId11"/>
    <sheet name="CS2" sheetId="40" r:id="rId12"/>
    <sheet name="HS2" sheetId="49" r:id="rId13"/>
    <sheet name="CSN" sheetId="45" r:id="rId14"/>
    <sheet name="Results" sheetId="51" r:id="rId15"/>
  </sheets>
  <definedNames>
    <definedName name="_xlnm.Print_Area" localSheetId="0">CV0!$A$1:$S$29</definedName>
  </definedNames>
  <calcPr calcId="171027"/>
</workbook>
</file>

<file path=xl/calcChain.xml><?xml version="1.0" encoding="utf-8"?>
<calcChain xmlns="http://schemas.openxmlformats.org/spreadsheetml/2006/main">
  <c r="I40" i="44" l="1"/>
  <c r="H40" i="44"/>
  <c r="I34" i="36"/>
  <c r="E40" i="45" l="1"/>
  <c r="E39" i="45"/>
  <c r="E38" i="45"/>
  <c r="E37" i="45"/>
  <c r="E36" i="45"/>
  <c r="E35" i="45"/>
  <c r="E46" i="49"/>
  <c r="E45" i="49"/>
  <c r="E44" i="49"/>
  <c r="E43" i="49"/>
  <c r="E42" i="49"/>
  <c r="E41" i="49"/>
  <c r="E46" i="48"/>
  <c r="E45" i="48"/>
  <c r="E44" i="48"/>
  <c r="E43" i="48"/>
  <c r="E42" i="48"/>
  <c r="E41" i="48"/>
  <c r="E46" i="40"/>
  <c r="E45" i="40"/>
  <c r="E44" i="40"/>
  <c r="E43" i="40"/>
  <c r="E42" i="40"/>
  <c r="E41" i="40"/>
  <c r="E46" i="42"/>
  <c r="E45" i="42"/>
  <c r="E44" i="42"/>
  <c r="E43" i="42"/>
  <c r="E42" i="42"/>
  <c r="E41" i="42"/>
  <c r="E46" i="38"/>
  <c r="E45" i="38"/>
  <c r="E46" i="36"/>
  <c r="E45" i="36"/>
  <c r="E44" i="36"/>
  <c r="E43" i="36"/>
  <c r="E42" i="36"/>
  <c r="E41" i="36"/>
  <c r="E46" i="46"/>
  <c r="E45" i="46"/>
  <c r="E44" i="46"/>
  <c r="E43" i="46"/>
  <c r="E42" i="46"/>
  <c r="E41" i="46"/>
  <c r="E44" i="29"/>
  <c r="E43" i="29"/>
  <c r="E42" i="29"/>
  <c r="E41" i="29"/>
  <c r="E40" i="44"/>
  <c r="E39" i="44"/>
  <c r="E36" i="44"/>
  <c r="E35" i="44"/>
  <c r="E46" i="41"/>
  <c r="E45" i="41"/>
  <c r="E44" i="41"/>
  <c r="E43" i="41"/>
  <c r="E42" i="41"/>
  <c r="E41" i="41"/>
  <c r="E46" i="43"/>
  <c r="E45" i="43"/>
  <c r="E44" i="43"/>
  <c r="E43" i="43"/>
  <c r="E42" i="43"/>
  <c r="E41" i="43"/>
  <c r="R4" i="45"/>
  <c r="R4" i="44"/>
  <c r="S4" i="49"/>
  <c r="S4" i="40"/>
  <c r="S4" i="48"/>
  <c r="S4" i="42"/>
  <c r="S4" i="47"/>
  <c r="S4" i="38"/>
  <c r="S4" i="36"/>
  <c r="S4" i="41"/>
  <c r="S4" i="46"/>
  <c r="S4" i="43"/>
  <c r="S4" i="29"/>
  <c r="S4" i="39"/>
  <c r="F40" i="45"/>
  <c r="F39" i="45"/>
  <c r="F38" i="45"/>
  <c r="F37" i="45"/>
  <c r="F36" i="45"/>
  <c r="F35" i="45"/>
  <c r="F46" i="49"/>
  <c r="F45" i="49"/>
  <c r="F44" i="49"/>
  <c r="F43" i="49"/>
  <c r="F42" i="49"/>
  <c r="F41" i="49"/>
  <c r="F46" i="40"/>
  <c r="F45" i="40"/>
  <c r="F44" i="40"/>
  <c r="F43" i="40"/>
  <c r="F42" i="40"/>
  <c r="F41" i="40"/>
  <c r="F46" i="48"/>
  <c r="F45" i="48"/>
  <c r="F44" i="48"/>
  <c r="F43" i="48"/>
  <c r="F42" i="48"/>
  <c r="F41" i="48"/>
  <c r="F46" i="42"/>
  <c r="F45" i="42"/>
  <c r="F44" i="42"/>
  <c r="F43" i="42"/>
  <c r="F42" i="42"/>
  <c r="F41" i="42"/>
  <c r="F46" i="47"/>
  <c r="F45" i="47"/>
  <c r="F44" i="47"/>
  <c r="F43" i="47"/>
  <c r="F42" i="47"/>
  <c r="F41" i="47"/>
  <c r="F46" i="38"/>
  <c r="F45" i="38"/>
  <c r="F44" i="38"/>
  <c r="F43" i="38"/>
  <c r="F42" i="38"/>
  <c r="F41" i="38"/>
  <c r="F40" i="44"/>
  <c r="F39" i="44"/>
  <c r="F38" i="44"/>
  <c r="F37" i="44"/>
  <c r="F36" i="44"/>
  <c r="F35" i="44"/>
  <c r="F46" i="36"/>
  <c r="F45" i="36"/>
  <c r="F44" i="36"/>
  <c r="F43" i="36"/>
  <c r="F42" i="36"/>
  <c r="F41" i="36"/>
  <c r="F46" i="41"/>
  <c r="F45" i="41"/>
  <c r="F44" i="41"/>
  <c r="F43" i="41"/>
  <c r="F42" i="41"/>
  <c r="F41" i="41"/>
  <c r="F46" i="46"/>
  <c r="F45" i="46"/>
  <c r="F44" i="46"/>
  <c r="F43" i="46"/>
  <c r="F42" i="46"/>
  <c r="F41" i="46"/>
  <c r="F46" i="43"/>
  <c r="F45" i="43"/>
  <c r="F44" i="43"/>
  <c r="F43" i="43"/>
  <c r="F42" i="43"/>
  <c r="F41" i="43"/>
  <c r="F46" i="29"/>
  <c r="F45" i="29"/>
  <c r="F44" i="29"/>
  <c r="F43" i="29"/>
  <c r="F42" i="29"/>
  <c r="F41" i="29"/>
  <c r="F46" i="39"/>
  <c r="F45" i="39"/>
  <c r="F44" i="39"/>
  <c r="F43" i="39"/>
  <c r="F42" i="39"/>
  <c r="F41" i="39"/>
  <c r="G36" i="45" l="1"/>
  <c r="G42" i="49"/>
  <c r="G44" i="49"/>
  <c r="I46" i="49" s="1"/>
  <c r="S6" i="49" s="1"/>
  <c r="G46" i="49"/>
  <c r="G42" i="40"/>
  <c r="G44" i="40"/>
  <c r="G46" i="40"/>
  <c r="G42" i="48"/>
  <c r="G44" i="48"/>
  <c r="I46" i="48" s="1"/>
  <c r="S6" i="48" s="1"/>
  <c r="G46" i="48"/>
  <c r="G42" i="42"/>
  <c r="G44" i="42"/>
  <c r="G46" i="42"/>
  <c r="G42" i="47"/>
  <c r="G44" i="47"/>
  <c r="I46" i="47" s="1"/>
  <c r="S6" i="47" s="1"/>
  <c r="G46" i="47"/>
  <c r="G42" i="38"/>
  <c r="G44" i="38"/>
  <c r="G46" i="38"/>
  <c r="G36" i="44"/>
  <c r="G38" i="44"/>
  <c r="R6" i="44" s="1"/>
  <c r="G40" i="44"/>
  <c r="G42" i="36"/>
  <c r="G44" i="36"/>
  <c r="G46" i="36"/>
  <c r="G46" i="41"/>
  <c r="G42" i="41"/>
  <c r="I46" i="41" s="1"/>
  <c r="S6" i="41" s="1"/>
  <c r="G44" i="41"/>
  <c r="G44" i="46"/>
  <c r="G46" i="46"/>
  <c r="G42" i="43"/>
  <c r="G44" i="43"/>
  <c r="G46" i="43"/>
  <c r="G42" i="29"/>
  <c r="G44" i="29"/>
  <c r="G46" i="29"/>
  <c r="G44" i="39"/>
  <c r="G46" i="39"/>
  <c r="G40" i="45"/>
  <c r="G38" i="45"/>
  <c r="G42" i="46"/>
  <c r="I46" i="46" s="1"/>
  <c r="S6" i="46" s="1"/>
  <c r="H46" i="40"/>
  <c r="S5" i="40" s="1"/>
  <c r="I46" i="42"/>
  <c r="S6" i="42" s="1"/>
  <c r="I46" i="38"/>
  <c r="S6" i="38" s="1"/>
  <c r="I46" i="36"/>
  <c r="S6" i="36" s="1"/>
  <c r="I46" i="43"/>
  <c r="S6" i="43" s="1"/>
  <c r="G42" i="39"/>
  <c r="I46" i="29" l="1"/>
  <c r="S6" i="29" s="1"/>
  <c r="I46" i="40"/>
  <c r="S6" i="40" s="1"/>
  <c r="H46" i="29"/>
  <c r="S5" i="29" s="1"/>
  <c r="H46" i="46"/>
  <c r="S5" i="46" s="1"/>
  <c r="H46" i="48"/>
  <c r="S5" i="48" s="1"/>
  <c r="H46" i="49"/>
  <c r="S5" i="49" s="1"/>
  <c r="H46" i="43"/>
  <c r="S5" i="43" s="1"/>
  <c r="H46" i="36"/>
  <c r="S5" i="36" s="1"/>
  <c r="R5" i="44"/>
  <c r="H46" i="38"/>
  <c r="S5" i="38" s="1"/>
  <c r="H46" i="47"/>
  <c r="S5" i="47" s="1"/>
  <c r="H46" i="42"/>
  <c r="S5" i="42" s="1"/>
  <c r="I40" i="45"/>
  <c r="R6" i="45" s="1"/>
  <c r="H46" i="41"/>
  <c r="S5" i="41" s="1"/>
  <c r="H40" i="45"/>
  <c r="R5" i="45" s="1"/>
  <c r="I46" i="39"/>
  <c r="S6" i="39" s="1"/>
  <c r="H46" i="39"/>
  <c r="S5" i="39" s="1"/>
  <c r="E38" i="47" l="1"/>
  <c r="E37" i="47"/>
  <c r="E31" i="45" l="1"/>
  <c r="E40" i="49" l="1"/>
  <c r="E39" i="49"/>
  <c r="E38" i="49"/>
  <c r="E37" i="49"/>
  <c r="E36" i="49"/>
  <c r="E35" i="49"/>
  <c r="E40" i="48"/>
  <c r="F40" i="48" s="1"/>
  <c r="E39" i="48"/>
  <c r="E38" i="48"/>
  <c r="F38" i="48" s="1"/>
  <c r="E37" i="48"/>
  <c r="E36" i="48"/>
  <c r="F36" i="48" s="1"/>
  <c r="E35" i="48"/>
  <c r="E40" i="47"/>
  <c r="F40" i="47" s="1"/>
  <c r="E39" i="47"/>
  <c r="E40" i="36"/>
  <c r="F40" i="36" s="1"/>
  <c r="E39" i="36"/>
  <c r="E38" i="36"/>
  <c r="F38" i="36" s="1"/>
  <c r="E37" i="36"/>
  <c r="E36" i="36"/>
  <c r="F36" i="36" s="1"/>
  <c r="E35" i="36"/>
  <c r="E40" i="46"/>
  <c r="E39" i="46"/>
  <c r="E36" i="46"/>
  <c r="E35" i="46"/>
  <c r="E37" i="29"/>
  <c r="F37" i="29" s="1"/>
  <c r="E32" i="45"/>
  <c r="E30" i="45"/>
  <c r="F30" i="45" s="1"/>
  <c r="E29" i="45"/>
  <c r="E40" i="40"/>
  <c r="F40" i="40" s="1"/>
  <c r="E39" i="40"/>
  <c r="E38" i="40"/>
  <c r="F38" i="40" s="1"/>
  <c r="E37" i="40"/>
  <c r="E36" i="40"/>
  <c r="F36" i="40" s="1"/>
  <c r="E35" i="40"/>
  <c r="E40" i="42"/>
  <c r="F40" i="42" s="1"/>
  <c r="E39" i="42"/>
  <c r="E36" i="42"/>
  <c r="F36" i="42" s="1"/>
  <c r="E35" i="42"/>
  <c r="E40" i="38"/>
  <c r="F40" i="38" s="1"/>
  <c r="E39" i="38"/>
  <c r="E38" i="38"/>
  <c r="F38" i="38" s="1"/>
  <c r="E37" i="38"/>
  <c r="E36" i="38"/>
  <c r="F36" i="38" s="1"/>
  <c r="E35" i="38"/>
  <c r="E34" i="44"/>
  <c r="F34" i="44" s="1"/>
  <c r="E33" i="44"/>
  <c r="E32" i="44"/>
  <c r="F32" i="44" s="1"/>
  <c r="E31" i="44"/>
  <c r="E30" i="44"/>
  <c r="F30" i="44" s="1"/>
  <c r="E29" i="44"/>
  <c r="E40" i="41"/>
  <c r="F40" i="41" s="1"/>
  <c r="E39" i="41"/>
  <c r="E38" i="41"/>
  <c r="F38" i="41" s="1"/>
  <c r="E37" i="41"/>
  <c r="E36" i="41"/>
  <c r="F36" i="41" s="1"/>
  <c r="E35" i="41"/>
  <c r="E40" i="43"/>
  <c r="F40" i="43" s="1"/>
  <c r="E39" i="43"/>
  <c r="E38" i="43"/>
  <c r="F38" i="43" s="1"/>
  <c r="E37" i="43"/>
  <c r="E36" i="43"/>
  <c r="F36" i="43" s="1"/>
  <c r="E35" i="43"/>
  <c r="E40" i="39"/>
  <c r="F40" i="39" s="1"/>
  <c r="E39" i="39"/>
  <c r="E38" i="39"/>
  <c r="F38" i="39" s="1"/>
  <c r="E37" i="39"/>
  <c r="E36" i="39"/>
  <c r="F36" i="39" s="1"/>
  <c r="E35" i="39"/>
  <c r="Q4" i="45"/>
  <c r="Q4" i="44"/>
  <c r="R4" i="49"/>
  <c r="R4" i="40"/>
  <c r="R4" i="48"/>
  <c r="R4" i="42"/>
  <c r="R4" i="47"/>
  <c r="R4" i="38"/>
  <c r="R4" i="36"/>
  <c r="R4" i="41"/>
  <c r="R4" i="46"/>
  <c r="F34" i="45"/>
  <c r="F33" i="45"/>
  <c r="F32" i="45"/>
  <c r="F31" i="45"/>
  <c r="F29" i="45"/>
  <c r="F40" i="49"/>
  <c r="F39" i="49"/>
  <c r="F38" i="49"/>
  <c r="F37" i="49"/>
  <c r="F36" i="49"/>
  <c r="F35" i="49"/>
  <c r="F39" i="40"/>
  <c r="F37" i="40"/>
  <c r="F35" i="40"/>
  <c r="F39" i="48"/>
  <c r="F37" i="48"/>
  <c r="F35" i="48"/>
  <c r="F39" i="42"/>
  <c r="F38" i="42"/>
  <c r="F37" i="42"/>
  <c r="F35" i="42"/>
  <c r="F39" i="47"/>
  <c r="F38" i="47"/>
  <c r="F37" i="47"/>
  <c r="F36" i="47"/>
  <c r="F35" i="47"/>
  <c r="F39" i="38"/>
  <c r="F37" i="38"/>
  <c r="F35" i="38"/>
  <c r="F33" i="44"/>
  <c r="F31" i="44"/>
  <c r="F29" i="44"/>
  <c r="F39" i="36"/>
  <c r="F37" i="36"/>
  <c r="F35" i="36"/>
  <c r="F39" i="41"/>
  <c r="F37" i="41"/>
  <c r="F35" i="41"/>
  <c r="F40" i="46"/>
  <c r="F39" i="46"/>
  <c r="F38" i="46"/>
  <c r="F37" i="46"/>
  <c r="F36" i="46"/>
  <c r="F35" i="46"/>
  <c r="R4" i="43"/>
  <c r="F39" i="43"/>
  <c r="F37" i="43"/>
  <c r="F35" i="43"/>
  <c r="R4" i="29"/>
  <c r="F40" i="29"/>
  <c r="F39" i="29"/>
  <c r="F38" i="29"/>
  <c r="F36" i="29"/>
  <c r="F35" i="29"/>
  <c r="R4" i="39"/>
  <c r="F39" i="39"/>
  <c r="F37" i="39"/>
  <c r="F35" i="39"/>
  <c r="G38" i="36" l="1"/>
  <c r="H40" i="36" s="1"/>
  <c r="R5" i="36" s="1"/>
  <c r="G40" i="36"/>
  <c r="G36" i="47"/>
  <c r="I40" i="47" s="1"/>
  <c r="R6" i="47" s="1"/>
  <c r="G40" i="47"/>
  <c r="G36" i="48"/>
  <c r="I40" i="48" s="1"/>
  <c r="R6" i="48" s="1"/>
  <c r="G38" i="48"/>
  <c r="G40" i="48"/>
  <c r="G36" i="46"/>
  <c r="G38" i="46"/>
  <c r="H40" i="46" s="1"/>
  <c r="R5" i="46" s="1"/>
  <c r="G40" i="46"/>
  <c r="G36" i="49"/>
  <c r="G40" i="49"/>
  <c r="G38" i="49"/>
  <c r="H40" i="49" s="1"/>
  <c r="R5" i="49" s="1"/>
  <c r="G38" i="47"/>
  <c r="G38" i="29"/>
  <c r="G40" i="29"/>
  <c r="G36" i="43"/>
  <c r="G38" i="43"/>
  <c r="G40" i="43"/>
  <c r="G38" i="39"/>
  <c r="G40" i="39"/>
  <c r="G36" i="36"/>
  <c r="G36" i="29"/>
  <c r="G34" i="45"/>
  <c r="G32" i="45"/>
  <c r="G30" i="45"/>
  <c r="G40" i="40"/>
  <c r="G38" i="40"/>
  <c r="G36" i="40"/>
  <c r="G40" i="42"/>
  <c r="G38" i="42"/>
  <c r="I40" i="42" s="1"/>
  <c r="R6" i="42" s="1"/>
  <c r="G36" i="42"/>
  <c r="G40" i="38"/>
  <c r="G38" i="38"/>
  <c r="G36" i="38"/>
  <c r="G34" i="44"/>
  <c r="G32" i="44"/>
  <c r="G30" i="44"/>
  <c r="G40" i="41"/>
  <c r="G38" i="41"/>
  <c r="G36" i="41"/>
  <c r="G36" i="39"/>
  <c r="I40" i="49"/>
  <c r="R6" i="49" s="1"/>
  <c r="H40" i="48"/>
  <c r="R5" i="48" s="1"/>
  <c r="H34" i="44"/>
  <c r="Q5" i="44" s="1"/>
  <c r="I40" i="46"/>
  <c r="R6" i="46" s="1"/>
  <c r="I40" i="43"/>
  <c r="R6" i="43" s="1"/>
  <c r="H40" i="38" l="1"/>
  <c r="R5" i="38" s="1"/>
  <c r="I40" i="40"/>
  <c r="R6" i="40" s="1"/>
  <c r="I40" i="36"/>
  <c r="R6" i="36" s="1"/>
  <c r="H40" i="43"/>
  <c r="R5" i="43" s="1"/>
  <c r="H40" i="47"/>
  <c r="R5" i="47" s="1"/>
  <c r="H40" i="41"/>
  <c r="R5" i="41" s="1"/>
  <c r="I40" i="41"/>
  <c r="R6" i="41" s="1"/>
  <c r="I34" i="44"/>
  <c r="Q6" i="44" s="1"/>
  <c r="H40" i="40"/>
  <c r="R5" i="40" s="1"/>
  <c r="H34" i="45"/>
  <c r="Q5" i="45" s="1"/>
  <c r="H40" i="39"/>
  <c r="R5" i="39" s="1"/>
  <c r="H40" i="29"/>
  <c r="R5" i="29" s="1"/>
  <c r="I40" i="29"/>
  <c r="R6" i="29" s="1"/>
  <c r="I34" i="45"/>
  <c r="Q6" i="45" s="1"/>
  <c r="H40" i="42"/>
  <c r="R5" i="42" s="1"/>
  <c r="I40" i="38"/>
  <c r="R6" i="38" s="1"/>
  <c r="I40" i="39"/>
  <c r="R6" i="39" s="1"/>
  <c r="E32" i="47" l="1"/>
  <c r="F32" i="47" s="1"/>
  <c r="E31" i="47"/>
  <c r="F31" i="47" s="1"/>
  <c r="E30" i="47"/>
  <c r="E29" i="47"/>
  <c r="F29" i="47" s="1"/>
  <c r="E32" i="39"/>
  <c r="F32" i="39" s="1"/>
  <c r="E31" i="39"/>
  <c r="E28" i="45"/>
  <c r="F28" i="45" s="1"/>
  <c r="E27" i="45"/>
  <c r="F27" i="45" s="1"/>
  <c r="E26" i="45"/>
  <c r="E25" i="45"/>
  <c r="F25" i="45" s="1"/>
  <c r="E24" i="45"/>
  <c r="F24" i="45" s="1"/>
  <c r="E23" i="45"/>
  <c r="F23" i="45" s="1"/>
  <c r="E34" i="49"/>
  <c r="E33" i="49"/>
  <c r="F33" i="49" s="1"/>
  <c r="E32" i="49"/>
  <c r="F32" i="49" s="1"/>
  <c r="E31" i="49"/>
  <c r="F31" i="49" s="1"/>
  <c r="E30" i="49"/>
  <c r="E29" i="49"/>
  <c r="F29" i="49" s="1"/>
  <c r="E34" i="40"/>
  <c r="F34" i="40" s="1"/>
  <c r="E33" i="40"/>
  <c r="F33" i="40" s="1"/>
  <c r="E32" i="40"/>
  <c r="E31" i="40"/>
  <c r="F31" i="40" s="1"/>
  <c r="E30" i="40"/>
  <c r="F30" i="40" s="1"/>
  <c r="E29" i="40"/>
  <c r="F29" i="40" s="1"/>
  <c r="E34" i="48"/>
  <c r="E33" i="48"/>
  <c r="F33" i="48" s="1"/>
  <c r="E29" i="48"/>
  <c r="E34" i="42"/>
  <c r="E33" i="42"/>
  <c r="E32" i="42"/>
  <c r="E31" i="42"/>
  <c r="E30" i="42"/>
  <c r="E29" i="42"/>
  <c r="E34" i="47"/>
  <c r="E33" i="47"/>
  <c r="E34" i="38"/>
  <c r="E33" i="38"/>
  <c r="E32" i="38"/>
  <c r="E31" i="38"/>
  <c r="E30" i="38"/>
  <c r="E29" i="38"/>
  <c r="E28" i="44"/>
  <c r="E27" i="44"/>
  <c r="E26" i="44"/>
  <c r="E25" i="44"/>
  <c r="E24" i="44"/>
  <c r="E23" i="44"/>
  <c r="E34" i="36"/>
  <c r="E33" i="36"/>
  <c r="E31" i="36"/>
  <c r="F31" i="36" s="1"/>
  <c r="E30" i="36"/>
  <c r="E29" i="36"/>
  <c r="F29" i="36" s="1"/>
  <c r="E34" i="41"/>
  <c r="F34" i="41" s="1"/>
  <c r="E33" i="41"/>
  <c r="F33" i="41" s="1"/>
  <c r="E32" i="41"/>
  <c r="E31" i="41"/>
  <c r="F31" i="41" s="1"/>
  <c r="E30" i="41"/>
  <c r="F30" i="41" s="1"/>
  <c r="E29" i="41"/>
  <c r="F29" i="41" s="1"/>
  <c r="E34" i="46"/>
  <c r="E33" i="46"/>
  <c r="F33" i="46" s="1"/>
  <c r="E32" i="46"/>
  <c r="F32" i="46" s="1"/>
  <c r="E31" i="46"/>
  <c r="F31" i="46" s="1"/>
  <c r="E30" i="46"/>
  <c r="E29" i="46"/>
  <c r="F29" i="46" s="1"/>
  <c r="E34" i="43"/>
  <c r="F34" i="43" s="1"/>
  <c r="E33" i="43"/>
  <c r="F33" i="43" s="1"/>
  <c r="E32" i="43"/>
  <c r="E31" i="43"/>
  <c r="F31" i="43" s="1"/>
  <c r="E30" i="43"/>
  <c r="F30" i="43" s="1"/>
  <c r="E29" i="43"/>
  <c r="F29" i="43" s="1"/>
  <c r="E34" i="29"/>
  <c r="E33" i="29"/>
  <c r="F33" i="29" s="1"/>
  <c r="E32" i="29"/>
  <c r="F32" i="29" s="1"/>
  <c r="E31" i="29"/>
  <c r="F31" i="29" s="1"/>
  <c r="P4" i="45"/>
  <c r="Q4" i="49"/>
  <c r="Q4" i="40"/>
  <c r="Q4" i="48"/>
  <c r="Q4" i="42"/>
  <c r="Q4" i="47"/>
  <c r="Q4" i="38"/>
  <c r="P4" i="44"/>
  <c r="Q4" i="36"/>
  <c r="Q4" i="41"/>
  <c r="Q4" i="46"/>
  <c r="Q4" i="43"/>
  <c r="Q4" i="29"/>
  <c r="F26" i="45"/>
  <c r="F34" i="49"/>
  <c r="F30" i="49"/>
  <c r="F32" i="40"/>
  <c r="F34" i="48"/>
  <c r="F32" i="48"/>
  <c r="F31" i="48"/>
  <c r="F30" i="48"/>
  <c r="F29" i="48"/>
  <c r="F34" i="42"/>
  <c r="F33" i="42"/>
  <c r="F32" i="42"/>
  <c r="F31" i="42"/>
  <c r="F30" i="42"/>
  <c r="F29" i="42"/>
  <c r="F34" i="47"/>
  <c r="F33" i="47"/>
  <c r="F30" i="47"/>
  <c r="F34" i="38"/>
  <c r="F33" i="38"/>
  <c r="F32" i="38"/>
  <c r="F31" i="38"/>
  <c r="F30" i="38"/>
  <c r="F29" i="38"/>
  <c r="F28" i="44"/>
  <c r="F27" i="44"/>
  <c r="F26" i="44"/>
  <c r="F25" i="44"/>
  <c r="F24" i="44"/>
  <c r="F23" i="44"/>
  <c r="F34" i="36"/>
  <c r="F33" i="36"/>
  <c r="F32" i="36"/>
  <c r="F30" i="36"/>
  <c r="F32" i="41"/>
  <c r="F34" i="46"/>
  <c r="F30" i="46"/>
  <c r="F32" i="43"/>
  <c r="F34" i="29"/>
  <c r="F30" i="29"/>
  <c r="F29" i="29"/>
  <c r="Q4" i="39"/>
  <c r="F34" i="39"/>
  <c r="F33" i="39"/>
  <c r="G34" i="39" s="1"/>
  <c r="F31" i="39"/>
  <c r="F30" i="39"/>
  <c r="F29" i="39"/>
  <c r="G32" i="29" l="1"/>
  <c r="G30" i="43"/>
  <c r="G32" i="43"/>
  <c r="G30" i="46"/>
  <c r="G32" i="46"/>
  <c r="H34" i="46" s="1"/>
  <c r="Q5" i="46" s="1"/>
  <c r="G30" i="41"/>
  <c r="G32" i="41"/>
  <c r="H34" i="41" s="1"/>
  <c r="Q5" i="41" s="1"/>
  <c r="G34" i="41"/>
  <c r="G30" i="36"/>
  <c r="G34" i="48"/>
  <c r="G30" i="40"/>
  <c r="I34" i="40" s="1"/>
  <c r="Q6" i="40" s="1"/>
  <c r="G32" i="40"/>
  <c r="G30" i="49"/>
  <c r="I34" i="49" s="1"/>
  <c r="Q6" i="49" s="1"/>
  <c r="G32" i="49"/>
  <c r="G24" i="45"/>
  <c r="G26" i="45"/>
  <c r="G30" i="47"/>
  <c r="G32" i="47"/>
  <c r="G34" i="36"/>
  <c r="G24" i="44"/>
  <c r="G26" i="44"/>
  <c r="I28" i="44" s="1"/>
  <c r="P6" i="44" s="1"/>
  <c r="G28" i="44"/>
  <c r="G30" i="38"/>
  <c r="I34" i="38" s="1"/>
  <c r="Q6" i="38" s="1"/>
  <c r="G32" i="38"/>
  <c r="G34" i="38"/>
  <c r="G30" i="42"/>
  <c r="G32" i="42"/>
  <c r="I34" i="42" s="1"/>
  <c r="Q6" i="42" s="1"/>
  <c r="G30" i="48"/>
  <c r="G32" i="48"/>
  <c r="I34" i="48" s="1"/>
  <c r="Q6" i="48" s="1"/>
  <c r="G28" i="45"/>
  <c r="G34" i="49"/>
  <c r="G34" i="40"/>
  <c r="G34" i="42"/>
  <c r="H34" i="42" s="1"/>
  <c r="Q5" i="42" s="1"/>
  <c r="G34" i="47"/>
  <c r="G34" i="46"/>
  <c r="G34" i="43"/>
  <c r="G34" i="29"/>
  <c r="G30" i="39"/>
  <c r="G32" i="36"/>
  <c r="H34" i="36" s="1"/>
  <c r="Q5" i="36" s="1"/>
  <c r="G30" i="29"/>
  <c r="H28" i="45"/>
  <c r="P5" i="45" s="1"/>
  <c r="H34" i="49"/>
  <c r="Q5" i="49" s="1"/>
  <c r="H34" i="40"/>
  <c r="Q5" i="40" s="1"/>
  <c r="H34" i="48"/>
  <c r="Q5" i="48" s="1"/>
  <c r="H34" i="47"/>
  <c r="Q5" i="47" s="1"/>
  <c r="H34" i="38"/>
  <c r="Q5" i="38" s="1"/>
  <c r="H28" i="44"/>
  <c r="P5" i="44" s="1"/>
  <c r="I34" i="41"/>
  <c r="Q6" i="41" s="1"/>
  <c r="I34" i="46"/>
  <c r="Q6" i="46" s="1"/>
  <c r="I34" i="43"/>
  <c r="Q6" i="43" s="1"/>
  <c r="G32" i="39"/>
  <c r="I34" i="39" s="1"/>
  <c r="Q6" i="39" s="1"/>
  <c r="O4" i="45"/>
  <c r="E22" i="45"/>
  <c r="E21" i="45"/>
  <c r="E20" i="45"/>
  <c r="E19" i="45"/>
  <c r="E18" i="45"/>
  <c r="E17" i="45"/>
  <c r="E28" i="49"/>
  <c r="E27" i="49"/>
  <c r="E26" i="49"/>
  <c r="E25" i="49"/>
  <c r="E24" i="49"/>
  <c r="E23" i="49"/>
  <c r="P4" i="40"/>
  <c r="E28" i="40"/>
  <c r="E27" i="40"/>
  <c r="F27" i="40" s="1"/>
  <c r="E26" i="40"/>
  <c r="E25" i="40"/>
  <c r="F25" i="40" s="1"/>
  <c r="E24" i="40"/>
  <c r="E23" i="40"/>
  <c r="F23" i="40" s="1"/>
  <c r="E28" i="48"/>
  <c r="E27" i="48"/>
  <c r="F27" i="48" s="1"/>
  <c r="E26" i="48"/>
  <c r="E25" i="48"/>
  <c r="F25" i="48" s="1"/>
  <c r="E24" i="48"/>
  <c r="E23" i="48"/>
  <c r="F23" i="48" s="1"/>
  <c r="E28" i="42"/>
  <c r="E27" i="42"/>
  <c r="F27" i="42" s="1"/>
  <c r="E26" i="42"/>
  <c r="E25" i="42"/>
  <c r="F25" i="42" s="1"/>
  <c r="E24" i="42"/>
  <c r="E23" i="42"/>
  <c r="F23" i="42" s="1"/>
  <c r="E28" i="47"/>
  <c r="E27" i="47"/>
  <c r="F27" i="47" s="1"/>
  <c r="E26" i="47"/>
  <c r="E25" i="47"/>
  <c r="F25" i="47" s="1"/>
  <c r="E24" i="47"/>
  <c r="E23" i="47"/>
  <c r="F23" i="47" s="1"/>
  <c r="E28" i="38"/>
  <c r="E27" i="38"/>
  <c r="F27" i="38" s="1"/>
  <c r="E26" i="38"/>
  <c r="E25" i="38"/>
  <c r="F25" i="38" s="1"/>
  <c r="E24" i="38"/>
  <c r="E23" i="38"/>
  <c r="F23" i="38" s="1"/>
  <c r="O4" i="44"/>
  <c r="E28" i="36"/>
  <c r="F28" i="36" s="1"/>
  <c r="E27" i="36"/>
  <c r="E26" i="36"/>
  <c r="F26" i="36" s="1"/>
  <c r="E25" i="36"/>
  <c r="E24" i="36"/>
  <c r="F24" i="36" s="1"/>
  <c r="E23" i="36"/>
  <c r="E28" i="41"/>
  <c r="F28" i="41" s="1"/>
  <c r="E28" i="43"/>
  <c r="E27" i="41"/>
  <c r="E26" i="41"/>
  <c r="E25" i="41"/>
  <c r="E24" i="41"/>
  <c r="E23" i="41"/>
  <c r="E28" i="46"/>
  <c r="E27" i="46"/>
  <c r="E26" i="46"/>
  <c r="E25" i="46"/>
  <c r="E24" i="46"/>
  <c r="E23" i="46"/>
  <c r="E27" i="43"/>
  <c r="E26" i="43"/>
  <c r="F26" i="43" s="1"/>
  <c r="E25" i="43"/>
  <c r="E24" i="43"/>
  <c r="F24" i="43" s="1"/>
  <c r="E23" i="43"/>
  <c r="E28" i="29"/>
  <c r="F28" i="29" s="1"/>
  <c r="E27" i="29"/>
  <c r="E26" i="29"/>
  <c r="F26" i="29" s="1"/>
  <c r="E25" i="29"/>
  <c r="F25" i="29" s="1"/>
  <c r="E24" i="29"/>
  <c r="F24" i="29" s="1"/>
  <c r="E23" i="29"/>
  <c r="P4" i="49"/>
  <c r="P4" i="48"/>
  <c r="P4" i="42"/>
  <c r="P4" i="47"/>
  <c r="P4" i="38"/>
  <c r="P4" i="36"/>
  <c r="P4" i="41"/>
  <c r="P4" i="46"/>
  <c r="P4" i="43"/>
  <c r="P4" i="29"/>
  <c r="P4" i="39"/>
  <c r="E28" i="39"/>
  <c r="E27" i="39"/>
  <c r="E26" i="39"/>
  <c r="E25" i="39"/>
  <c r="E23" i="39"/>
  <c r="F22" i="45"/>
  <c r="F21" i="45"/>
  <c r="F20" i="45"/>
  <c r="F19" i="45"/>
  <c r="F18" i="45"/>
  <c r="F17" i="45"/>
  <c r="F28" i="49"/>
  <c r="F27" i="49"/>
  <c r="F26" i="49"/>
  <c r="F25" i="49"/>
  <c r="F24" i="49"/>
  <c r="F23" i="49"/>
  <c r="F28" i="40"/>
  <c r="F26" i="40"/>
  <c r="F24" i="40"/>
  <c r="F28" i="48"/>
  <c r="F26" i="48"/>
  <c r="F24" i="48"/>
  <c r="F28" i="42"/>
  <c r="F26" i="42"/>
  <c r="F24" i="42"/>
  <c r="F28" i="47"/>
  <c r="F26" i="47"/>
  <c r="F24" i="47"/>
  <c r="F28" i="38"/>
  <c r="F26" i="38"/>
  <c r="F24" i="38"/>
  <c r="F22" i="44"/>
  <c r="F21" i="44"/>
  <c r="F20" i="44"/>
  <c r="F19" i="44"/>
  <c r="F18" i="44"/>
  <c r="F17" i="44"/>
  <c r="F27" i="36"/>
  <c r="F25" i="36"/>
  <c r="F23" i="36"/>
  <c r="F27" i="41"/>
  <c r="F26" i="41"/>
  <c r="F25" i="41"/>
  <c r="F24" i="41"/>
  <c r="F23" i="41"/>
  <c r="F28" i="46"/>
  <c r="F27" i="46"/>
  <c r="F26" i="46"/>
  <c r="F25" i="46"/>
  <c r="F24" i="46"/>
  <c r="F23" i="46"/>
  <c r="F28" i="43"/>
  <c r="F27" i="43"/>
  <c r="F25" i="43"/>
  <c r="F23" i="43"/>
  <c r="F27" i="29"/>
  <c r="F23" i="29"/>
  <c r="F28" i="39"/>
  <c r="F27" i="39"/>
  <c r="F26" i="39"/>
  <c r="F25" i="39"/>
  <c r="F24" i="39"/>
  <c r="F23" i="39"/>
  <c r="H34" i="29" l="1"/>
  <c r="Q5" i="29" s="1"/>
  <c r="G24" i="29"/>
  <c r="G26" i="29"/>
  <c r="G28" i="29"/>
  <c r="Q6" i="36"/>
  <c r="H34" i="43"/>
  <c r="Q5" i="43" s="1"/>
  <c r="I34" i="47"/>
  <c r="Q6" i="47" s="1"/>
  <c r="I28" i="45"/>
  <c r="P6" i="45" s="1"/>
  <c r="I34" i="29"/>
  <c r="Q6" i="29" s="1"/>
  <c r="H34" i="39"/>
  <c r="Q5" i="39" s="1"/>
  <c r="G24" i="40"/>
  <c r="G26" i="40"/>
  <c r="H28" i="40" s="1"/>
  <c r="P5" i="40" s="1"/>
  <c r="G28" i="40"/>
  <c r="G24" i="48"/>
  <c r="G26" i="48"/>
  <c r="G28" i="48"/>
  <c r="G24" i="42"/>
  <c r="G28" i="42"/>
  <c r="H28" i="42" s="1"/>
  <c r="P5" i="42" s="1"/>
  <c r="G24" i="47"/>
  <c r="G26" i="47"/>
  <c r="I28" i="47" s="1"/>
  <c r="P6" i="47" s="1"/>
  <c r="G28" i="47"/>
  <c r="G24" i="38"/>
  <c r="I28" i="38" s="1"/>
  <c r="P6" i="38" s="1"/>
  <c r="G26" i="38"/>
  <c r="G18" i="44"/>
  <c r="G20" i="44"/>
  <c r="G22" i="44"/>
  <c r="G24" i="36"/>
  <c r="G26" i="36"/>
  <c r="I28" i="36" s="1"/>
  <c r="P6" i="36" s="1"/>
  <c r="G28" i="36"/>
  <c r="G28" i="41"/>
  <c r="G24" i="43"/>
  <c r="G26" i="43"/>
  <c r="I28" i="43" s="1"/>
  <c r="P6" i="43" s="1"/>
  <c r="G22" i="45"/>
  <c r="G20" i="45"/>
  <c r="H22" i="45" s="1"/>
  <c r="O5" i="45" s="1"/>
  <c r="G18" i="45"/>
  <c r="G28" i="49"/>
  <c r="G26" i="49"/>
  <c r="G24" i="49"/>
  <c r="I28" i="49" s="1"/>
  <c r="P6" i="49" s="1"/>
  <c r="G26" i="42"/>
  <c r="G28" i="38"/>
  <c r="G26" i="41"/>
  <c r="G24" i="41"/>
  <c r="G28" i="46"/>
  <c r="G26" i="46"/>
  <c r="H28" i="46" s="1"/>
  <c r="P5" i="46" s="1"/>
  <c r="G24" i="46"/>
  <c r="G28" i="43"/>
  <c r="G28" i="39"/>
  <c r="G26" i="39"/>
  <c r="G24" i="39"/>
  <c r="I22" i="45"/>
  <c r="O6" i="45" s="1"/>
  <c r="I28" i="48"/>
  <c r="P6" i="48" s="1"/>
  <c r="H28" i="47"/>
  <c r="P5" i="47" s="1"/>
  <c r="I22" i="44"/>
  <c r="O6" i="44" s="1"/>
  <c r="I28" i="41"/>
  <c r="P6" i="41" s="1"/>
  <c r="I28" i="39"/>
  <c r="P6" i="39" s="1"/>
  <c r="H28" i="29" l="1"/>
  <c r="P5" i="29" s="1"/>
  <c r="I28" i="29"/>
  <c r="P6" i="29" s="1"/>
  <c r="H28" i="36"/>
  <c r="P5" i="36" s="1"/>
  <c r="I28" i="40"/>
  <c r="P6" i="40" s="1"/>
  <c r="H28" i="43"/>
  <c r="P5" i="43" s="1"/>
  <c r="H28" i="48"/>
  <c r="P5" i="48" s="1"/>
  <c r="H28" i="41"/>
  <c r="P5" i="41" s="1"/>
  <c r="H22" i="44"/>
  <c r="O5" i="44" s="1"/>
  <c r="H28" i="49"/>
  <c r="P5" i="49" s="1"/>
  <c r="H28" i="39"/>
  <c r="P5" i="39" s="1"/>
  <c r="H28" i="38"/>
  <c r="P5" i="38" s="1"/>
  <c r="I28" i="42"/>
  <c r="P6" i="42" s="1"/>
  <c r="I28" i="46"/>
  <c r="P6" i="46" s="1"/>
  <c r="F15" i="49" l="1"/>
  <c r="F20" i="38"/>
  <c r="F19" i="38"/>
  <c r="E21" i="38"/>
  <c r="E22" i="38"/>
  <c r="N4" i="45" l="1"/>
  <c r="O4" i="49"/>
  <c r="O4" i="40"/>
  <c r="O4" i="48"/>
  <c r="O4" i="42"/>
  <c r="O4" i="47"/>
  <c r="O4" i="38"/>
  <c r="G20" i="38"/>
  <c r="N4" i="44"/>
  <c r="O4" i="36"/>
  <c r="O4" i="41"/>
  <c r="O4" i="46"/>
  <c r="O4" i="43"/>
  <c r="O4" i="29"/>
  <c r="O4" i="39"/>
  <c r="E16" i="45"/>
  <c r="F16" i="45" s="1"/>
  <c r="E15" i="45"/>
  <c r="F15" i="45" s="1"/>
  <c r="G16" i="45" s="1"/>
  <c r="E14" i="45"/>
  <c r="F14" i="45" s="1"/>
  <c r="E13" i="45"/>
  <c r="F13" i="45" s="1"/>
  <c r="G14" i="45" s="1"/>
  <c r="E12" i="45"/>
  <c r="F12" i="45" s="1"/>
  <c r="E11" i="45"/>
  <c r="F11" i="45" s="1"/>
  <c r="E22" i="49"/>
  <c r="F22" i="49" s="1"/>
  <c r="E21" i="49"/>
  <c r="F21" i="49" s="1"/>
  <c r="E20" i="49"/>
  <c r="F20" i="49" s="1"/>
  <c r="E19" i="49"/>
  <c r="F19" i="49" s="1"/>
  <c r="E18" i="49"/>
  <c r="F18" i="49" s="1"/>
  <c r="E17" i="49"/>
  <c r="F17" i="49" s="1"/>
  <c r="E22" i="40"/>
  <c r="F22" i="40" s="1"/>
  <c r="E21" i="40"/>
  <c r="F21" i="40" s="1"/>
  <c r="G22" i="40" s="1"/>
  <c r="E20" i="40"/>
  <c r="F20" i="40" s="1"/>
  <c r="E19" i="40"/>
  <c r="F19" i="40" s="1"/>
  <c r="G20" i="40" s="1"/>
  <c r="E18" i="40"/>
  <c r="F18" i="40" s="1"/>
  <c r="E17" i="40"/>
  <c r="F17" i="40" s="1"/>
  <c r="E22" i="48"/>
  <c r="F22" i="48" s="1"/>
  <c r="E21" i="48"/>
  <c r="F21" i="48" s="1"/>
  <c r="E20" i="48"/>
  <c r="F20" i="48" s="1"/>
  <c r="E19" i="48"/>
  <c r="F19" i="48" s="1"/>
  <c r="G20" i="48" s="1"/>
  <c r="E18" i="48"/>
  <c r="F18" i="48" s="1"/>
  <c r="E17" i="48"/>
  <c r="F17" i="48" s="1"/>
  <c r="E22" i="42"/>
  <c r="F22" i="42" s="1"/>
  <c r="E21" i="42"/>
  <c r="F21" i="42" s="1"/>
  <c r="E20" i="42"/>
  <c r="F20" i="42" s="1"/>
  <c r="E19" i="42"/>
  <c r="F19" i="42" s="1"/>
  <c r="G20" i="42" s="1"/>
  <c r="E18" i="42"/>
  <c r="F18" i="42" s="1"/>
  <c r="E17" i="42"/>
  <c r="F17" i="42" s="1"/>
  <c r="E22" i="47"/>
  <c r="F22" i="47" s="1"/>
  <c r="E21" i="47"/>
  <c r="F21" i="47" s="1"/>
  <c r="G22" i="47" s="1"/>
  <c r="E20" i="47"/>
  <c r="F20" i="47" s="1"/>
  <c r="E19" i="47"/>
  <c r="F19" i="47" s="1"/>
  <c r="G20" i="47" s="1"/>
  <c r="E18" i="47"/>
  <c r="F18" i="47" s="1"/>
  <c r="E17" i="47"/>
  <c r="F17" i="47" s="1"/>
  <c r="F22" i="38"/>
  <c r="F21" i="38"/>
  <c r="E18" i="38"/>
  <c r="F18" i="38" s="1"/>
  <c r="E17" i="38"/>
  <c r="F17" i="38" s="1"/>
  <c r="E12" i="44"/>
  <c r="F12" i="44" s="1"/>
  <c r="E11" i="44"/>
  <c r="F11" i="44" s="1"/>
  <c r="E15" i="44"/>
  <c r="F15" i="44" s="1"/>
  <c r="E16" i="44"/>
  <c r="F16" i="44" s="1"/>
  <c r="G16" i="44" s="1"/>
  <c r="F14" i="44"/>
  <c r="F13" i="44"/>
  <c r="G14" i="44" s="1"/>
  <c r="E22" i="36"/>
  <c r="F22" i="36" s="1"/>
  <c r="E21" i="36"/>
  <c r="F21" i="36" s="1"/>
  <c r="G22" i="36" s="1"/>
  <c r="E20" i="36"/>
  <c r="F20" i="36" s="1"/>
  <c r="E19" i="36"/>
  <c r="F19" i="36" s="1"/>
  <c r="G20" i="36" s="1"/>
  <c r="E18" i="36"/>
  <c r="F18" i="36" s="1"/>
  <c r="E17" i="36"/>
  <c r="F17" i="36" s="1"/>
  <c r="E22" i="41"/>
  <c r="F22" i="41" s="1"/>
  <c r="E21" i="41"/>
  <c r="F21" i="41" s="1"/>
  <c r="E20" i="41"/>
  <c r="F20" i="41" s="1"/>
  <c r="E19" i="41"/>
  <c r="F19" i="41" s="1"/>
  <c r="G20" i="41" s="1"/>
  <c r="E18" i="41"/>
  <c r="F18" i="41" s="1"/>
  <c r="E17" i="41"/>
  <c r="F17" i="41" s="1"/>
  <c r="E22" i="46"/>
  <c r="F22" i="46" s="1"/>
  <c r="E21" i="46"/>
  <c r="F21" i="46" s="1"/>
  <c r="G22" i="46" s="1"/>
  <c r="E20" i="46"/>
  <c r="F20" i="46" s="1"/>
  <c r="E19" i="46"/>
  <c r="F19" i="46" s="1"/>
  <c r="G20" i="46" s="1"/>
  <c r="E18" i="46"/>
  <c r="F18" i="46" s="1"/>
  <c r="E17" i="46"/>
  <c r="F17" i="46" s="1"/>
  <c r="E22" i="43"/>
  <c r="F22" i="43" s="1"/>
  <c r="E21" i="43"/>
  <c r="F21" i="43" s="1"/>
  <c r="E20" i="43"/>
  <c r="F20" i="43" s="1"/>
  <c r="E19" i="43"/>
  <c r="F19" i="43" s="1"/>
  <c r="G20" i="43" s="1"/>
  <c r="E18" i="43"/>
  <c r="F18" i="43" s="1"/>
  <c r="E17" i="43"/>
  <c r="F17" i="43" s="1"/>
  <c r="E22" i="29"/>
  <c r="F22" i="29" s="1"/>
  <c r="E21" i="29"/>
  <c r="F21" i="29" s="1"/>
  <c r="E20" i="29"/>
  <c r="F20" i="29" s="1"/>
  <c r="E19" i="29"/>
  <c r="F19" i="29" s="1"/>
  <c r="E18" i="29"/>
  <c r="F18" i="29" s="1"/>
  <c r="E17" i="29"/>
  <c r="F17" i="29" s="1"/>
  <c r="E18" i="39"/>
  <c r="F18" i="39" s="1"/>
  <c r="E17" i="39"/>
  <c r="F17" i="39" s="1"/>
  <c r="E20" i="39"/>
  <c r="F20" i="39" s="1"/>
  <c r="E19" i="39"/>
  <c r="F19" i="39" s="1"/>
  <c r="G20" i="39" s="1"/>
  <c r="E22" i="39"/>
  <c r="F22" i="39" s="1"/>
  <c r="E21" i="39"/>
  <c r="F21" i="39" s="1"/>
  <c r="G20" i="29" l="1"/>
  <c r="G18" i="39"/>
  <c r="H22" i="39" s="1"/>
  <c r="O5" i="39" s="1"/>
  <c r="G18" i="43"/>
  <c r="G18" i="46"/>
  <c r="H22" i="46" s="1"/>
  <c r="O5" i="46" s="1"/>
  <c r="G18" i="41"/>
  <c r="G18" i="36"/>
  <c r="H22" i="36" s="1"/>
  <c r="O5" i="36" s="1"/>
  <c r="G12" i="44"/>
  <c r="G18" i="38"/>
  <c r="G18" i="47"/>
  <c r="G18" i="42"/>
  <c r="I22" i="42" s="1"/>
  <c r="O6" i="42" s="1"/>
  <c r="G18" i="48"/>
  <c r="G18" i="40"/>
  <c r="I22" i="40" s="1"/>
  <c r="O6" i="40" s="1"/>
  <c r="G12" i="45"/>
  <c r="G22" i="39"/>
  <c r="G22" i="48"/>
  <c r="G20" i="49"/>
  <c r="H22" i="49" s="1"/>
  <c r="O5" i="49" s="1"/>
  <c r="G22" i="49"/>
  <c r="H22" i="40"/>
  <c r="O5" i="40" s="1"/>
  <c r="H16" i="45"/>
  <c r="N5" i="45" s="1"/>
  <c r="G18" i="29"/>
  <c r="H22" i="29" s="1"/>
  <c r="O5" i="29" s="1"/>
  <c r="G22" i="29"/>
  <c r="G22" i="43"/>
  <c r="I22" i="43" s="1"/>
  <c r="O6" i="43" s="1"/>
  <c r="G22" i="41"/>
  <c r="G22" i="42"/>
  <c r="G18" i="49"/>
  <c r="I16" i="45"/>
  <c r="N6" i="45" s="1"/>
  <c r="I22" i="49"/>
  <c r="O6" i="49" s="1"/>
  <c r="H22" i="48"/>
  <c r="O5" i="48" s="1"/>
  <c r="I22" i="48"/>
  <c r="O6" i="48" s="1"/>
  <c r="H22" i="42"/>
  <c r="O5" i="42" s="1"/>
  <c r="I22" i="47"/>
  <c r="O6" i="47" s="1"/>
  <c r="H22" i="47"/>
  <c r="O5" i="47" s="1"/>
  <c r="I16" i="44"/>
  <c r="N6" i="44" s="1"/>
  <c r="H16" i="44"/>
  <c r="N5" i="44" s="1"/>
  <c r="I22" i="36"/>
  <c r="O6" i="36" s="1"/>
  <c r="I22" i="41"/>
  <c r="O6" i="41" s="1"/>
  <c r="H22" i="41"/>
  <c r="O5" i="41" s="1"/>
  <c r="I22" i="46"/>
  <c r="O6" i="46" s="1"/>
  <c r="H22" i="43"/>
  <c r="O5" i="43" s="1"/>
  <c r="I22" i="39"/>
  <c r="O6" i="39" s="1"/>
  <c r="G22" i="38"/>
  <c r="I22" i="38" s="1"/>
  <c r="O6" i="38" s="1"/>
  <c r="I22" i="29"/>
  <c r="O6" i="29" s="1"/>
  <c r="N4" i="49"/>
  <c r="M4" i="49"/>
  <c r="F10" i="49"/>
  <c r="F9" i="49"/>
  <c r="E8" i="49"/>
  <c r="F8" i="49" s="1"/>
  <c r="F7" i="49"/>
  <c r="E6" i="49"/>
  <c r="F6" i="49" s="1"/>
  <c r="F5" i="49"/>
  <c r="E16" i="49"/>
  <c r="F16" i="49" s="1"/>
  <c r="F14" i="49"/>
  <c r="E13" i="49"/>
  <c r="F13" i="49" s="1"/>
  <c r="E12" i="49"/>
  <c r="F12" i="49" s="1"/>
  <c r="F11" i="49"/>
  <c r="N4" i="36"/>
  <c r="M4" i="36"/>
  <c r="F10" i="36"/>
  <c r="F9" i="36"/>
  <c r="F8" i="36"/>
  <c r="F7" i="36"/>
  <c r="F6" i="36"/>
  <c r="F5" i="36"/>
  <c r="E16" i="36"/>
  <c r="F16" i="36" s="1"/>
  <c r="E15" i="36"/>
  <c r="F15" i="36" s="1"/>
  <c r="E14" i="36"/>
  <c r="F14" i="36" s="1"/>
  <c r="E13" i="36"/>
  <c r="F13" i="36" s="1"/>
  <c r="E12" i="36"/>
  <c r="F12" i="36" s="1"/>
  <c r="E11" i="36"/>
  <c r="F11" i="36" s="1"/>
  <c r="N4" i="48"/>
  <c r="M4" i="48"/>
  <c r="E10" i="48"/>
  <c r="F10" i="48" s="1"/>
  <c r="E9" i="48"/>
  <c r="F9" i="48" s="1"/>
  <c r="F8" i="48"/>
  <c r="E7" i="48"/>
  <c r="F7" i="48" s="1"/>
  <c r="G8" i="48" s="1"/>
  <c r="E6" i="48"/>
  <c r="F6" i="48" s="1"/>
  <c r="F5" i="48"/>
  <c r="F16" i="48"/>
  <c r="E15" i="48"/>
  <c r="F15" i="48" s="1"/>
  <c r="E14" i="48"/>
  <c r="F14" i="48" s="1"/>
  <c r="E13" i="48"/>
  <c r="F13" i="48" s="1"/>
  <c r="F12" i="48"/>
  <c r="F11" i="48"/>
  <c r="N4" i="46"/>
  <c r="M4" i="46"/>
  <c r="M6" i="46"/>
  <c r="F10" i="46"/>
  <c r="F9" i="46"/>
  <c r="F8" i="46"/>
  <c r="F7" i="46"/>
  <c r="F6" i="46"/>
  <c r="F5" i="46"/>
  <c r="E16" i="46"/>
  <c r="F16" i="46" s="1"/>
  <c r="E15" i="46"/>
  <c r="F15" i="46" s="1"/>
  <c r="E14" i="46"/>
  <c r="F14" i="46" s="1"/>
  <c r="E13" i="46"/>
  <c r="F13" i="46" s="1"/>
  <c r="E12" i="46"/>
  <c r="F12" i="46" s="1"/>
  <c r="E11" i="46"/>
  <c r="F11" i="46" s="1"/>
  <c r="N4" i="47"/>
  <c r="M4" i="47"/>
  <c r="E10" i="47"/>
  <c r="F10" i="47" s="1"/>
  <c r="E9" i="47"/>
  <c r="F9" i="47" s="1"/>
  <c r="G10" i="47" s="1"/>
  <c r="F8" i="47"/>
  <c r="F7" i="47"/>
  <c r="G8" i="47" s="1"/>
  <c r="E6" i="47"/>
  <c r="F6" i="47" s="1"/>
  <c r="E5" i="47"/>
  <c r="F5" i="47" s="1"/>
  <c r="E16" i="47"/>
  <c r="F16" i="47" s="1"/>
  <c r="E15" i="47"/>
  <c r="F15" i="47" s="1"/>
  <c r="E14" i="47"/>
  <c r="F14" i="47" s="1"/>
  <c r="E13" i="47"/>
  <c r="F13" i="47" s="1"/>
  <c r="G14" i="47" s="1"/>
  <c r="F12" i="47"/>
  <c r="E11" i="47"/>
  <c r="F11" i="47" s="1"/>
  <c r="N4" i="29"/>
  <c r="F10" i="29"/>
  <c r="F9" i="29"/>
  <c r="F8" i="29"/>
  <c r="F7" i="29"/>
  <c r="F6" i="29"/>
  <c r="F5" i="29"/>
  <c r="E16" i="29"/>
  <c r="F16" i="29" s="1"/>
  <c r="E15" i="29"/>
  <c r="F15" i="29" s="1"/>
  <c r="E14" i="29"/>
  <c r="F14" i="29" s="1"/>
  <c r="E13" i="29"/>
  <c r="F13" i="29" s="1"/>
  <c r="E12" i="29"/>
  <c r="F12" i="29" s="1"/>
  <c r="E11" i="29"/>
  <c r="F11" i="29" s="1"/>
  <c r="N4" i="40"/>
  <c r="N4" i="41"/>
  <c r="N4" i="38"/>
  <c r="N4" i="43"/>
  <c r="N4" i="42"/>
  <c r="L4" i="49"/>
  <c r="L4" i="36"/>
  <c r="L4" i="48"/>
  <c r="L4" i="46"/>
  <c r="L4" i="47"/>
  <c r="L4" i="29"/>
  <c r="L4" i="45"/>
  <c r="L4" i="44"/>
  <c r="L4" i="40"/>
  <c r="L4" i="41"/>
  <c r="L4" i="42"/>
  <c r="L4" i="43"/>
  <c r="L4" i="38"/>
  <c r="N4" i="39"/>
  <c r="M4" i="39"/>
  <c r="L4" i="39"/>
  <c r="E10" i="44"/>
  <c r="E9" i="44"/>
  <c r="E8" i="44"/>
  <c r="E7" i="44"/>
  <c r="E10" i="45"/>
  <c r="E9" i="45"/>
  <c r="E8" i="45"/>
  <c r="E7" i="45"/>
  <c r="G14" i="29" l="1"/>
  <c r="G16" i="29"/>
  <c r="G8" i="29"/>
  <c r="G10" i="29"/>
  <c r="G12" i="29"/>
  <c r="G6" i="29"/>
  <c r="G10" i="48"/>
  <c r="G6" i="47"/>
  <c r="G6" i="46"/>
  <c r="G8" i="46"/>
  <c r="H22" i="38"/>
  <c r="O5" i="38" s="1"/>
  <c r="G6" i="36"/>
  <c r="G8" i="36"/>
  <c r="G10" i="36"/>
  <c r="G8" i="49"/>
  <c r="G10" i="49"/>
  <c r="G12" i="49"/>
  <c r="G6" i="49"/>
  <c r="G16" i="49"/>
  <c r="G14" i="49"/>
  <c r="I10" i="36"/>
  <c r="M6" i="36" s="1"/>
  <c r="H10" i="36"/>
  <c r="M5" i="36" s="1"/>
  <c r="G12" i="36"/>
  <c r="G14" i="36"/>
  <c r="G16" i="36"/>
  <c r="G12" i="48"/>
  <c r="G6" i="48"/>
  <c r="I10" i="48" s="1"/>
  <c r="M6" i="48" s="1"/>
  <c r="G14" i="48"/>
  <c r="G16" i="48"/>
  <c r="G10" i="46"/>
  <c r="I10" i="46" s="1"/>
  <c r="H10" i="46"/>
  <c r="G12" i="46"/>
  <c r="G14" i="46"/>
  <c r="G16" i="46"/>
  <c r="I10" i="47"/>
  <c r="M6" i="47" s="1"/>
  <c r="H10" i="47"/>
  <c r="M5" i="47" s="1"/>
  <c r="G12" i="47"/>
  <c r="H16" i="47" s="1"/>
  <c r="G16" i="47"/>
  <c r="E16" i="40"/>
  <c r="F16" i="40" s="1"/>
  <c r="E15" i="40"/>
  <c r="F15" i="40" s="1"/>
  <c r="E14" i="40"/>
  <c r="F14" i="40" s="1"/>
  <c r="E13" i="40"/>
  <c r="F13" i="40" s="1"/>
  <c r="E12" i="40"/>
  <c r="F12" i="40" s="1"/>
  <c r="F11" i="40"/>
  <c r="F16" i="41"/>
  <c r="E15" i="41"/>
  <c r="F15" i="41" s="1"/>
  <c r="E14" i="41"/>
  <c r="F14" i="41" s="1"/>
  <c r="E13" i="41"/>
  <c r="F13" i="41" s="1"/>
  <c r="E12" i="41"/>
  <c r="F12" i="41" s="1"/>
  <c r="E11" i="41"/>
  <c r="F11" i="41" s="1"/>
  <c r="E16" i="42"/>
  <c r="F16" i="42" s="1"/>
  <c r="E15" i="42"/>
  <c r="F15" i="42" s="1"/>
  <c r="F14" i="42"/>
  <c r="E13" i="42"/>
  <c r="F13" i="42" s="1"/>
  <c r="E12" i="42"/>
  <c r="F12" i="42" s="1"/>
  <c r="F11" i="42"/>
  <c r="E16" i="43"/>
  <c r="F16" i="43" s="1"/>
  <c r="E15" i="43"/>
  <c r="F15" i="43" s="1"/>
  <c r="E14" i="43"/>
  <c r="F14" i="43" s="1"/>
  <c r="F13" i="43"/>
  <c r="E12" i="43"/>
  <c r="F12" i="43" s="1"/>
  <c r="F11" i="43"/>
  <c r="F16" i="38"/>
  <c r="E15" i="38"/>
  <c r="F15" i="38" s="1"/>
  <c r="E14" i="38"/>
  <c r="F14" i="38" s="1"/>
  <c r="F13" i="38"/>
  <c r="E12" i="38"/>
  <c r="F12" i="38" s="1"/>
  <c r="E11" i="38"/>
  <c r="F11" i="38" s="1"/>
  <c r="F16" i="39"/>
  <c r="F15" i="39"/>
  <c r="F14" i="39"/>
  <c r="F13" i="39"/>
  <c r="F12" i="39"/>
  <c r="F11" i="39"/>
  <c r="H16" i="29" l="1"/>
  <c r="N5" i="29" s="1"/>
  <c r="H10" i="29"/>
  <c r="M5" i="29" s="1"/>
  <c r="I16" i="29"/>
  <c r="N6" i="29" s="1"/>
  <c r="I10" i="29"/>
  <c r="I16" i="36"/>
  <c r="H10" i="48"/>
  <c r="M5" i="48" s="1"/>
  <c r="I16" i="49"/>
  <c r="N6" i="49" s="1"/>
  <c r="H16" i="49"/>
  <c r="N5" i="49" s="1"/>
  <c r="I10" i="49"/>
  <c r="M6" i="49" s="1"/>
  <c r="H10" i="49"/>
  <c r="M5" i="49" s="1"/>
  <c r="N6" i="36"/>
  <c r="H16" i="36"/>
  <c r="N5" i="36" s="1"/>
  <c r="I16" i="48"/>
  <c r="N6" i="48" s="1"/>
  <c r="H16" i="48"/>
  <c r="N5" i="48" s="1"/>
  <c r="I16" i="46"/>
  <c r="N6" i="46" s="1"/>
  <c r="H16" i="46"/>
  <c r="N5" i="46" s="1"/>
  <c r="I16" i="47"/>
  <c r="N6" i="47" s="1"/>
  <c r="N5" i="47"/>
  <c r="G14" i="38"/>
  <c r="G16" i="38"/>
  <c r="G12" i="38"/>
  <c r="I16" i="38" l="1"/>
  <c r="N6" i="38" s="1"/>
  <c r="H16" i="38"/>
  <c r="N5" i="38" s="1"/>
  <c r="G12" i="39"/>
  <c r="G14" i="39"/>
  <c r="G16" i="39"/>
  <c r="F10" i="45"/>
  <c r="F9" i="45"/>
  <c r="F8" i="45"/>
  <c r="F7" i="45"/>
  <c r="E6" i="45"/>
  <c r="F6" i="45" s="1"/>
  <c r="E5" i="45"/>
  <c r="F5" i="45" s="1"/>
  <c r="F10" i="44"/>
  <c r="F9" i="44"/>
  <c r="F8" i="44"/>
  <c r="F7" i="44"/>
  <c r="E6" i="44"/>
  <c r="F6" i="44" s="1"/>
  <c r="E5" i="44"/>
  <c r="F5" i="44" s="1"/>
  <c r="F10" i="40"/>
  <c r="F9" i="40"/>
  <c r="E8" i="40"/>
  <c r="F8" i="40" s="1"/>
  <c r="F7" i="40"/>
  <c r="E6" i="40"/>
  <c r="F6" i="40" s="1"/>
  <c r="F5" i="40"/>
  <c r="F10" i="41"/>
  <c r="F9" i="41"/>
  <c r="F8" i="41"/>
  <c r="F7" i="41"/>
  <c r="F6" i="41"/>
  <c r="F5" i="41"/>
  <c r="E10" i="42"/>
  <c r="F10" i="42" s="1"/>
  <c r="E9" i="42"/>
  <c r="F9" i="42" s="1"/>
  <c r="F8" i="42"/>
  <c r="E7" i="42"/>
  <c r="F7" i="42" s="1"/>
  <c r="E6" i="42"/>
  <c r="F6" i="42" s="1"/>
  <c r="F5" i="42"/>
  <c r="F10" i="43"/>
  <c r="F9" i="43"/>
  <c r="F8" i="43"/>
  <c r="F7" i="43"/>
  <c r="F6" i="43"/>
  <c r="F5" i="43"/>
  <c r="E10" i="38"/>
  <c r="F10" i="38" s="1"/>
  <c r="E9" i="38"/>
  <c r="F9" i="38" s="1"/>
  <c r="F8" i="38"/>
  <c r="F7" i="38"/>
  <c r="E6" i="38"/>
  <c r="F6" i="38" s="1"/>
  <c r="E5" i="38"/>
  <c r="F5" i="38" s="1"/>
  <c r="F10" i="39"/>
  <c r="F9" i="39"/>
  <c r="F8" i="39"/>
  <c r="F7" i="39"/>
  <c r="M5" i="46"/>
  <c r="M4" i="45"/>
  <c r="M4" i="44"/>
  <c r="G16" i="43"/>
  <c r="G10" i="43"/>
  <c r="M4" i="43"/>
  <c r="G14" i="42"/>
  <c r="G12" i="42"/>
  <c r="M4" i="42"/>
  <c r="M4" i="41"/>
  <c r="M4" i="40"/>
  <c r="F6" i="39"/>
  <c r="F5" i="39"/>
  <c r="M4" i="38"/>
  <c r="M4" i="29"/>
  <c r="G6" i="41" l="1"/>
  <c r="G8" i="43"/>
  <c r="G10" i="38"/>
  <c r="H16" i="39"/>
  <c r="N5" i="39" s="1"/>
  <c r="I16" i="39"/>
  <c r="N6" i="39" s="1"/>
  <c r="G6" i="40"/>
  <c r="G6" i="38"/>
  <c r="G8" i="38"/>
  <c r="G10" i="39"/>
  <c r="G6" i="39"/>
  <c r="G8" i="39"/>
  <c r="G6" i="45"/>
  <c r="G6" i="44"/>
  <c r="G8" i="42"/>
  <c r="G8" i="45"/>
  <c r="G10" i="45"/>
  <c r="G8" i="44"/>
  <c r="G10" i="44"/>
  <c r="G6" i="43"/>
  <c r="G14" i="43"/>
  <c r="G12" i="43"/>
  <c r="G6" i="42"/>
  <c r="G10" i="42"/>
  <c r="G16" i="42"/>
  <c r="I16" i="42" s="1"/>
  <c r="N6" i="42" s="1"/>
  <c r="G8" i="41"/>
  <c r="G10" i="41"/>
  <c r="G12" i="41"/>
  <c r="G14" i="41"/>
  <c r="G16" i="41"/>
  <c r="G8" i="40"/>
  <c r="G10" i="40"/>
  <c r="G12" i="40"/>
  <c r="G14" i="40"/>
  <c r="G16" i="40"/>
  <c r="H16" i="42" l="1"/>
  <c r="N5" i="42" s="1"/>
  <c r="H10" i="39"/>
  <c r="H10" i="41"/>
  <c r="M5" i="41" s="1"/>
  <c r="I10" i="45"/>
  <c r="M6" i="45" s="1"/>
  <c r="H10" i="45"/>
  <c r="M5" i="45" s="1"/>
  <c r="I10" i="44"/>
  <c r="M6" i="44" s="1"/>
  <c r="H10" i="44"/>
  <c r="M5" i="44" s="1"/>
  <c r="M6" i="29"/>
  <c r="H16" i="40"/>
  <c r="N5" i="40" s="1"/>
  <c r="I16" i="40"/>
  <c r="N6" i="40" s="1"/>
  <c r="H10" i="40"/>
  <c r="M5" i="40" s="1"/>
  <c r="I10" i="40"/>
  <c r="M6" i="40" s="1"/>
  <c r="I16" i="41"/>
  <c r="N6" i="41" s="1"/>
  <c r="H16" i="41"/>
  <c r="I10" i="41"/>
  <c r="I10" i="42"/>
  <c r="M6" i="42" s="1"/>
  <c r="H10" i="42"/>
  <c r="M5" i="42" s="1"/>
  <c r="I16" i="43"/>
  <c r="N6" i="43" s="1"/>
  <c r="H16" i="43"/>
  <c r="N5" i="43" s="1"/>
  <c r="I10" i="43"/>
  <c r="M6" i="43" s="1"/>
  <c r="H10" i="43"/>
  <c r="M5" i="43" s="1"/>
  <c r="I10" i="38"/>
  <c r="M6" i="38" s="1"/>
  <c r="H10" i="38"/>
  <c r="M5" i="38" s="1"/>
  <c r="M5" i="39"/>
  <c r="I10" i="39"/>
  <c r="M6" i="39" s="1"/>
  <c r="M6" i="41" l="1"/>
  <c r="N5" i="41"/>
</calcChain>
</file>

<file path=xl/sharedStrings.xml><?xml version="1.0" encoding="utf-8"?>
<sst xmlns="http://schemas.openxmlformats.org/spreadsheetml/2006/main" count="371" uniqueCount="45">
  <si>
    <t>mean</t>
    <phoneticPr fontId="1" type="noConversion"/>
  </si>
  <si>
    <t>SD</t>
    <phoneticPr fontId="1" type="noConversion"/>
  </si>
  <si>
    <t>시료명</t>
    <phoneticPr fontId="1" type="noConversion"/>
  </si>
  <si>
    <t>온도</t>
    <phoneticPr fontId="1" type="noConversion"/>
  </si>
  <si>
    <t>Sample</t>
    <phoneticPr fontId="1" type="noConversion"/>
  </si>
  <si>
    <t>D.F.</t>
    <phoneticPr fontId="1" type="noConversion"/>
  </si>
  <si>
    <t>Colony</t>
    <phoneticPr fontId="1" type="noConversion"/>
  </si>
  <si>
    <t>log CFU/g</t>
    <phoneticPr fontId="1" type="noConversion"/>
  </si>
  <si>
    <t>소시지</t>
    <phoneticPr fontId="1" type="noConversion"/>
  </si>
  <si>
    <t>TSC</t>
    <phoneticPr fontId="1" type="noConversion"/>
  </si>
  <si>
    <t>5도</t>
    <phoneticPr fontId="1" type="noConversion"/>
  </si>
  <si>
    <t>Time (w)</t>
    <phoneticPr fontId="1" type="noConversion"/>
  </si>
  <si>
    <t>초고압 처리전</t>
    <phoneticPr fontId="1" type="noConversion"/>
  </si>
  <si>
    <t>Mean</t>
    <phoneticPr fontId="1" type="noConversion"/>
  </si>
  <si>
    <t>배지명</t>
    <phoneticPr fontId="1" type="noConversion"/>
  </si>
  <si>
    <t>Time (w)</t>
    <phoneticPr fontId="1" type="noConversion"/>
  </si>
  <si>
    <t>Mean</t>
    <phoneticPr fontId="1" type="noConversion"/>
  </si>
  <si>
    <t>Mean</t>
    <phoneticPr fontId="1" type="noConversion"/>
  </si>
  <si>
    <t>Mean</t>
    <phoneticPr fontId="1" type="noConversion"/>
  </si>
  <si>
    <t>Mean</t>
    <phoneticPr fontId="1" type="noConversion"/>
  </si>
  <si>
    <t>Mean</t>
    <phoneticPr fontId="1" type="noConversion"/>
  </si>
  <si>
    <t>Mean</t>
    <phoneticPr fontId="1" type="noConversion"/>
  </si>
  <si>
    <t>Mean</t>
    <phoneticPr fontId="1" type="noConversion"/>
  </si>
  <si>
    <t xml:space="preserve"> </t>
    <phoneticPr fontId="1" type="noConversion"/>
  </si>
  <si>
    <t>데이터가 튐</t>
    <phoneticPr fontId="1" type="noConversion"/>
  </si>
  <si>
    <t>2주차 플레이팅 후 20도로 변경</t>
    <phoneticPr fontId="1" type="noConversion"/>
  </si>
  <si>
    <t xml:space="preserve">영양세포 </t>
  </si>
  <si>
    <t>Control +0% 산</t>
  </si>
  <si>
    <t>Control +1% 산</t>
  </si>
  <si>
    <t>Control +2% 산</t>
  </si>
  <si>
    <t>HPP +0% 산</t>
  </si>
  <si>
    <t>HPP +1% 산</t>
  </si>
  <si>
    <t>HPP +2% 산</t>
  </si>
  <si>
    <t>합성아질산염첨가</t>
  </si>
  <si>
    <t>Mean</t>
  </si>
  <si>
    <t>SD</t>
  </si>
  <si>
    <t>초고압 전</t>
  </si>
  <si>
    <t>후 0w</t>
  </si>
  <si>
    <t>1w</t>
  </si>
  <si>
    <t>2w</t>
  </si>
  <si>
    <t>3w</t>
  </si>
  <si>
    <t>4w</t>
  </si>
  <si>
    <t>5w</t>
  </si>
  <si>
    <t>*2w 플레이팅 후 20도로 온도 변경</t>
  </si>
  <si>
    <t>포자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</si>
</sst>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4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6" fontId="2" fillId="0" borderId="4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176" fontId="2" fillId="0" borderId="0" xfId="0" applyNumberFormat="1" applyFont="1" applyFill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CV0!$L$4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CV0!$M$6:$N$6</c:f>
                <c:numCache>
                  <c:formatCode>General</c:formatCode>
                  <c:ptCount val="2"/>
                  <c:pt idx="0">
                    <c:v>0.17524700285529174</c:v>
                  </c:pt>
                  <c:pt idx="1">
                    <c:v>6.5698500176796709E-2</c:v>
                  </c:pt>
                </c:numCache>
              </c:numRef>
            </c:plus>
            <c:minus>
              <c:numRef>
                <c:f>CV0!$M$6:$N$6</c:f>
                <c:numCache>
                  <c:formatCode>General</c:formatCode>
                  <c:ptCount val="2"/>
                  <c:pt idx="0">
                    <c:v>0.17524700285529174</c:v>
                  </c:pt>
                  <c:pt idx="1">
                    <c:v>6.5698500176796709E-2</c:v>
                  </c:pt>
                </c:numCache>
              </c:numRef>
            </c:minus>
          </c:errBars>
          <c:cat>
            <c:strRef>
              <c:f>CV0!$M$4:$S$4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CV0!$M$5:$S$5</c:f>
              <c:numCache>
                <c:formatCode>0.0</c:formatCode>
                <c:ptCount val="7"/>
                <c:pt idx="0">
                  <c:v>4.5964564138996629</c:v>
                </c:pt>
                <c:pt idx="1">
                  <c:v>4.5362605800728897</c:v>
                </c:pt>
                <c:pt idx="2">
                  <c:v>3.6081815303857656</c:v>
                </c:pt>
                <c:pt idx="3">
                  <c:v>4.012245111348741</c:v>
                </c:pt>
                <c:pt idx="4">
                  <c:v>5.4643293613608703</c:v>
                </c:pt>
                <c:pt idx="5">
                  <c:v>7.1885355909800071</c:v>
                </c:pt>
                <c:pt idx="6">
                  <c:v>7.2131900036740939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C-44EA-AB1A-08B8FFBEB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897536"/>
        <c:axId val="1533370160"/>
      </c:lineChart>
      <c:catAx>
        <c:axId val="142589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3370160"/>
        <c:crosses val="autoZero"/>
        <c:auto val="1"/>
        <c:lblAlgn val="ctr"/>
        <c:lblOffset val="100"/>
        <c:noMultiLvlLbl val="0"/>
      </c:catAx>
      <c:valAx>
        <c:axId val="1533370160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425897536"/>
        <c:crosses val="autoZero"/>
        <c:crossBetween val="midCat"/>
        <c:minorUnit val="1"/>
      </c:valAx>
    </c:plotArea>
    <c:plotVisOnly val="1"/>
    <c:dispBlanksAs val="gap"/>
    <c:showDLblsOverMax val="0"/>
  </c:chart>
  <c:txPr>
    <a:bodyPr/>
    <a:lstStyle/>
    <a:p>
      <a:pPr>
        <a:defRPr>
          <a:latin typeface="돋움" panose="020B0600000101010101" pitchFamily="50" charset="-127"/>
          <a:ea typeface="돋움" panose="020B0600000101010101" pitchFamily="50" charset="-127"/>
        </a:defRPr>
      </a:pPr>
      <a:endParaRPr lang="ko-KR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'CS1'!$L$4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'CS1'!$M$6:$P$6</c:f>
                <c:numCache>
                  <c:formatCode>General</c:formatCode>
                  <c:ptCount val="4"/>
                  <c:pt idx="0">
                    <c:v>6.126525796676735E-2</c:v>
                  </c:pt>
                  <c:pt idx="1">
                    <c:v>0.18513733415064954</c:v>
                  </c:pt>
                  <c:pt idx="2">
                    <c:v>9.7278044885277887E-2</c:v>
                  </c:pt>
                  <c:pt idx="3">
                    <c:v>7.3141605274441468E-2</c:v>
                  </c:pt>
                </c:numCache>
              </c:numRef>
            </c:plus>
            <c:minus>
              <c:numRef>
                <c:f>'CS1'!$M$6:$P$6</c:f>
                <c:numCache>
                  <c:formatCode>General</c:formatCode>
                  <c:ptCount val="4"/>
                  <c:pt idx="0">
                    <c:v>6.126525796676735E-2</c:v>
                  </c:pt>
                  <c:pt idx="1">
                    <c:v>0.18513733415064954</c:v>
                  </c:pt>
                  <c:pt idx="2">
                    <c:v>9.7278044885277887E-2</c:v>
                  </c:pt>
                  <c:pt idx="3">
                    <c:v>7.3141605274441468E-2</c:v>
                  </c:pt>
                </c:numCache>
              </c:numRef>
            </c:minus>
          </c:errBars>
          <c:cat>
            <c:strRef>
              <c:f>'CS1'!$M$4:$S$4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'CS1'!$M$5:$S$5</c:f>
              <c:numCache>
                <c:formatCode>0.0</c:formatCode>
                <c:ptCount val="7"/>
                <c:pt idx="0">
                  <c:v>2.8743838399009669</c:v>
                </c:pt>
                <c:pt idx="1">
                  <c:v>2.673001332629434</c:v>
                </c:pt>
                <c:pt idx="2">
                  <c:v>2.6869630015969648</c:v>
                </c:pt>
                <c:pt idx="3">
                  <c:v>2.6500506519565699</c:v>
                </c:pt>
                <c:pt idx="4">
                  <c:v>2.6203285353011339</c:v>
                </c:pt>
                <c:pt idx="5">
                  <c:v>2.3518713445506405</c:v>
                </c:pt>
                <c:pt idx="6">
                  <c:v>2.7829728355572296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16-41DB-80E3-B1BABD3A6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20336"/>
        <c:axId val="1528820880"/>
      </c:lineChart>
      <c:catAx>
        <c:axId val="152882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8820880"/>
        <c:crosses val="autoZero"/>
        <c:auto val="1"/>
        <c:lblAlgn val="ctr"/>
        <c:lblOffset val="100"/>
        <c:noMultiLvlLbl val="0"/>
      </c:catAx>
      <c:valAx>
        <c:axId val="1528820880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28820336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'HS1'!$L$4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'HS1'!$M$6:$O$6</c:f>
                <c:numCache>
                  <c:formatCode>General</c:formatCode>
                  <c:ptCount val="3"/>
                  <c:pt idx="0">
                    <c:v>6.126525796676735E-2</c:v>
                  </c:pt>
                  <c:pt idx="1">
                    <c:v>0.29148827127089572</c:v>
                  </c:pt>
                  <c:pt idx="2">
                    <c:v>0.19723898788089808</c:v>
                  </c:pt>
                </c:numCache>
              </c:numRef>
            </c:plus>
            <c:minus>
              <c:numRef>
                <c:f>'HS1'!$M$6:$O$6</c:f>
                <c:numCache>
                  <c:formatCode>General</c:formatCode>
                  <c:ptCount val="3"/>
                  <c:pt idx="0">
                    <c:v>6.126525796676735E-2</c:v>
                  </c:pt>
                  <c:pt idx="1">
                    <c:v>0.29148827127089572</c:v>
                  </c:pt>
                  <c:pt idx="2">
                    <c:v>0.19723898788089808</c:v>
                  </c:pt>
                </c:numCache>
              </c:numRef>
            </c:minus>
          </c:errBars>
          <c:cat>
            <c:strRef>
              <c:f>'HS1'!$M$4:$S$4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'HS1'!$M$5:$S$5</c:f>
              <c:numCache>
                <c:formatCode>0.0</c:formatCode>
                <c:ptCount val="7"/>
                <c:pt idx="0">
                  <c:v>2.8743838399009669</c:v>
                </c:pt>
                <c:pt idx="1">
                  <c:v>2.334193812255962</c:v>
                </c:pt>
                <c:pt idx="2">
                  <c:v>2.4670646674777887</c:v>
                </c:pt>
                <c:pt idx="3">
                  <c:v>2.4563188287412827</c:v>
                </c:pt>
                <c:pt idx="4">
                  <c:v>3.6104221692133698</c:v>
                </c:pt>
                <c:pt idx="5">
                  <c:v>4.3298688263609222</c:v>
                </c:pt>
                <c:pt idx="6">
                  <c:v>2.5145164221905101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3-4610-9B74-00172683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31760"/>
        <c:axId val="1528828496"/>
      </c:lineChart>
      <c:catAx>
        <c:axId val="152883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8828496"/>
        <c:crosses val="autoZero"/>
        <c:auto val="1"/>
        <c:lblAlgn val="ctr"/>
        <c:lblOffset val="100"/>
        <c:noMultiLvlLbl val="0"/>
      </c:catAx>
      <c:valAx>
        <c:axId val="1528828496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28831760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'CS2'!$L$4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'CS2'!$M$6:$N$6</c:f>
                <c:numCache>
                  <c:formatCode>General</c:formatCode>
                  <c:ptCount val="2"/>
                  <c:pt idx="0">
                    <c:v>0.43395602678082973</c:v>
                  </c:pt>
                  <c:pt idx="1">
                    <c:v>8.5360574078738469E-2</c:v>
                  </c:pt>
                </c:numCache>
              </c:numRef>
            </c:plus>
            <c:minus>
              <c:numRef>
                <c:f>'CS2'!$M$6:$N$6</c:f>
                <c:numCache>
                  <c:formatCode>General</c:formatCode>
                  <c:ptCount val="2"/>
                  <c:pt idx="0">
                    <c:v>0.43395602678082973</c:v>
                  </c:pt>
                  <c:pt idx="1">
                    <c:v>8.5360574078738469E-2</c:v>
                  </c:pt>
                </c:numCache>
              </c:numRef>
            </c:minus>
          </c:errBars>
          <c:cat>
            <c:strRef>
              <c:f>'CS2'!$M$4:$S$4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'CS2'!$M$5:$S$5</c:f>
              <c:numCache>
                <c:formatCode>0.0</c:formatCode>
                <c:ptCount val="7"/>
                <c:pt idx="0">
                  <c:v>2.3334288060475497</c:v>
                </c:pt>
                <c:pt idx="1">
                  <c:v>2.4733062242723132</c:v>
                </c:pt>
                <c:pt idx="2">
                  <c:v>2.6446832079141736</c:v>
                </c:pt>
                <c:pt idx="3">
                  <c:v>2.5996129244929178</c:v>
                </c:pt>
                <c:pt idx="4">
                  <c:v>2.3470383730181941</c:v>
                </c:pt>
                <c:pt idx="5">
                  <c:v>2.1510657285479629</c:v>
                </c:pt>
                <c:pt idx="6">
                  <c:v>2.298776644102039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CC-424F-BC1F-E1F17F851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29040"/>
        <c:axId val="1528832848"/>
      </c:lineChart>
      <c:catAx>
        <c:axId val="152882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8832848"/>
        <c:crosses val="autoZero"/>
        <c:auto val="1"/>
        <c:lblAlgn val="ctr"/>
        <c:lblOffset val="100"/>
        <c:noMultiLvlLbl val="0"/>
      </c:catAx>
      <c:valAx>
        <c:axId val="152883284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28829040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'HS2'!$L$4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'HS2'!$M$6:$P$6</c:f>
                <c:numCache>
                  <c:formatCode>General</c:formatCode>
                  <c:ptCount val="4"/>
                  <c:pt idx="0">
                    <c:v>0.43395602678082973</c:v>
                  </c:pt>
                  <c:pt idx="1">
                    <c:v>0.38617905683485981</c:v>
                  </c:pt>
                  <c:pt idx="2">
                    <c:v>0.24330012321153491</c:v>
                  </c:pt>
                  <c:pt idx="3">
                    <c:v>0.24794639198352927</c:v>
                  </c:pt>
                </c:numCache>
              </c:numRef>
            </c:plus>
            <c:minus>
              <c:numRef>
                <c:f>'HS2'!$M$6:$P$6</c:f>
                <c:numCache>
                  <c:formatCode>General</c:formatCode>
                  <c:ptCount val="4"/>
                  <c:pt idx="0">
                    <c:v>0.43395602678082973</c:v>
                  </c:pt>
                  <c:pt idx="1">
                    <c:v>0.38617905683485981</c:v>
                  </c:pt>
                  <c:pt idx="2">
                    <c:v>0.24330012321153491</c:v>
                  </c:pt>
                  <c:pt idx="3">
                    <c:v>0.24794639198352927</c:v>
                  </c:pt>
                </c:numCache>
              </c:numRef>
            </c:minus>
          </c:errBars>
          <c:cat>
            <c:strRef>
              <c:f>'HS2'!$M$4:$S$4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'HS2'!$M$5:$S$5</c:f>
              <c:numCache>
                <c:formatCode>0.0</c:formatCode>
                <c:ptCount val="7"/>
                <c:pt idx="0">
                  <c:v>2.3334288060475497</c:v>
                </c:pt>
                <c:pt idx="1">
                  <c:v>2.240639303957332</c:v>
                </c:pt>
                <c:pt idx="2">
                  <c:v>2.5258272879343409</c:v>
                </c:pt>
                <c:pt idx="3">
                  <c:v>2.4897979833817452</c:v>
                </c:pt>
                <c:pt idx="4">
                  <c:v>2.1848544717428435</c:v>
                </c:pt>
                <c:pt idx="5">
                  <c:v>2.5870093959602989</c:v>
                </c:pt>
                <c:pt idx="6">
                  <c:v>2.2729001012706842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3-4990-B591-EC410C9DE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30128"/>
        <c:axId val="1528817616"/>
      </c:lineChart>
      <c:catAx>
        <c:axId val="152883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8817616"/>
        <c:crosses val="autoZero"/>
        <c:auto val="1"/>
        <c:lblAlgn val="ctr"/>
        <c:lblOffset val="100"/>
        <c:noMultiLvlLbl val="0"/>
      </c:catAx>
      <c:valAx>
        <c:axId val="1528817616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28830128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CSN!$L$4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CSN!$M$6:$O$6</c:f>
                <c:numCache>
                  <c:formatCode>General</c:formatCode>
                  <c:ptCount val="3"/>
                  <c:pt idx="0">
                    <c:v>0.23861014970323821</c:v>
                  </c:pt>
                  <c:pt idx="1">
                    <c:v>0.46890999785601822</c:v>
                  </c:pt>
                  <c:pt idx="2">
                    <c:v>0.40849300540422784</c:v>
                  </c:pt>
                </c:numCache>
              </c:numRef>
            </c:plus>
            <c:minus>
              <c:numRef>
                <c:f>CSN!$M$6:$O$6</c:f>
                <c:numCache>
                  <c:formatCode>General</c:formatCode>
                  <c:ptCount val="3"/>
                  <c:pt idx="0">
                    <c:v>0.23861014970323821</c:v>
                  </c:pt>
                  <c:pt idx="1">
                    <c:v>0.46890999785601822</c:v>
                  </c:pt>
                  <c:pt idx="2">
                    <c:v>0.40849300540422784</c:v>
                  </c:pt>
                </c:numCache>
              </c:numRef>
            </c:minus>
          </c:errBars>
          <c:cat>
            <c:numRef>
              <c:f>CSN!$M$4:$R$4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CSN!$M$5:$R$5</c:f>
              <c:numCache>
                <c:formatCode>0.0</c:formatCode>
                <c:ptCount val="6"/>
                <c:pt idx="0">
                  <c:v>2.6421172402379374</c:v>
                </c:pt>
                <c:pt idx="1">
                  <c:v>2.7071261612635493</c:v>
                </c:pt>
                <c:pt idx="2">
                  <c:v>2.5045386818022628</c:v>
                </c:pt>
                <c:pt idx="3">
                  <c:v>2.9086220805424809</c:v>
                </c:pt>
                <c:pt idx="4">
                  <c:v>3.9149194595689489</c:v>
                </c:pt>
                <c:pt idx="5">
                  <c:v>2.4608142410467768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4-4EE5-B615-47FDFE4D2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22512"/>
        <c:axId val="1532770800"/>
      </c:lineChart>
      <c:catAx>
        <c:axId val="152882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2770800"/>
        <c:crosses val="autoZero"/>
        <c:auto val="1"/>
        <c:lblAlgn val="ctr"/>
        <c:lblOffset val="100"/>
        <c:noMultiLvlLbl val="0"/>
      </c:catAx>
      <c:valAx>
        <c:axId val="1532770800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28822512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HV0!$L$4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HV0!$M$6:$N$6</c:f>
                <c:numCache>
                  <c:formatCode>General</c:formatCode>
                  <c:ptCount val="2"/>
                  <c:pt idx="0">
                    <c:v>0.17524700285529174</c:v>
                  </c:pt>
                  <c:pt idx="1">
                    <c:v>0.37612705744979125</c:v>
                  </c:pt>
                </c:numCache>
              </c:numRef>
            </c:plus>
            <c:minus>
              <c:numRef>
                <c:f>HV0!$M$6:$N$6</c:f>
                <c:numCache>
                  <c:formatCode>General</c:formatCode>
                  <c:ptCount val="2"/>
                  <c:pt idx="0">
                    <c:v>0.17524700285529174</c:v>
                  </c:pt>
                  <c:pt idx="1">
                    <c:v>0.37612705744979125</c:v>
                  </c:pt>
                </c:numCache>
              </c:numRef>
            </c:minus>
          </c:errBars>
          <c:cat>
            <c:strRef>
              <c:f>HV0!$M$4:$S$4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HV0!$M$5:$S$5</c:f>
              <c:numCache>
                <c:formatCode>0.0</c:formatCode>
                <c:ptCount val="7"/>
                <c:pt idx="0">
                  <c:v>4.5964564138996629</c:v>
                </c:pt>
                <c:pt idx="1">
                  <c:v>2.7355157135793795</c:v>
                </c:pt>
                <c:pt idx="2">
                  <c:v>2.6433692358657734</c:v>
                </c:pt>
                <c:pt idx="3">
                  <c:v>2.3443073265040399</c:v>
                </c:pt>
                <c:pt idx="4">
                  <c:v>4.0143209694730491</c:v>
                </c:pt>
                <c:pt idx="5">
                  <c:v>4.4092776795790165</c:v>
                </c:pt>
                <c:pt idx="6">
                  <c:v>3.763522388401833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4A-4BB1-A8A6-71F7A0331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373424"/>
        <c:axId val="1533371792"/>
      </c:lineChart>
      <c:catAx>
        <c:axId val="153337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3371792"/>
        <c:crosses val="autoZero"/>
        <c:auto val="1"/>
        <c:lblAlgn val="ctr"/>
        <c:lblOffset val="100"/>
        <c:noMultiLvlLbl val="0"/>
      </c:catAx>
      <c:valAx>
        <c:axId val="153337179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33373424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'CV1'!$L$4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'CV1'!$M$6:$O$6</c:f>
                <c:numCache>
                  <c:formatCode>General</c:formatCode>
                  <c:ptCount val="3"/>
                  <c:pt idx="0">
                    <c:v>2.773691225240461E-2</c:v>
                  </c:pt>
                  <c:pt idx="1">
                    <c:v>0.25801242634284594</c:v>
                  </c:pt>
                  <c:pt idx="2">
                    <c:v>0.14332166286180942</c:v>
                  </c:pt>
                </c:numCache>
              </c:numRef>
            </c:plus>
            <c:minus>
              <c:numRef>
                <c:f>'CV1'!$M$6:$O$6</c:f>
                <c:numCache>
                  <c:formatCode>General</c:formatCode>
                  <c:ptCount val="3"/>
                  <c:pt idx="0">
                    <c:v>2.773691225240461E-2</c:v>
                  </c:pt>
                  <c:pt idx="1">
                    <c:v>0.25801242634284594</c:v>
                  </c:pt>
                  <c:pt idx="2">
                    <c:v>0.14332166286180942</c:v>
                  </c:pt>
                </c:numCache>
              </c:numRef>
            </c:minus>
          </c:errBars>
          <c:cat>
            <c:strRef>
              <c:f>'CV1'!$M$4:$S$4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'CV1'!$M$5:$S$5</c:f>
              <c:numCache>
                <c:formatCode>0.0</c:formatCode>
                <c:ptCount val="7"/>
                <c:pt idx="0">
                  <c:v>4.4810511885846092</c:v>
                </c:pt>
                <c:pt idx="1">
                  <c:v>3.7975357122491205</c:v>
                </c:pt>
                <c:pt idx="2">
                  <c:v>3.6488712739969578</c:v>
                </c:pt>
                <c:pt idx="3">
                  <c:v>3.2320440533264567</c:v>
                </c:pt>
                <c:pt idx="4">
                  <c:v>2.6702813949729935</c:v>
                </c:pt>
                <c:pt idx="5">
                  <c:v>2.4554894059536663</c:v>
                </c:pt>
                <c:pt idx="6">
                  <c:v>2.6322289296620625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E-444A-9BDA-342FFEDEE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380496"/>
        <c:axId val="1533375056"/>
      </c:lineChart>
      <c:catAx>
        <c:axId val="153338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3375056"/>
        <c:crosses val="autoZero"/>
        <c:auto val="1"/>
        <c:lblAlgn val="ctr"/>
        <c:lblOffset val="100"/>
        <c:noMultiLvlLbl val="0"/>
      </c:catAx>
      <c:valAx>
        <c:axId val="1533375056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33380496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'HV1'!$L$4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'HV1'!$M$6:$P$6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0.16062903372053408</c:v>
                  </c:pt>
                  <c:pt idx="2">
                    <c:v>0.19723898788089808</c:v>
                  </c:pt>
                  <c:pt idx="3">
                    <c:v>0.11941831577208052</c:v>
                  </c:pt>
                </c:numCache>
              </c:numRef>
            </c:plus>
            <c:minus>
              <c:numRef>
                <c:f>'HV1'!$M$6:$P$6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0.16062903372053408</c:v>
                  </c:pt>
                  <c:pt idx="2">
                    <c:v>0.19723898788089808</c:v>
                  </c:pt>
                  <c:pt idx="3">
                    <c:v>0.11941831577208052</c:v>
                  </c:pt>
                </c:numCache>
              </c:numRef>
            </c:minus>
          </c:errBars>
          <c:cat>
            <c:strRef>
              <c:f>'HV1'!$M$4:$S$4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'HV1'!$M$5:$S$5</c:f>
              <c:numCache>
                <c:formatCode>0.0</c:formatCode>
                <c:ptCount val="7"/>
                <c:pt idx="0">
                  <c:v>4.4559727754940779</c:v>
                </c:pt>
                <c:pt idx="1">
                  <c:v>2.4435455619088651</c:v>
                </c:pt>
                <c:pt idx="2">
                  <c:v>2.4670646674777887</c:v>
                </c:pt>
                <c:pt idx="3">
                  <c:v>2.3919355072735038</c:v>
                </c:pt>
                <c:pt idx="4">
                  <c:v>2.5376777461679692</c:v>
                </c:pt>
                <c:pt idx="5">
                  <c:v>2.2933944241988571</c:v>
                </c:pt>
                <c:pt idx="6">
                  <c:v>2.5869568926205049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A-4CB8-998D-825AFC5A3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367440"/>
        <c:axId val="1533368528"/>
      </c:lineChart>
      <c:catAx>
        <c:axId val="153336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3368528"/>
        <c:crosses val="autoZero"/>
        <c:auto val="1"/>
        <c:lblAlgn val="ctr"/>
        <c:lblOffset val="100"/>
        <c:noMultiLvlLbl val="0"/>
      </c:catAx>
      <c:valAx>
        <c:axId val="1533368528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33367440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'CV2'!$L$4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'CV2'!$M$6:$P$6</c:f>
                <c:numCache>
                  <c:formatCode>General</c:formatCode>
                  <c:ptCount val="4"/>
                  <c:pt idx="0">
                    <c:v>3.6512202804777636</c:v>
                  </c:pt>
                  <c:pt idx="1">
                    <c:v>2.498745795227517E-2</c:v>
                  </c:pt>
                  <c:pt idx="2">
                    <c:v>6.1301610208457445E-2</c:v>
                  </c:pt>
                  <c:pt idx="3">
                    <c:v>0.13510826370365894</c:v>
                  </c:pt>
                </c:numCache>
              </c:numRef>
            </c:plus>
            <c:minus>
              <c:numRef>
                <c:f>'CV2'!$M$6:$P$6</c:f>
                <c:numCache>
                  <c:formatCode>General</c:formatCode>
                  <c:ptCount val="4"/>
                  <c:pt idx="0">
                    <c:v>3.6512202804777636</c:v>
                  </c:pt>
                  <c:pt idx="1">
                    <c:v>2.498745795227517E-2</c:v>
                  </c:pt>
                  <c:pt idx="2">
                    <c:v>6.1301610208457445E-2</c:v>
                  </c:pt>
                  <c:pt idx="3">
                    <c:v>0.13510826370365894</c:v>
                  </c:pt>
                </c:numCache>
              </c:numRef>
            </c:minus>
          </c:errBars>
          <c:cat>
            <c:strRef>
              <c:f>'CV2'!$M$4:$S$4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'CV2'!$M$5:$S$5</c:f>
              <c:numCache>
                <c:formatCode>0.0</c:formatCode>
                <c:ptCount val="7"/>
                <c:pt idx="0">
                  <c:v>4.0693181925016892</c:v>
                </c:pt>
                <c:pt idx="1">
                  <c:v>3.6512202804777636</c:v>
                </c:pt>
                <c:pt idx="2">
                  <c:v>3.3298571176762377</c:v>
                </c:pt>
                <c:pt idx="3">
                  <c:v>3.0605066491798305</c:v>
                </c:pt>
                <c:pt idx="4">
                  <c:v>2.5421432755992925</c:v>
                </c:pt>
                <c:pt idx="5">
                  <c:v>2.6016723070329273</c:v>
                </c:pt>
                <c:pt idx="6">
                  <c:v>2.3325133437317107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F-4E26-812C-EFC096AD1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44400"/>
        <c:axId val="1162947664"/>
      </c:lineChart>
      <c:catAx>
        <c:axId val="116294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2947664"/>
        <c:crosses val="autoZero"/>
        <c:auto val="1"/>
        <c:lblAlgn val="ctr"/>
        <c:lblOffset val="100"/>
        <c:noMultiLvlLbl val="0"/>
      </c:catAx>
      <c:valAx>
        <c:axId val="1162947664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62944400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'HV2'!$L$4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'HV2'!$M$6:$O$6</c:f>
                <c:numCache>
                  <c:formatCode>General</c:formatCode>
                  <c:ptCount val="3"/>
                  <c:pt idx="0">
                    <c:v>0.10735244771018715</c:v>
                  </c:pt>
                  <c:pt idx="1">
                    <c:v>4.2819108807544422E-2</c:v>
                  </c:pt>
                  <c:pt idx="2">
                    <c:v>0.11496159626138397</c:v>
                  </c:pt>
                </c:numCache>
              </c:numRef>
            </c:plus>
            <c:minus>
              <c:numRef>
                <c:f>'HV2'!$M$6:$O$6</c:f>
                <c:numCache>
                  <c:formatCode>General</c:formatCode>
                  <c:ptCount val="3"/>
                  <c:pt idx="0">
                    <c:v>0.10735244771018715</c:v>
                  </c:pt>
                  <c:pt idx="1">
                    <c:v>4.2819108807544422E-2</c:v>
                  </c:pt>
                  <c:pt idx="2">
                    <c:v>0.11496159626138397</c:v>
                  </c:pt>
                </c:numCache>
              </c:numRef>
            </c:minus>
          </c:errBars>
          <c:cat>
            <c:strRef>
              <c:f>'HV2'!$M$4:$S$4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'HV2'!$M$5:$S$5</c:f>
              <c:numCache>
                <c:formatCode>0.0</c:formatCode>
                <c:ptCount val="7"/>
                <c:pt idx="0">
                  <c:v>4.0693181925016892</c:v>
                </c:pt>
                <c:pt idx="1">
                  <c:v>2.6246785182302466</c:v>
                </c:pt>
                <c:pt idx="2">
                  <c:v>2.5527845575370818</c:v>
                </c:pt>
                <c:pt idx="3">
                  <c:v>2.3660172089383953</c:v>
                </c:pt>
                <c:pt idx="4">
                  <c:v>3.2023388075325609</c:v>
                </c:pt>
                <c:pt idx="5">
                  <c:v>2.5085049885118376</c:v>
                </c:pt>
                <c:pt idx="6">
                  <c:v>2.397034584851518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D-460E-B3AD-E6A0D780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46032"/>
        <c:axId val="1197966272"/>
      </c:lineChart>
      <c:catAx>
        <c:axId val="116294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7966272"/>
        <c:crosses val="autoZero"/>
        <c:auto val="1"/>
        <c:lblAlgn val="ctr"/>
        <c:lblOffset val="100"/>
        <c:noMultiLvlLbl val="0"/>
      </c:catAx>
      <c:valAx>
        <c:axId val="119796627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62946032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CVN!$L$4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CVN!$M$6:$N$6</c:f>
                <c:numCache>
                  <c:formatCode>General</c:formatCode>
                  <c:ptCount val="2"/>
                  <c:pt idx="0">
                    <c:v>0.14420874401177536</c:v>
                  </c:pt>
                  <c:pt idx="1">
                    <c:v>0.45903542810808706</c:v>
                  </c:pt>
                </c:numCache>
              </c:numRef>
            </c:plus>
            <c:minus>
              <c:numRef>
                <c:f>CVN!$M$6:$N$6</c:f>
                <c:numCache>
                  <c:formatCode>General</c:formatCode>
                  <c:ptCount val="2"/>
                  <c:pt idx="0">
                    <c:v>0.14420874401177536</c:v>
                  </c:pt>
                  <c:pt idx="1">
                    <c:v>0.45903542810808706</c:v>
                  </c:pt>
                </c:numCache>
              </c:numRef>
            </c:minus>
          </c:errBars>
          <c:cat>
            <c:numRef>
              <c:f>CVN!$M$4:$R$4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CVN!$M$5:$R$5</c:f>
              <c:numCache>
                <c:formatCode>0.0</c:formatCode>
                <c:ptCount val="6"/>
                <c:pt idx="0">
                  <c:v>4.1333647303400012</c:v>
                </c:pt>
                <c:pt idx="1">
                  <c:v>3.9339297167051903</c:v>
                </c:pt>
                <c:pt idx="2">
                  <c:v>4.1321569942695362</c:v>
                </c:pt>
                <c:pt idx="3">
                  <c:v>2.7908330278661269</c:v>
                </c:pt>
                <c:pt idx="4">
                  <c:v>2.5019167408828156</c:v>
                </c:pt>
                <c:pt idx="5">
                  <c:v>3.2077658024541869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9-4F1A-A6F5-7ED669308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23056"/>
        <c:axId val="1528825232"/>
      </c:lineChart>
      <c:catAx>
        <c:axId val="152882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8825232"/>
        <c:crosses val="autoZero"/>
        <c:auto val="1"/>
        <c:lblAlgn val="ctr"/>
        <c:lblOffset val="100"/>
        <c:noMultiLvlLbl val="0"/>
      </c:catAx>
      <c:valAx>
        <c:axId val="152882523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28823056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'CS0 '!$L$4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'CS0 '!$M$6:$O$6</c:f>
                <c:numCache>
                  <c:formatCode>General</c:formatCode>
                  <c:ptCount val="3"/>
                  <c:pt idx="0">
                    <c:v>0.33475683434867287</c:v>
                  </c:pt>
                  <c:pt idx="1">
                    <c:v>0.14274451630285406</c:v>
                  </c:pt>
                  <c:pt idx="2">
                    <c:v>1.1846139435101612</c:v>
                  </c:pt>
                </c:numCache>
              </c:numRef>
            </c:plus>
            <c:minus>
              <c:numRef>
                <c:f>'CS0 '!$M$6:$O$6</c:f>
                <c:numCache>
                  <c:formatCode>General</c:formatCode>
                  <c:ptCount val="3"/>
                  <c:pt idx="0">
                    <c:v>0.33475683434867287</c:v>
                  </c:pt>
                  <c:pt idx="1">
                    <c:v>0.14274451630285406</c:v>
                  </c:pt>
                  <c:pt idx="2">
                    <c:v>1.1846139435101612</c:v>
                  </c:pt>
                </c:numCache>
              </c:numRef>
            </c:minus>
          </c:errBars>
          <c:cat>
            <c:strRef>
              <c:f>'CS0 '!$M$4:$S$4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'CS0 '!$M$5:$S$5</c:f>
              <c:numCache>
                <c:formatCode>0.0</c:formatCode>
                <c:ptCount val="7"/>
                <c:pt idx="0">
                  <c:v>2.5086932393686663</c:v>
                </c:pt>
                <c:pt idx="1">
                  <c:v>2.5644050608357762</c:v>
                </c:pt>
                <c:pt idx="2">
                  <c:v>2.080450610582572</c:v>
                </c:pt>
                <c:pt idx="3">
                  <c:v>2.5924133540855063</c:v>
                </c:pt>
                <c:pt idx="4">
                  <c:v>5.3969575531044711</c:v>
                </c:pt>
                <c:pt idx="5">
                  <c:v>5.1816264781086021</c:v>
                </c:pt>
                <c:pt idx="6">
                  <c:v>5.1349820233966481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8-43E6-92B9-2DB53F9DD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24144"/>
        <c:axId val="1528831216"/>
      </c:lineChart>
      <c:catAx>
        <c:axId val="152882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8831216"/>
        <c:crosses val="autoZero"/>
        <c:auto val="1"/>
        <c:lblAlgn val="ctr"/>
        <c:lblOffset val="100"/>
        <c:noMultiLvlLbl val="0"/>
      </c:catAx>
      <c:valAx>
        <c:axId val="1528831216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28824144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HS0!$L$4</c:f>
              <c:strCache>
                <c:ptCount val="1"/>
                <c:pt idx="0">
                  <c:v>Time (w)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HS0!$M$6:$O$6</c:f>
                <c:numCache>
                  <c:formatCode>General</c:formatCode>
                  <c:ptCount val="3"/>
                  <c:pt idx="0">
                    <c:v>0.33475683434867287</c:v>
                  </c:pt>
                  <c:pt idx="1">
                    <c:v>0.11886322093183595</c:v>
                  </c:pt>
                  <c:pt idx="2">
                    <c:v>8.3120194727706959E-2</c:v>
                  </c:pt>
                </c:numCache>
              </c:numRef>
            </c:plus>
            <c:minus>
              <c:numRef>
                <c:f>HS0!$M$6:$O$6</c:f>
                <c:numCache>
                  <c:formatCode>General</c:formatCode>
                  <c:ptCount val="3"/>
                  <c:pt idx="0">
                    <c:v>0.33475683434867287</c:v>
                  </c:pt>
                  <c:pt idx="1">
                    <c:v>0.11886322093183595</c:v>
                  </c:pt>
                  <c:pt idx="2">
                    <c:v>8.3120194727706959E-2</c:v>
                  </c:pt>
                </c:numCache>
              </c:numRef>
            </c:minus>
          </c:errBars>
          <c:cat>
            <c:strRef>
              <c:f>HS0!$M$4:$S$4</c:f>
              <c:strCache>
                <c:ptCount val="7"/>
                <c:pt idx="0">
                  <c:v>초고압 처리전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HS0!$M$5:$S$5</c:f>
              <c:numCache>
                <c:formatCode>0.0</c:formatCode>
                <c:ptCount val="7"/>
                <c:pt idx="0">
                  <c:v>2.5086932393686663</c:v>
                </c:pt>
                <c:pt idx="1">
                  <c:v>2.5710382178610542</c:v>
                </c:pt>
                <c:pt idx="2">
                  <c:v>2.6433692358657734</c:v>
                </c:pt>
                <c:pt idx="3">
                  <c:v>2.2175702459335049</c:v>
                </c:pt>
                <c:pt idx="4">
                  <c:v>6.1888517214954009</c:v>
                </c:pt>
                <c:pt idx="5">
                  <c:v>7.0424927303995872</c:v>
                </c:pt>
                <c:pt idx="6">
                  <c:v>6.6677357070438505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D-414C-A3CE-DB1E18A6A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26320"/>
        <c:axId val="1528819792"/>
      </c:lineChart>
      <c:catAx>
        <c:axId val="152882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000" b="1" i="0" u="none" strike="noStrike" baseline="0">
                    <a:effectLst/>
                  </a:rPr>
                  <a:t>Time (w</a:t>
                </a:r>
                <a:r>
                  <a:rPr lang="en-US" alt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8819792"/>
        <c:crosses val="autoZero"/>
        <c:auto val="1"/>
        <c:lblAlgn val="ctr"/>
        <c:lblOffset val="100"/>
        <c:noMultiLvlLbl val="0"/>
      </c:catAx>
      <c:valAx>
        <c:axId val="152881979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log CFU/g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28826320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228599</xdr:colOff>
      <xdr:row>10</xdr:row>
      <xdr:rowOff>177799</xdr:rowOff>
    </xdr:from>
    <xdr:to>
      <xdr:col>18</xdr:col>
      <xdr:colOff>580570</xdr:colOff>
      <xdr:row>27</xdr:row>
      <xdr:rowOff>36285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228599</xdr:colOff>
      <xdr:row>10</xdr:row>
      <xdr:rowOff>190499</xdr:rowOff>
    </xdr:from>
    <xdr:to>
      <xdr:col>18</xdr:col>
      <xdr:colOff>225213</xdr:colOff>
      <xdr:row>26</xdr:row>
      <xdr:rowOff>11127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174170</xdr:colOff>
      <xdr:row>10</xdr:row>
      <xdr:rowOff>114300</xdr:rowOff>
    </xdr:from>
    <xdr:to>
      <xdr:col>19</xdr:col>
      <xdr:colOff>216142</xdr:colOff>
      <xdr:row>26</xdr:row>
      <xdr:rowOff>152642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228599</xdr:colOff>
      <xdr:row>10</xdr:row>
      <xdr:rowOff>190499</xdr:rowOff>
    </xdr:from>
    <xdr:to>
      <xdr:col>19</xdr:col>
      <xdr:colOff>270571</xdr:colOff>
      <xdr:row>26</xdr:row>
      <xdr:rowOff>11127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201385</xdr:colOff>
      <xdr:row>10</xdr:row>
      <xdr:rowOff>141514</xdr:rowOff>
    </xdr:from>
    <xdr:to>
      <xdr:col>19</xdr:col>
      <xdr:colOff>243357</xdr:colOff>
      <xdr:row>26</xdr:row>
      <xdr:rowOff>179856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146957</xdr:colOff>
      <xdr:row>10</xdr:row>
      <xdr:rowOff>141514</xdr:rowOff>
    </xdr:from>
    <xdr:to>
      <xdr:col>19</xdr:col>
      <xdr:colOff>188928</xdr:colOff>
      <xdr:row>26</xdr:row>
      <xdr:rowOff>179856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201385</xdr:colOff>
      <xdr:row>10</xdr:row>
      <xdr:rowOff>96157</xdr:rowOff>
    </xdr:from>
    <xdr:to>
      <xdr:col>19</xdr:col>
      <xdr:colOff>243357</xdr:colOff>
      <xdr:row>26</xdr:row>
      <xdr:rowOff>134499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10</xdr:row>
      <xdr:rowOff>190499</xdr:rowOff>
    </xdr:from>
    <xdr:to>
      <xdr:col>18</xdr:col>
      <xdr:colOff>225214</xdr:colOff>
      <xdr:row>26</xdr:row>
      <xdr:rowOff>11127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183242</xdr:colOff>
      <xdr:row>10</xdr:row>
      <xdr:rowOff>114300</xdr:rowOff>
    </xdr:from>
    <xdr:to>
      <xdr:col>19</xdr:col>
      <xdr:colOff>225214</xdr:colOff>
      <xdr:row>26</xdr:row>
      <xdr:rowOff>152642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228599</xdr:colOff>
      <xdr:row>10</xdr:row>
      <xdr:rowOff>190499</xdr:rowOff>
    </xdr:from>
    <xdr:to>
      <xdr:col>18</xdr:col>
      <xdr:colOff>225213</xdr:colOff>
      <xdr:row>26</xdr:row>
      <xdr:rowOff>11127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165100</xdr:colOff>
      <xdr:row>10</xdr:row>
      <xdr:rowOff>96157</xdr:rowOff>
    </xdr:from>
    <xdr:to>
      <xdr:col>19</xdr:col>
      <xdr:colOff>207072</xdr:colOff>
      <xdr:row>26</xdr:row>
      <xdr:rowOff>134499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137886</xdr:colOff>
      <xdr:row>10</xdr:row>
      <xdr:rowOff>105229</xdr:rowOff>
    </xdr:from>
    <xdr:to>
      <xdr:col>19</xdr:col>
      <xdr:colOff>179857</xdr:colOff>
      <xdr:row>26</xdr:row>
      <xdr:rowOff>143571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10</xdr:row>
      <xdr:rowOff>190499</xdr:rowOff>
    </xdr:from>
    <xdr:to>
      <xdr:col>18</xdr:col>
      <xdr:colOff>579000</xdr:colOff>
      <xdr:row>26</xdr:row>
      <xdr:rowOff>11127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165100</xdr:colOff>
      <xdr:row>10</xdr:row>
      <xdr:rowOff>150585</xdr:rowOff>
    </xdr:from>
    <xdr:to>
      <xdr:col>19</xdr:col>
      <xdr:colOff>207072</xdr:colOff>
      <xdr:row>27</xdr:row>
      <xdr:rowOff>7499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S46"/>
  <sheetViews>
    <sheetView zoomScale="70" zoomScaleNormal="70" workbookViewId="0"/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0" width="8.6640625" style="14"/>
    <col min="11" max="11" width="9.83203125" style="14" customWidth="1"/>
    <col min="12" max="12" width="13.25" style="1" customWidth="1"/>
    <col min="13" max="13" width="13.33203125" style="1" bestFit="1" customWidth="1"/>
    <col min="14" max="16384" width="8.6640625" style="1"/>
  </cols>
  <sheetData>
    <row r="2" spans="2:19" s="14" customFormat="1" x14ac:dyDescent="0.45"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</row>
    <row r="3" spans="2:19" ht="14.5" thickBot="1" x14ac:dyDescent="0.5"/>
    <row r="4" spans="2:19" x14ac:dyDescent="0.45">
      <c r="B4" s="2" t="s">
        <v>11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13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B11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2:19" x14ac:dyDescent="0.45">
      <c r="B5" s="6" t="s">
        <v>12</v>
      </c>
      <c r="C5" s="7">
        <v>1</v>
      </c>
      <c r="D5" s="9">
        <v>2</v>
      </c>
      <c r="E5" s="7">
        <v>108</v>
      </c>
      <c r="F5" s="10">
        <f t="shared" ref="F5:F22" si="0">LOG(E5*10^D5*(10+50)/10)</f>
        <v>4.8115750058705933</v>
      </c>
      <c r="G5" s="10"/>
      <c r="H5" s="11"/>
      <c r="I5" s="12"/>
      <c r="L5" s="28" t="s">
        <v>0</v>
      </c>
      <c r="M5" s="13">
        <f>H10</f>
        <v>4.5964564138996629</v>
      </c>
      <c r="N5" s="13">
        <f>H16</f>
        <v>4.5362605800728897</v>
      </c>
      <c r="O5" s="13">
        <f>H22</f>
        <v>3.6081815303857656</v>
      </c>
      <c r="P5" s="13">
        <f>H28</f>
        <v>4.012245111348741</v>
      </c>
      <c r="Q5" s="13">
        <f>H34</f>
        <v>5.4643293613608703</v>
      </c>
      <c r="R5" s="13">
        <f>H40</f>
        <v>7.1885355909800071</v>
      </c>
      <c r="S5" s="13">
        <f>H46</f>
        <v>7.2131900036740939</v>
      </c>
    </row>
    <row r="6" spans="2:19" x14ac:dyDescent="0.45">
      <c r="B6" s="6" t="s">
        <v>12</v>
      </c>
      <c r="C6" s="7">
        <v>1</v>
      </c>
      <c r="D6" s="9">
        <v>2</v>
      </c>
      <c r="E6" s="7">
        <v>90</v>
      </c>
      <c r="F6" s="10">
        <f t="shared" si="0"/>
        <v>4.7323937598229682</v>
      </c>
      <c r="G6" s="10">
        <f>AVERAGE(F5,F6)</f>
        <v>4.7719843828467807</v>
      </c>
      <c r="H6" s="11"/>
      <c r="I6" s="12"/>
      <c r="L6" s="28" t="s">
        <v>1</v>
      </c>
      <c r="M6" s="13">
        <f>I10</f>
        <v>0.17524700285529174</v>
      </c>
      <c r="N6" s="13">
        <f>I16</f>
        <v>6.5698500176796709E-2</v>
      </c>
      <c r="O6" s="13">
        <f>I22</f>
        <v>0.25698567980100118</v>
      </c>
      <c r="P6" s="13">
        <f>I28</f>
        <v>0.30508933340330063</v>
      </c>
      <c r="Q6" s="13">
        <f>I34</f>
        <v>0.74915600251262238</v>
      </c>
      <c r="R6" s="13">
        <f>I40</f>
        <v>0.13382714028569759</v>
      </c>
      <c r="S6" s="13">
        <f>I46</f>
        <v>0.18150046040068898</v>
      </c>
    </row>
    <row r="7" spans="2:19" x14ac:dyDescent="0.45">
      <c r="B7" s="6" t="s">
        <v>12</v>
      </c>
      <c r="C7" s="7">
        <v>2</v>
      </c>
      <c r="D7" s="9">
        <v>2</v>
      </c>
      <c r="E7" s="7">
        <v>45</v>
      </c>
      <c r="F7" s="10">
        <f t="shared" si="0"/>
        <v>4.4313637641589869</v>
      </c>
      <c r="G7" s="10"/>
      <c r="H7" s="11"/>
      <c r="I7" s="12"/>
    </row>
    <row r="8" spans="2:19" x14ac:dyDescent="0.45">
      <c r="B8" s="6" t="s">
        <v>12</v>
      </c>
      <c r="C8" s="7">
        <v>2</v>
      </c>
      <c r="D8" s="9">
        <v>2</v>
      </c>
      <c r="E8" s="7">
        <v>43</v>
      </c>
      <c r="F8" s="10">
        <f t="shared" si="0"/>
        <v>4.4116197059632301</v>
      </c>
      <c r="G8" s="10">
        <f t="shared" ref="G8:G22" si="1">AVERAGE(F7,F8)</f>
        <v>4.4214917350611085</v>
      </c>
      <c r="H8" s="11"/>
      <c r="I8" s="12"/>
    </row>
    <row r="9" spans="2:19" x14ac:dyDescent="0.45">
      <c r="B9" s="6" t="s">
        <v>12</v>
      </c>
      <c r="C9" s="7">
        <v>3</v>
      </c>
      <c r="D9" s="9">
        <v>2</v>
      </c>
      <c r="E9" s="7">
        <v>60</v>
      </c>
      <c r="F9" s="10">
        <f t="shared" si="0"/>
        <v>4.5563025007672868</v>
      </c>
      <c r="G9" s="10"/>
      <c r="H9" s="11"/>
      <c r="I9" s="12"/>
    </row>
    <row r="10" spans="2:19" x14ac:dyDescent="0.45">
      <c r="B10" s="6" t="s">
        <v>12</v>
      </c>
      <c r="C10" s="7">
        <v>3</v>
      </c>
      <c r="D10" s="9">
        <v>2</v>
      </c>
      <c r="E10" s="7">
        <v>72</v>
      </c>
      <c r="F10" s="10">
        <f t="shared" si="0"/>
        <v>4.6354837468149119</v>
      </c>
      <c r="G10" s="10">
        <f t="shared" si="1"/>
        <v>4.5958931237910994</v>
      </c>
      <c r="H10" s="11">
        <f>AVERAGE(G6,G8,G10)</f>
        <v>4.5964564138996629</v>
      </c>
      <c r="I10" s="12">
        <f>STDEV(G6,G8,G10)</f>
        <v>0.17524700285529174</v>
      </c>
      <c r="J10" s="24"/>
      <c r="K10" s="24"/>
    </row>
    <row r="11" spans="2:19" x14ac:dyDescent="0.45">
      <c r="B11" s="6">
        <v>0</v>
      </c>
      <c r="C11" s="7">
        <v>1</v>
      </c>
      <c r="D11" s="9">
        <v>2</v>
      </c>
      <c r="E11" s="7">
        <v>40</v>
      </c>
      <c r="F11" s="10">
        <f t="shared" si="0"/>
        <v>4.3802112417116064</v>
      </c>
      <c r="G11" s="10"/>
      <c r="H11" s="11"/>
      <c r="I11" s="12"/>
    </row>
    <row r="12" spans="2:19" x14ac:dyDescent="0.45">
      <c r="B12" s="6">
        <v>0</v>
      </c>
      <c r="C12" s="7">
        <v>1</v>
      </c>
      <c r="D12" s="9">
        <v>2</v>
      </c>
      <c r="E12" s="7">
        <v>58</v>
      </c>
      <c r="F12" s="10">
        <f t="shared" si="0"/>
        <v>4.5415792439465807</v>
      </c>
      <c r="G12" s="10">
        <f t="shared" si="1"/>
        <v>4.4608952428290936</v>
      </c>
      <c r="H12" s="11"/>
      <c r="I12" s="12"/>
    </row>
    <row r="13" spans="2:19" x14ac:dyDescent="0.45">
      <c r="B13" s="6">
        <v>0</v>
      </c>
      <c r="C13" s="7">
        <v>2</v>
      </c>
      <c r="D13" s="9">
        <v>2</v>
      </c>
      <c r="E13" s="7">
        <v>46</v>
      </c>
      <c r="F13" s="10">
        <f t="shared" si="0"/>
        <v>4.4409090820652173</v>
      </c>
      <c r="G13" s="10"/>
      <c r="H13" s="11"/>
      <c r="I13" s="12"/>
    </row>
    <row r="14" spans="2:19" x14ac:dyDescent="0.45">
      <c r="B14" s="6">
        <v>0</v>
      </c>
      <c r="C14" s="7">
        <v>2</v>
      </c>
      <c r="D14" s="9">
        <v>2</v>
      </c>
      <c r="E14" s="7">
        <v>82</v>
      </c>
      <c r="F14" s="10">
        <f t="shared" si="0"/>
        <v>4.6919651027673606</v>
      </c>
      <c r="G14" s="10">
        <f t="shared" si="1"/>
        <v>4.5664370924162885</v>
      </c>
      <c r="H14" s="11"/>
      <c r="I14" s="12"/>
    </row>
    <row r="15" spans="2:19" x14ac:dyDescent="0.45">
      <c r="B15" s="6">
        <v>0</v>
      </c>
      <c r="C15" s="7">
        <v>3</v>
      </c>
      <c r="D15" s="9">
        <v>2</v>
      </c>
      <c r="E15" s="7">
        <v>43</v>
      </c>
      <c r="F15" s="10">
        <f t="shared" si="0"/>
        <v>4.4116197059632301</v>
      </c>
      <c r="G15" s="10"/>
      <c r="H15" s="11"/>
      <c r="I15" s="12"/>
    </row>
    <row r="16" spans="2:19" x14ac:dyDescent="0.45">
      <c r="B16" s="6">
        <v>0</v>
      </c>
      <c r="C16" s="7">
        <v>3</v>
      </c>
      <c r="D16" s="9">
        <v>2</v>
      </c>
      <c r="E16" s="7">
        <v>94</v>
      </c>
      <c r="F16" s="10">
        <f t="shared" si="0"/>
        <v>4.7512791039833422</v>
      </c>
      <c r="G16" s="10">
        <f t="shared" si="1"/>
        <v>4.5814494049732861</v>
      </c>
      <c r="H16" s="11">
        <f>AVERAGE(G12,G14,G16)</f>
        <v>4.5362605800728897</v>
      </c>
      <c r="I16" s="12">
        <f>STDEV(G12,G14,G16)</f>
        <v>6.5698500176796709E-2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7">
        <f>552*3</f>
        <v>1656</v>
      </c>
      <c r="F17" s="10">
        <f>LOG(E17*10^D17*(10+50)/10)</f>
        <v>3.997211582832505</v>
      </c>
      <c r="G17" s="10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7">
        <f>344*3</f>
        <v>1032</v>
      </c>
      <c r="F18" s="10">
        <f>LOG(E18*10^D18*(10+50)/10)</f>
        <v>3.791830947674836</v>
      </c>
      <c r="G18" s="10">
        <f t="shared" si="1"/>
        <v>3.8945212652536707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7">
        <f>256*3</f>
        <v>768</v>
      </c>
      <c r="F19" s="10">
        <f t="shared" si="0"/>
        <v>3.6635124704151556</v>
      </c>
      <c r="G19" s="10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7">
        <f>140*3</f>
        <v>420</v>
      </c>
      <c r="F20" s="10">
        <f t="shared" si="0"/>
        <v>3.4014005407815442</v>
      </c>
      <c r="G20" s="10">
        <f t="shared" si="1"/>
        <v>3.5324565055983497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7">
        <f>147*3</f>
        <v>441</v>
      </c>
      <c r="F21" s="10">
        <f t="shared" si="0"/>
        <v>3.422589839851482</v>
      </c>
      <c r="G21" s="10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131*3</f>
        <v>393</v>
      </c>
      <c r="F22" s="10">
        <f t="shared" si="0"/>
        <v>3.3725438007590705</v>
      </c>
      <c r="G22" s="10">
        <f t="shared" si="1"/>
        <v>3.3975668203052765</v>
      </c>
      <c r="H22" s="11">
        <f t="shared" ref="H22" si="2">AVERAGE(G18,G20,G22)</f>
        <v>3.6081815303857656</v>
      </c>
      <c r="I22" s="12">
        <f t="shared" ref="I22" si="3">STDEV(G18,G20,G22)</f>
        <v>0.25698567980100118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856*3</f>
        <v>2568</v>
      </c>
      <c r="F23" s="10">
        <f>LOG(E23*10^D23*(10+50)/10)</f>
        <v>4.1877462697804591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v>3000</v>
      </c>
      <c r="F24" s="10">
        <f>LOG(E24*10^D24*(10+50)/10)</f>
        <v>4.2552725051033065</v>
      </c>
      <c r="G24" s="10">
        <f t="shared" ref="G24" si="4">AVERAGE(F23,F24)</f>
        <v>4.2215093874418823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236*3</f>
        <v>708</v>
      </c>
      <c r="F25" s="10">
        <f t="shared" ref="F25:F28" si="5">LOG(E25*10^D25*(10+50)/10)</f>
        <v>3.6281845080734128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276*3</f>
        <v>828</v>
      </c>
      <c r="F26" s="10">
        <f t="shared" si="5"/>
        <v>3.6961815871685237</v>
      </c>
      <c r="G26" s="10">
        <f t="shared" ref="G26" si="6">AVERAGE(F25,F26)</f>
        <v>3.6621830476209682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952*3</f>
        <v>2856</v>
      </c>
      <c r="F27" s="10">
        <f t="shared" si="5"/>
        <v>4.2339094534877804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7">
        <v>0</v>
      </c>
      <c r="E28" s="7">
        <f>656*3</f>
        <v>1968</v>
      </c>
      <c r="F28" s="10">
        <f t="shared" si="5"/>
        <v>4.072176344478966</v>
      </c>
      <c r="G28" s="10">
        <f t="shared" ref="G28" si="7">AVERAGE(F27,F28)</f>
        <v>4.1530428989833732</v>
      </c>
      <c r="H28" s="11">
        <f t="shared" ref="H28" si="8">AVERAGE(G24,G26,G28)</f>
        <v>4.012245111348741</v>
      </c>
      <c r="I28" s="12">
        <f t="shared" ref="I28" si="9">STDEV(G24,G26,G28)</f>
        <v>0.30508933340330063</v>
      </c>
      <c r="J28" s="24"/>
      <c r="K28" s="24"/>
    </row>
    <row r="29" spans="2:11" x14ac:dyDescent="0.45">
      <c r="B29" s="6">
        <v>3</v>
      </c>
      <c r="C29" s="7">
        <v>1</v>
      </c>
      <c r="D29" s="7">
        <v>2</v>
      </c>
      <c r="E29" s="7">
        <v>150</v>
      </c>
      <c r="F29" s="10">
        <f>LOG(E29*10^D29*(10+50)/10)</f>
        <v>4.9542425094393252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7">
        <v>2</v>
      </c>
      <c r="E30" s="7">
        <v>170</v>
      </c>
      <c r="F30" s="10">
        <f>LOG(E30*10^D30*(10+50)/10)</f>
        <v>5.008600171761918</v>
      </c>
      <c r="G30" s="10">
        <f t="shared" ref="G30" si="10">AVERAGE(F29,F30)</f>
        <v>4.9814213406006216</v>
      </c>
      <c r="H30" s="11"/>
      <c r="I30" s="12"/>
    </row>
    <row r="31" spans="2:11" x14ac:dyDescent="0.45">
      <c r="B31" s="6">
        <v>3</v>
      </c>
      <c r="C31" s="7">
        <v>2</v>
      </c>
      <c r="D31" s="7">
        <v>2</v>
      </c>
      <c r="E31" s="7">
        <f>52*60</f>
        <v>3120</v>
      </c>
      <c r="F31" s="10">
        <f t="shared" ref="F31:F34" si="11">LOG(E31*10^D31*(10+50)/10)</f>
        <v>6.2723058444020863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7">
        <v>2</v>
      </c>
      <c r="E32" s="7">
        <f>67*60</f>
        <v>4020</v>
      </c>
      <c r="F32" s="10">
        <f t="shared" si="11"/>
        <v>6.3823773034681137</v>
      </c>
      <c r="G32" s="10">
        <f t="shared" ref="G32" si="12">AVERAGE(F31,F32)</f>
        <v>6.3273415739351</v>
      </c>
      <c r="H32" s="11"/>
      <c r="I32" s="12"/>
    </row>
    <row r="33" spans="2:11" x14ac:dyDescent="0.45">
      <c r="B33" s="6">
        <v>3</v>
      </c>
      <c r="C33" s="7">
        <v>3</v>
      </c>
      <c r="D33" s="7">
        <v>2</v>
      </c>
      <c r="E33" s="7">
        <v>178</v>
      </c>
      <c r="F33" s="10">
        <f t="shared" si="11"/>
        <v>5.0285712526925375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2</v>
      </c>
      <c r="E34" s="7">
        <v>230</v>
      </c>
      <c r="F34" s="10">
        <f t="shared" si="11"/>
        <v>5.1398790864012369</v>
      </c>
      <c r="G34" s="10">
        <f t="shared" ref="G34" si="13">AVERAGE(F33,F34)</f>
        <v>5.0842251695468867</v>
      </c>
      <c r="H34" s="11">
        <f t="shared" ref="H34" si="14">AVERAGE(G30,G32,G34)</f>
        <v>5.4643293613608703</v>
      </c>
      <c r="I34" s="12">
        <f t="shared" ref="I34" si="15">STDEV(G30,G32,G34)</f>
        <v>0.74915600251262238</v>
      </c>
      <c r="J34" s="24"/>
      <c r="K34" s="24"/>
    </row>
    <row r="35" spans="2:11" x14ac:dyDescent="0.45">
      <c r="B35" s="6">
        <v>4</v>
      </c>
      <c r="C35" s="7">
        <v>1</v>
      </c>
      <c r="D35" s="7">
        <v>4</v>
      </c>
      <c r="E35" s="7">
        <f>42*8</f>
        <v>336</v>
      </c>
      <c r="F35" s="10">
        <f>LOG(E35*10^D35*(10+50)/10)</f>
        <v>7.3044905277734875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7">
        <v>4</v>
      </c>
      <c r="E36" s="7">
        <f>50*8</f>
        <v>400</v>
      </c>
      <c r="F36" s="10">
        <f>LOG(E36*10^D36*(10+50)/10)</f>
        <v>7.3802112417116064</v>
      </c>
      <c r="G36" s="10">
        <f t="shared" ref="G36" si="16">AVERAGE(F35,F36)</f>
        <v>7.3423508847425474</v>
      </c>
      <c r="H36" s="11"/>
      <c r="I36" s="12"/>
    </row>
    <row r="37" spans="2:11" x14ac:dyDescent="0.45">
      <c r="B37" s="6">
        <v>4</v>
      </c>
      <c r="C37" s="7">
        <v>2</v>
      </c>
      <c r="D37" s="7">
        <v>4</v>
      </c>
      <c r="E37" s="7">
        <f>57*4</f>
        <v>228</v>
      </c>
      <c r="F37" s="10">
        <f t="shared" ref="F37:F40" si="17">LOG(E37*10^D37*(10+50)/10)</f>
        <v>7.1360860973840978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7">
        <v>4</v>
      </c>
      <c r="E38" s="7">
        <f>48*4</f>
        <v>192</v>
      </c>
      <c r="F38" s="10">
        <f t="shared" si="17"/>
        <v>7.0614524790871931</v>
      </c>
      <c r="G38" s="10">
        <f t="shared" ref="G38" si="18">AVERAGE(F37,F38)</f>
        <v>7.0987692882356459</v>
      </c>
      <c r="H38" s="11"/>
      <c r="I38" s="12"/>
    </row>
    <row r="39" spans="2:11" x14ac:dyDescent="0.45">
      <c r="B39" s="6">
        <v>4</v>
      </c>
      <c r="C39" s="7">
        <v>3</v>
      </c>
      <c r="D39" s="7">
        <v>4</v>
      </c>
      <c r="E39" s="7">
        <f>44*4</f>
        <v>176</v>
      </c>
      <c r="F39" s="10">
        <f t="shared" si="17"/>
        <v>7.0236639181977933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7">
        <v>4</v>
      </c>
      <c r="E40" s="7">
        <f>70*4</f>
        <v>280</v>
      </c>
      <c r="F40" s="10">
        <f t="shared" si="17"/>
        <v>7.2253092817258633</v>
      </c>
      <c r="G40" s="10">
        <f t="shared" ref="G40" si="19">AVERAGE(F39,F40)</f>
        <v>7.1244865999618288</v>
      </c>
      <c r="H40" s="11">
        <f t="shared" ref="H40" si="20">AVERAGE(G36,G38,G40)</f>
        <v>7.1885355909800071</v>
      </c>
      <c r="I40" s="12">
        <f t="shared" ref="I40" si="21">STDEV(G36,G38,G40)</f>
        <v>0.13382714028569759</v>
      </c>
      <c r="J40" s="24"/>
      <c r="K40" s="24"/>
    </row>
    <row r="41" spans="2:11" x14ac:dyDescent="0.45">
      <c r="B41" s="6">
        <v>5</v>
      </c>
      <c r="C41" s="7">
        <v>1</v>
      </c>
      <c r="D41" s="7">
        <v>4</v>
      </c>
      <c r="E41" s="7">
        <v>276</v>
      </c>
      <c r="F41" s="10">
        <f>LOG(E41*10^D41*(10+50)/10)</f>
        <v>7.2190603324488611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7">
        <v>4</v>
      </c>
      <c r="E42" s="7">
        <v>211</v>
      </c>
      <c r="F42" s="10">
        <f>LOG(E42*10^D42*(10+50)/10)</f>
        <v>7.102433705681336</v>
      </c>
      <c r="G42" s="10">
        <f t="shared" ref="G42" si="22">AVERAGE(F41,F42)</f>
        <v>7.1607470190650986</v>
      </c>
      <c r="H42" s="11"/>
      <c r="I42" s="12"/>
    </row>
    <row r="43" spans="2:11" x14ac:dyDescent="0.45">
      <c r="B43" s="6">
        <v>5</v>
      </c>
      <c r="C43" s="7">
        <v>2</v>
      </c>
      <c r="D43" s="7">
        <v>4</v>
      </c>
      <c r="E43" s="7">
        <v>405</v>
      </c>
      <c r="F43" s="10">
        <f t="shared" ref="F43:F46" si="23">LOG(E43*10^D43*(10+50)/10)</f>
        <v>7.3856062735983121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7">
        <v>4</v>
      </c>
      <c r="E44" s="7">
        <v>464</v>
      </c>
      <c r="F44" s="10">
        <f t="shared" si="23"/>
        <v>7.4446692309385245</v>
      </c>
      <c r="G44" s="10">
        <f t="shared" ref="G44" si="24">AVERAGE(F43,F44)</f>
        <v>7.4151377522684179</v>
      </c>
      <c r="H44" s="11"/>
      <c r="I44" s="12"/>
    </row>
    <row r="45" spans="2:11" x14ac:dyDescent="0.45">
      <c r="B45" s="6">
        <v>5</v>
      </c>
      <c r="C45" s="7">
        <v>3</v>
      </c>
      <c r="D45" s="7">
        <v>4</v>
      </c>
      <c r="E45" s="7">
        <v>195</v>
      </c>
      <c r="F45" s="10">
        <f t="shared" si="23"/>
        <v>7.0681858617461613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7">
        <v>4</v>
      </c>
      <c r="E46" s="7">
        <v>191</v>
      </c>
      <c r="F46" s="10">
        <f t="shared" si="23"/>
        <v>7.0591846176313711</v>
      </c>
      <c r="G46" s="10">
        <f t="shared" ref="G46" si="25">AVERAGE(F45,F46)</f>
        <v>7.0636852396887662</v>
      </c>
      <c r="H46" s="11">
        <f t="shared" ref="H46" si="26">AVERAGE(G42,G44,G46)</f>
        <v>7.2131900036740939</v>
      </c>
      <c r="I46" s="12">
        <f t="shared" ref="I46" si="27">STDEV(G42,G44,G46)</f>
        <v>0.18150046040068898</v>
      </c>
      <c r="J46" s="24"/>
      <c r="K46" s="2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2:S46"/>
  <sheetViews>
    <sheetView topLeftCell="A12" zoomScale="70" zoomScaleNormal="70" workbookViewId="0">
      <selection activeCell="H40" sqref="H40:I40"/>
    </sheetView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4" width="13.33203125" style="1" bestFit="1" customWidth="1"/>
    <col min="15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13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B16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0</v>
      </c>
      <c r="E5" s="9">
        <v>150</v>
      </c>
      <c r="F5" s="17">
        <f t="shared" ref="F5:F22" si="0">LOG(E5*10^D5*(10+50)/10)</f>
        <v>2.9542425094393248</v>
      </c>
      <c r="G5" s="10"/>
      <c r="H5" s="11"/>
      <c r="I5" s="12"/>
      <c r="L5" s="28" t="s">
        <v>0</v>
      </c>
      <c r="M5" s="13">
        <f>H10</f>
        <v>2.8743838399009669</v>
      </c>
      <c r="N5" s="13">
        <f>H16</f>
        <v>2.673001332629434</v>
      </c>
      <c r="O5" s="13">
        <f>H22</f>
        <v>2.6869630015969648</v>
      </c>
      <c r="P5" s="13">
        <f>H28</f>
        <v>2.6500506519565699</v>
      </c>
      <c r="Q5" s="13">
        <f>H34</f>
        <v>2.6203285353011339</v>
      </c>
      <c r="R5" s="13">
        <f>H40</f>
        <v>2.3518713445506405</v>
      </c>
      <c r="S5" s="13">
        <f>H46</f>
        <v>2.7829728355572296</v>
      </c>
    </row>
    <row r="6" spans="1:19" x14ac:dyDescent="0.45">
      <c r="B6" s="6" t="s">
        <v>12</v>
      </c>
      <c r="C6" s="7">
        <v>1</v>
      </c>
      <c r="D6" s="9">
        <v>0</v>
      </c>
      <c r="E6" s="9">
        <f>39*3</f>
        <v>117</v>
      </c>
      <c r="F6" s="17">
        <f t="shared" si="0"/>
        <v>2.8463371121298051</v>
      </c>
      <c r="G6" s="10">
        <f>AVERAGE(F5,F6)</f>
        <v>2.9002898107845647</v>
      </c>
      <c r="H6" s="11"/>
      <c r="I6" s="12"/>
      <c r="L6" s="28" t="s">
        <v>1</v>
      </c>
      <c r="M6" s="13">
        <f>I10</f>
        <v>6.126525796676735E-2</v>
      </c>
      <c r="N6" s="13">
        <f>I16</f>
        <v>0.18513733415064954</v>
      </c>
      <c r="O6" s="13">
        <f>I22</f>
        <v>9.7278044885277887E-2</v>
      </c>
      <c r="P6" s="13">
        <f>I28</f>
        <v>7.3141605274441468E-2</v>
      </c>
      <c r="Q6" s="13">
        <f>I34</f>
        <v>8.5876880849244552E-2</v>
      </c>
      <c r="R6" s="13">
        <f>I40</f>
        <v>0.24922050245740407</v>
      </c>
      <c r="S6" s="13">
        <f>I46</f>
        <v>0.37508840177439901</v>
      </c>
    </row>
    <row r="7" spans="1:19" x14ac:dyDescent="0.45">
      <c r="B7" s="6" t="s">
        <v>12</v>
      </c>
      <c r="C7" s="7">
        <v>2</v>
      </c>
      <c r="D7" s="9">
        <v>0</v>
      </c>
      <c r="E7" s="9">
        <f>53*3</f>
        <v>159</v>
      </c>
      <c r="F7" s="17">
        <f t="shared" si="0"/>
        <v>2.9795483747040952</v>
      </c>
      <c r="G7" s="10"/>
      <c r="H7" s="11"/>
      <c r="I7" s="12"/>
    </row>
    <row r="8" spans="1:19" x14ac:dyDescent="0.45">
      <c r="B8" s="6" t="s">
        <v>12</v>
      </c>
      <c r="C8" s="7">
        <v>2</v>
      </c>
      <c r="D8" s="9">
        <v>0</v>
      </c>
      <c r="E8" s="9">
        <v>120</v>
      </c>
      <c r="F8" s="17">
        <f t="shared" si="0"/>
        <v>2.8573324964312685</v>
      </c>
      <c r="G8" s="10">
        <f>AVERAGE(F7,F8)</f>
        <v>2.9184404355676818</v>
      </c>
      <c r="H8" s="11"/>
      <c r="I8" s="12"/>
    </row>
    <row r="9" spans="1:19" x14ac:dyDescent="0.45">
      <c r="B9" s="6" t="s">
        <v>12</v>
      </c>
      <c r="C9" s="7">
        <v>3</v>
      </c>
      <c r="D9" s="9">
        <v>0</v>
      </c>
      <c r="E9" s="9">
        <f>38*3</f>
        <v>114</v>
      </c>
      <c r="F9" s="17">
        <f t="shared" si="0"/>
        <v>2.8350561017201161</v>
      </c>
      <c r="G9" s="10"/>
      <c r="H9" s="11"/>
      <c r="I9" s="12"/>
    </row>
    <row r="10" spans="1:19" x14ac:dyDescent="0.45">
      <c r="B10" s="6" t="s">
        <v>12</v>
      </c>
      <c r="C10" s="7">
        <v>3</v>
      </c>
      <c r="D10" s="9">
        <v>0</v>
      </c>
      <c r="E10" s="9">
        <f>33*3</f>
        <v>99</v>
      </c>
      <c r="F10" s="17">
        <f t="shared" si="0"/>
        <v>2.7737864449811935</v>
      </c>
      <c r="G10" s="10">
        <f>AVERAGE(F9,F10)</f>
        <v>2.8044212733506546</v>
      </c>
      <c r="H10" s="11">
        <f>AVERAGE(G6,G8,G10)</f>
        <v>2.8743838399009669</v>
      </c>
      <c r="I10" s="12">
        <f>STDEV(G6,G8,G10)</f>
        <v>6.126525796676735E-2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9">
        <v>210</v>
      </c>
      <c r="F11" s="17">
        <f t="shared" si="0"/>
        <v>3.1003705451175629</v>
      </c>
      <c r="G11" s="10"/>
      <c r="H11" s="11"/>
      <c r="I11" s="12"/>
    </row>
    <row r="12" spans="1:19" x14ac:dyDescent="0.45">
      <c r="B12" s="6">
        <v>0</v>
      </c>
      <c r="C12" s="7">
        <v>1</v>
      </c>
      <c r="D12" s="9">
        <v>0</v>
      </c>
      <c r="E12" s="9">
        <f>26*3</f>
        <v>78</v>
      </c>
      <c r="F12" s="19">
        <f t="shared" si="0"/>
        <v>2.6702458530741242</v>
      </c>
      <c r="G12" s="10">
        <f>AVERAGE(F11,F12)</f>
        <v>2.8853081990958436</v>
      </c>
      <c r="H12" s="11"/>
      <c r="I12" s="12"/>
    </row>
    <row r="13" spans="1:19" x14ac:dyDescent="0.45">
      <c r="B13" s="6">
        <v>0</v>
      </c>
      <c r="C13" s="7">
        <v>2</v>
      </c>
      <c r="D13" s="9">
        <v>0</v>
      </c>
      <c r="E13" s="9">
        <f>19*3</f>
        <v>57</v>
      </c>
      <c r="F13" s="17">
        <f t="shared" si="0"/>
        <v>2.5340261060561349</v>
      </c>
      <c r="G13" s="10"/>
      <c r="H13" s="11"/>
      <c r="I13" s="12"/>
    </row>
    <row r="14" spans="1:19" x14ac:dyDescent="0.45">
      <c r="B14" s="6">
        <v>0</v>
      </c>
      <c r="C14" s="7">
        <v>2</v>
      </c>
      <c r="D14" s="9">
        <v>0</v>
      </c>
      <c r="E14" s="9">
        <v>60</v>
      </c>
      <c r="F14" s="19">
        <f t="shared" si="0"/>
        <v>2.5563025007672873</v>
      </c>
      <c r="G14" s="10">
        <f t="shared" ref="G14:G22" si="1">AVERAGE(F13,F14)</f>
        <v>2.5451643034117111</v>
      </c>
      <c r="H14" s="11"/>
      <c r="I14" s="12"/>
    </row>
    <row r="15" spans="1:19" x14ac:dyDescent="0.45">
      <c r="B15" s="6">
        <v>0</v>
      </c>
      <c r="C15" s="7">
        <v>3</v>
      </c>
      <c r="D15" s="9">
        <v>0</v>
      </c>
      <c r="E15" s="9">
        <f>16*3</f>
        <v>48</v>
      </c>
      <c r="F15" s="17">
        <f t="shared" si="0"/>
        <v>2.459392487759231</v>
      </c>
      <c r="G15" s="10"/>
      <c r="H15" s="11"/>
      <c r="I15" s="12"/>
    </row>
    <row r="16" spans="1:19" x14ac:dyDescent="0.45">
      <c r="B16" s="6">
        <v>0</v>
      </c>
      <c r="C16" s="7">
        <v>3</v>
      </c>
      <c r="D16" s="9">
        <v>0</v>
      </c>
      <c r="E16" s="9">
        <f>29*3</f>
        <v>87</v>
      </c>
      <c r="F16" s="19">
        <f t="shared" si="0"/>
        <v>2.7176705030022621</v>
      </c>
      <c r="G16" s="10">
        <f t="shared" si="1"/>
        <v>2.5885314953807468</v>
      </c>
      <c r="H16" s="11">
        <f>AVERAGE(G12,G14,G16)</f>
        <v>2.673001332629434</v>
      </c>
      <c r="I16" s="12">
        <f>STDEV(G12,G14,G16)</f>
        <v>0.18513733415064954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9">
        <f>36*3</f>
        <v>108</v>
      </c>
      <c r="F17" s="17">
        <f t="shared" si="0"/>
        <v>2.8115750058705933</v>
      </c>
      <c r="G17" s="10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9">
        <f>34*3</f>
        <v>102</v>
      </c>
      <c r="F18" s="19">
        <f t="shared" si="0"/>
        <v>2.7867514221455614</v>
      </c>
      <c r="G18" s="10">
        <f t="shared" si="1"/>
        <v>2.7991632140080771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9">
        <f>23*3</f>
        <v>69</v>
      </c>
      <c r="F19" s="17">
        <f t="shared" si="0"/>
        <v>2.6170003411208991</v>
      </c>
      <c r="G19" s="10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9">
        <f>24*3</f>
        <v>72</v>
      </c>
      <c r="F20" s="19">
        <f t="shared" si="0"/>
        <v>2.6354837468149119</v>
      </c>
      <c r="G20" s="10">
        <f t="shared" si="1"/>
        <v>2.6262420439679053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7">
        <f>18*3</f>
        <v>54</v>
      </c>
      <c r="F21" s="17">
        <f t="shared" si="0"/>
        <v>2.510545010206612</v>
      </c>
      <c r="G21" s="10" t="s">
        <v>23</v>
      </c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32*3</f>
        <v>96</v>
      </c>
      <c r="F22" s="19">
        <f t="shared" si="0"/>
        <v>2.7604224834232118</v>
      </c>
      <c r="G22" s="10">
        <f t="shared" si="1"/>
        <v>2.6354837468149119</v>
      </c>
      <c r="H22" s="11">
        <f t="shared" ref="H22" si="2">AVERAGE(G18,G20,G22)</f>
        <v>2.6869630015969648</v>
      </c>
      <c r="I22" s="12">
        <f t="shared" ref="I22" si="3">STDEV(G18,G20,G22)</f>
        <v>9.7278044885277887E-2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26*3</f>
        <v>78</v>
      </c>
      <c r="F23" s="10">
        <f>LOG(E23*10^D23*(10+50)/10)</f>
        <v>2.6702458530741242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28*3</f>
        <v>84</v>
      </c>
      <c r="F24" s="10">
        <f>LOG(E24*10^D24*(10+50)/10)</f>
        <v>2.7024305364455254</v>
      </c>
      <c r="G24" s="10">
        <f t="shared" ref="G24" si="4">AVERAGE(F23,F24)</f>
        <v>2.6863381947598248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32*3</f>
        <v>96</v>
      </c>
      <c r="F25" s="10">
        <f t="shared" ref="F25:F28" si="5">LOG(E25*10^D25*(10+50)/10)</f>
        <v>2.7604224834232118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24*3</f>
        <v>72</v>
      </c>
      <c r="F26" s="10">
        <f t="shared" si="5"/>
        <v>2.6354837468149119</v>
      </c>
      <c r="G26" s="10">
        <f t="shared" ref="G26" si="6">AVERAGE(F25,F26)</f>
        <v>2.6979531151190619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19*3</f>
        <v>57</v>
      </c>
      <c r="F27" s="10">
        <f t="shared" si="5"/>
        <v>2.5340261060561349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22*3</f>
        <v>66</v>
      </c>
      <c r="F28" s="10">
        <f t="shared" si="5"/>
        <v>2.5976951859255122</v>
      </c>
      <c r="G28" s="10">
        <f t="shared" ref="G28" si="7">AVERAGE(F27,F28)</f>
        <v>2.5658606459908233</v>
      </c>
      <c r="H28" s="11">
        <f t="shared" ref="H28" si="8">AVERAGE(G24,G26,G28)</f>
        <v>2.6500506519565699</v>
      </c>
      <c r="I28" s="12">
        <f t="shared" ref="I28" si="9">STDEV(G24,G26,G28)</f>
        <v>7.3141605274441468E-2</v>
      </c>
      <c r="J28" s="24"/>
      <c r="K28" s="24"/>
    </row>
    <row r="29" spans="2:11" x14ac:dyDescent="0.45">
      <c r="B29" s="6">
        <v>3</v>
      </c>
      <c r="C29" s="7">
        <v>1</v>
      </c>
      <c r="D29" s="9">
        <v>0</v>
      </c>
      <c r="E29" s="7">
        <f>23*3</f>
        <v>69</v>
      </c>
      <c r="F29" s="10">
        <f>LOG(E29*10^D29*(10+50)/10)</f>
        <v>2.6170003411208991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0</v>
      </c>
      <c r="E30" s="7">
        <f>16*3</f>
        <v>48</v>
      </c>
      <c r="F30" s="10">
        <f>LOG(E30*10^D30*(10+50)/10)</f>
        <v>2.459392487759231</v>
      </c>
      <c r="G30" s="10">
        <f t="shared" ref="G30" si="10">AVERAGE(F29,F30)</f>
        <v>2.5381964144400651</v>
      </c>
      <c r="H30" s="11"/>
      <c r="I30" s="12"/>
    </row>
    <row r="31" spans="2:11" x14ac:dyDescent="0.45">
      <c r="B31" s="6">
        <v>3</v>
      </c>
      <c r="C31" s="7">
        <v>2</v>
      </c>
      <c r="D31" s="9">
        <v>0</v>
      </c>
      <c r="E31" s="7">
        <f>27*3</f>
        <v>81</v>
      </c>
      <c r="F31" s="10">
        <f t="shared" ref="F31:F34" si="11">LOG(E31*10^D31*(10+50)/10)</f>
        <v>2.6866362692622934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0</v>
      </c>
      <c r="E32" s="7">
        <f>30*3</f>
        <v>90</v>
      </c>
      <c r="F32" s="10">
        <f t="shared" si="11"/>
        <v>2.7323937598229686</v>
      </c>
      <c r="G32" s="10">
        <f t="shared" ref="G32" si="12">AVERAGE(F31,F32)</f>
        <v>2.7095150145426308</v>
      </c>
      <c r="H32" s="11"/>
      <c r="I32" s="12"/>
    </row>
    <row r="33" spans="2:11" x14ac:dyDescent="0.45">
      <c r="B33" s="6">
        <v>3</v>
      </c>
      <c r="C33" s="7">
        <v>3</v>
      </c>
      <c r="D33" s="9">
        <v>0</v>
      </c>
      <c r="E33" s="7">
        <f>26*3</f>
        <v>78</v>
      </c>
      <c r="F33" s="10">
        <f t="shared" si="11"/>
        <v>2.6702458530741242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0</v>
      </c>
      <c r="E34" s="7">
        <f>20*3</f>
        <v>60</v>
      </c>
      <c r="F34" s="10">
        <f t="shared" si="11"/>
        <v>2.5563025007672873</v>
      </c>
      <c r="G34" s="10">
        <f t="shared" ref="G34" si="13">AVERAGE(F33,F34)</f>
        <v>2.6132741769207057</v>
      </c>
      <c r="H34" s="11">
        <f t="shared" ref="H34" si="14">AVERAGE(G30,G32,G34)</f>
        <v>2.6203285353011339</v>
      </c>
      <c r="I34" s="12">
        <f t="shared" ref="I34" si="15">STDEV(G30,G32,G34)</f>
        <v>8.5876880849244552E-2</v>
      </c>
      <c r="J34" s="24"/>
      <c r="K34" s="24"/>
    </row>
    <row r="35" spans="2:11" x14ac:dyDescent="0.45">
      <c r="B35" s="6">
        <v>4</v>
      </c>
      <c r="C35" s="7">
        <v>1</v>
      </c>
      <c r="D35" s="7">
        <v>0</v>
      </c>
      <c r="E35" s="7">
        <f>27*3</f>
        <v>81</v>
      </c>
      <c r="F35" s="10">
        <f>LOG(E35*10^D35*(10+50)/10)</f>
        <v>2.6866362692622934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7">
        <v>0</v>
      </c>
      <c r="E36" s="7">
        <f>21*3</f>
        <v>63</v>
      </c>
      <c r="F36" s="10">
        <f>LOG(E36*10^D36*(10+50)/10)</f>
        <v>2.5774917998372255</v>
      </c>
      <c r="G36" s="10">
        <f t="shared" ref="G36" si="16">AVERAGE(F35,F36)</f>
        <v>2.6320640345497592</v>
      </c>
      <c r="H36" s="11"/>
      <c r="I36" s="12"/>
    </row>
    <row r="37" spans="2:11" x14ac:dyDescent="0.45">
      <c r="B37" s="6">
        <v>4</v>
      </c>
      <c r="C37" s="7">
        <v>2</v>
      </c>
      <c r="D37" s="23">
        <v>0</v>
      </c>
      <c r="E37" s="23">
        <v>33</v>
      </c>
      <c r="F37" s="10">
        <f t="shared" ref="F37:F40" si="17">LOG(E37*10^D37*(10+50)/10)</f>
        <v>2.2966651902615309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23">
        <v>0</v>
      </c>
      <c r="E38" s="23">
        <v>29</v>
      </c>
      <c r="F38" s="10">
        <f t="shared" si="17"/>
        <v>2.2405492482825999</v>
      </c>
      <c r="G38" s="10">
        <f t="shared" ref="G38" si="18">AVERAGE(F37,F38)</f>
        <v>2.2686072192720657</v>
      </c>
      <c r="H38" s="11"/>
      <c r="I38" s="12"/>
    </row>
    <row r="39" spans="2:11" x14ac:dyDescent="0.45">
      <c r="B39" s="6">
        <v>4</v>
      </c>
      <c r="C39" s="7">
        <v>3</v>
      </c>
      <c r="D39" s="7">
        <v>0</v>
      </c>
      <c r="E39" s="7">
        <f>9*3</f>
        <v>27</v>
      </c>
      <c r="F39" s="10">
        <f t="shared" si="17"/>
        <v>2.2095150145426308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9">
        <v>0</v>
      </c>
      <c r="E40" s="7">
        <f>7*3</f>
        <v>21</v>
      </c>
      <c r="F40" s="10">
        <f t="shared" si="17"/>
        <v>2.1003705451175629</v>
      </c>
      <c r="G40" s="10">
        <f t="shared" ref="G40" si="19">AVERAGE(F39,F40)</f>
        <v>2.1549427798300966</v>
      </c>
      <c r="H40" s="11">
        <f t="shared" ref="H40" si="20">AVERAGE(G36,G38,G40)</f>
        <v>2.3518713445506405</v>
      </c>
      <c r="I40" s="12">
        <f t="shared" ref="I40" si="21">STDEV(G36,G38,G40)</f>
        <v>0.24922050245740407</v>
      </c>
      <c r="J40" s="24"/>
      <c r="K40" s="24"/>
    </row>
    <row r="41" spans="2:11" x14ac:dyDescent="0.45">
      <c r="B41" s="6">
        <v>5</v>
      </c>
      <c r="C41" s="7">
        <v>1</v>
      </c>
      <c r="D41" s="9">
        <v>0</v>
      </c>
      <c r="E41" s="7">
        <f>24*3</f>
        <v>72</v>
      </c>
      <c r="F41" s="10">
        <f>LOG(E41*10^D41*(10+50)/10)</f>
        <v>2.6354837468149119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9">
        <v>0</v>
      </c>
      <c r="E42" s="7">
        <f>11*3</f>
        <v>33</v>
      </c>
      <c r="F42" s="10">
        <f>LOG(E42*10^D42*(10+50)/10)</f>
        <v>2.2966651902615309</v>
      </c>
      <c r="G42" s="10">
        <f t="shared" ref="G42" si="22">AVERAGE(F41,F42)</f>
        <v>2.4660744685382214</v>
      </c>
      <c r="H42" s="11"/>
      <c r="I42" s="12"/>
    </row>
    <row r="43" spans="2:11" x14ac:dyDescent="0.45">
      <c r="B43" s="6">
        <v>5</v>
      </c>
      <c r="C43" s="7">
        <v>2</v>
      </c>
      <c r="D43" s="9">
        <v>0</v>
      </c>
      <c r="E43" s="7">
        <f>33*3</f>
        <v>99</v>
      </c>
      <c r="F43" s="10">
        <f t="shared" ref="F43:F46" si="23">LOG(E43*10^D43*(10+50)/10)</f>
        <v>2.7737864449811935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9">
        <v>0</v>
      </c>
      <c r="E44" s="7">
        <f>22*3</f>
        <v>66</v>
      </c>
      <c r="F44" s="10">
        <f t="shared" si="23"/>
        <v>2.5976951859255122</v>
      </c>
      <c r="G44" s="10">
        <f t="shared" ref="G44" si="24">AVERAGE(F43,F44)</f>
        <v>2.6857408154533529</v>
      </c>
      <c r="H44" s="11"/>
      <c r="I44" s="12"/>
    </row>
    <row r="45" spans="2:11" x14ac:dyDescent="0.45">
      <c r="B45" s="6">
        <v>5</v>
      </c>
      <c r="C45" s="7">
        <v>3</v>
      </c>
      <c r="D45" s="9">
        <v>0</v>
      </c>
      <c r="E45" s="7">
        <f>90*3</f>
        <v>270</v>
      </c>
      <c r="F45" s="10">
        <f t="shared" si="23"/>
        <v>3.2095150145426308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9">
        <v>0</v>
      </c>
      <c r="E46" s="7">
        <f>85*3</f>
        <v>255</v>
      </c>
      <c r="F46" s="10">
        <f t="shared" si="23"/>
        <v>3.1846914308175989</v>
      </c>
      <c r="G46" s="10">
        <f t="shared" ref="G46" si="25">AVERAGE(F45,F46)</f>
        <v>3.1971032226801146</v>
      </c>
      <c r="H46" s="11">
        <f t="shared" ref="H46" si="26">AVERAGE(G42,G44,G46)</f>
        <v>2.7829728355572296</v>
      </c>
      <c r="I46" s="12">
        <f t="shared" ref="I46" si="27">STDEV(G42,G44,G46)</f>
        <v>0.37508840177439901</v>
      </c>
      <c r="J46" s="24"/>
      <c r="K46" s="2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2:S62"/>
  <sheetViews>
    <sheetView zoomScale="70" zoomScaleNormal="70" workbookViewId="0"/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3" width="13.33203125" style="1" bestFit="1" customWidth="1"/>
    <col min="14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19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B11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0</v>
      </c>
      <c r="E5" s="9">
        <v>150</v>
      </c>
      <c r="F5" s="17">
        <f t="shared" ref="F5:F10" si="0">LOG(E5*10^D5*(10+50)/10)</f>
        <v>2.9542425094393248</v>
      </c>
      <c r="G5" s="10"/>
      <c r="H5" s="11"/>
      <c r="I5" s="12"/>
      <c r="L5" s="28" t="s">
        <v>0</v>
      </c>
      <c r="M5" s="13">
        <f>H10</f>
        <v>2.8743838399009669</v>
      </c>
      <c r="N5" s="13">
        <f>H16</f>
        <v>2.334193812255962</v>
      </c>
      <c r="O5" s="13">
        <f>H22</f>
        <v>2.4670646674777887</v>
      </c>
      <c r="P5" s="13">
        <f>H28</f>
        <v>2.4563188287412827</v>
      </c>
      <c r="Q5" s="13">
        <f>H34</f>
        <v>3.6104221692133698</v>
      </c>
      <c r="R5" s="13">
        <f>H40</f>
        <v>4.3298688263609222</v>
      </c>
      <c r="S5" s="13">
        <f>H46</f>
        <v>2.5145164221905101</v>
      </c>
    </row>
    <row r="6" spans="1:19" x14ac:dyDescent="0.45">
      <c r="B6" s="6" t="s">
        <v>12</v>
      </c>
      <c r="C6" s="7">
        <v>1</v>
      </c>
      <c r="D6" s="9">
        <v>0</v>
      </c>
      <c r="E6" s="9">
        <f>39*3</f>
        <v>117</v>
      </c>
      <c r="F6" s="17">
        <f t="shared" si="0"/>
        <v>2.8463371121298051</v>
      </c>
      <c r="G6" s="10">
        <f>AVERAGE(F5,F6)</f>
        <v>2.9002898107845647</v>
      </c>
      <c r="H6" s="11"/>
      <c r="I6" s="12"/>
      <c r="L6" s="28" t="s">
        <v>1</v>
      </c>
      <c r="M6" s="13">
        <f>I10</f>
        <v>6.126525796676735E-2</v>
      </c>
      <c r="N6" s="13">
        <f>I16</f>
        <v>0.29148827127089572</v>
      </c>
      <c r="O6" s="13">
        <f>I22</f>
        <v>0.19723898788089808</v>
      </c>
      <c r="P6" s="13">
        <f>I28</f>
        <v>0.26173196332508109</v>
      </c>
      <c r="Q6" s="13">
        <f>I34</f>
        <v>0.86610534395531358</v>
      </c>
      <c r="R6" s="13">
        <f>I40</f>
        <v>2.439784744930436</v>
      </c>
      <c r="S6" s="13">
        <f>I46</f>
        <v>0.46825446352348254</v>
      </c>
    </row>
    <row r="7" spans="1:19" x14ac:dyDescent="0.45">
      <c r="B7" s="6" t="s">
        <v>12</v>
      </c>
      <c r="C7" s="7">
        <v>2</v>
      </c>
      <c r="D7" s="9">
        <v>0</v>
      </c>
      <c r="E7" s="9">
        <f>53*3</f>
        <v>159</v>
      </c>
      <c r="F7" s="17">
        <f t="shared" si="0"/>
        <v>2.9795483747040952</v>
      </c>
      <c r="G7" s="10"/>
      <c r="H7" s="11"/>
      <c r="I7" s="12"/>
    </row>
    <row r="8" spans="1:19" x14ac:dyDescent="0.45">
      <c r="B8" s="6" t="s">
        <v>12</v>
      </c>
      <c r="C8" s="7">
        <v>2</v>
      </c>
      <c r="D8" s="9">
        <v>0</v>
      </c>
      <c r="E8" s="9">
        <v>120</v>
      </c>
      <c r="F8" s="17">
        <f t="shared" si="0"/>
        <v>2.8573324964312685</v>
      </c>
      <c r="G8" s="10">
        <f>AVERAGE(F7,F8)</f>
        <v>2.9184404355676818</v>
      </c>
      <c r="H8" s="11"/>
      <c r="I8" s="12"/>
    </row>
    <row r="9" spans="1:19" x14ac:dyDescent="0.45">
      <c r="B9" s="6" t="s">
        <v>12</v>
      </c>
      <c r="C9" s="7">
        <v>3</v>
      </c>
      <c r="D9" s="9">
        <v>0</v>
      </c>
      <c r="E9" s="9">
        <f>38*3</f>
        <v>114</v>
      </c>
      <c r="F9" s="17">
        <f t="shared" si="0"/>
        <v>2.8350561017201161</v>
      </c>
      <c r="G9" s="10"/>
      <c r="H9" s="11"/>
      <c r="I9" s="12"/>
    </row>
    <row r="10" spans="1:19" x14ac:dyDescent="0.45">
      <c r="B10" s="6" t="s">
        <v>12</v>
      </c>
      <c r="C10" s="7">
        <v>3</v>
      </c>
      <c r="D10" s="9">
        <v>0</v>
      </c>
      <c r="E10" s="9">
        <f>33*3</f>
        <v>99</v>
      </c>
      <c r="F10" s="17">
        <f t="shared" si="0"/>
        <v>2.7737864449811935</v>
      </c>
      <c r="G10" s="10">
        <f>AVERAGE(F9,F10)</f>
        <v>2.8044212733506546</v>
      </c>
      <c r="H10" s="11">
        <f>AVERAGE(G6,G8,G10)</f>
        <v>2.8743838399009669</v>
      </c>
      <c r="I10" s="12">
        <f>STDEV(G6,G8,G10)</f>
        <v>6.126525796676735E-2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9">
        <v>21</v>
      </c>
      <c r="F11" s="19">
        <f t="shared" ref="F11:F22" si="1">LOG(E11*10^D11*(10+50)/10)</f>
        <v>2.1003705451175629</v>
      </c>
      <c r="G11" s="17"/>
      <c r="H11" s="18"/>
      <c r="I11" s="12"/>
    </row>
    <row r="12" spans="1:19" x14ac:dyDescent="0.45">
      <c r="B12" s="6">
        <v>0</v>
      </c>
      <c r="C12" s="7">
        <v>1</v>
      </c>
      <c r="D12" s="9">
        <v>0</v>
      </c>
      <c r="E12" s="9">
        <v>15</v>
      </c>
      <c r="F12" s="19">
        <f t="shared" si="1"/>
        <v>1.954242509439325</v>
      </c>
      <c r="G12" s="17">
        <f>AVERAGE(F11,F12)</f>
        <v>2.0273065272784438</v>
      </c>
      <c r="H12" s="18"/>
      <c r="I12" s="12"/>
    </row>
    <row r="13" spans="1:19" x14ac:dyDescent="0.45">
      <c r="B13" s="6">
        <v>0</v>
      </c>
      <c r="C13" s="7">
        <v>2</v>
      </c>
      <c r="D13" s="9">
        <v>0</v>
      </c>
      <c r="E13" s="9">
        <f>22*3</f>
        <v>66</v>
      </c>
      <c r="F13" s="19">
        <f t="shared" si="1"/>
        <v>2.5976951859255122</v>
      </c>
      <c r="G13" s="17"/>
      <c r="H13" s="18"/>
      <c r="I13" s="12"/>
    </row>
    <row r="14" spans="1:19" x14ac:dyDescent="0.45">
      <c r="B14" s="6">
        <v>0</v>
      </c>
      <c r="C14" s="7">
        <v>2</v>
      </c>
      <c r="D14" s="9">
        <v>0</v>
      </c>
      <c r="E14" s="9">
        <f>23*3</f>
        <v>69</v>
      </c>
      <c r="F14" s="19">
        <f t="shared" si="1"/>
        <v>2.6170003411208991</v>
      </c>
      <c r="G14" s="17">
        <f>AVERAGE(F13,F14)</f>
        <v>2.6073477635232054</v>
      </c>
      <c r="H14" s="18"/>
      <c r="I14" s="12"/>
    </row>
    <row r="15" spans="1:19" x14ac:dyDescent="0.45">
      <c r="B15" s="6">
        <v>0</v>
      </c>
      <c r="C15" s="7">
        <v>3</v>
      </c>
      <c r="D15" s="9">
        <v>0</v>
      </c>
      <c r="E15" s="9">
        <f>14*3</f>
        <v>42</v>
      </c>
      <c r="F15" s="19">
        <f t="shared" si="1"/>
        <v>2.4014005407815442</v>
      </c>
      <c r="G15" s="17"/>
      <c r="H15" s="18"/>
      <c r="I15" s="12"/>
    </row>
    <row r="16" spans="1:19" x14ac:dyDescent="0.45">
      <c r="B16" s="6">
        <v>0</v>
      </c>
      <c r="C16" s="7">
        <v>3</v>
      </c>
      <c r="D16" s="9">
        <v>0</v>
      </c>
      <c r="E16" s="9">
        <v>36</v>
      </c>
      <c r="F16" s="19">
        <f t="shared" si="1"/>
        <v>2.3344537511509307</v>
      </c>
      <c r="G16" s="17">
        <f>AVERAGE(F15,F16)</f>
        <v>2.3679271459662372</v>
      </c>
      <c r="H16" s="11">
        <f>AVERAGE(G12,G14,G16)</f>
        <v>2.334193812255962</v>
      </c>
      <c r="I16" s="12">
        <f>STDEV(G12,G14,G16)</f>
        <v>0.29148827127089572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9">
        <f>23*3</f>
        <v>69</v>
      </c>
      <c r="F17" s="19">
        <f t="shared" si="1"/>
        <v>2.6170003411208991</v>
      </c>
      <c r="G17" s="17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9">
        <f>24*3</f>
        <v>72</v>
      </c>
      <c r="F18" s="19">
        <f t="shared" si="1"/>
        <v>2.6354837468149119</v>
      </c>
      <c r="G18" s="17">
        <f t="shared" ref="G18:G22" si="2">AVERAGE(F17,F18)</f>
        <v>2.6262420439679053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9">
        <f>8*3</f>
        <v>24</v>
      </c>
      <c r="F19" s="19">
        <f t="shared" si="1"/>
        <v>2.1583624920952498</v>
      </c>
      <c r="G19" s="17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9">
        <f>12*3</f>
        <v>36</v>
      </c>
      <c r="F20" s="19">
        <f t="shared" si="1"/>
        <v>2.3344537511509307</v>
      </c>
      <c r="G20" s="17">
        <f t="shared" si="2"/>
        <v>2.24640812162309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9">
        <f>16*3</f>
        <v>48</v>
      </c>
      <c r="F21" s="19">
        <f t="shared" si="1"/>
        <v>2.459392487759231</v>
      </c>
      <c r="G21" s="17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22*3</f>
        <v>66</v>
      </c>
      <c r="F22" s="19">
        <f t="shared" si="1"/>
        <v>2.5976951859255122</v>
      </c>
      <c r="G22" s="17">
        <f t="shared" si="2"/>
        <v>2.5285438368423714</v>
      </c>
      <c r="H22" s="11">
        <f t="shared" ref="H22" si="3">AVERAGE(G18,G20,G22)</f>
        <v>2.4670646674777887</v>
      </c>
      <c r="I22" s="12">
        <f t="shared" ref="I22" si="4">STDEV(G18,G20,G22)</f>
        <v>0.19723898788089808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13*3</f>
        <v>39</v>
      </c>
      <c r="F23" s="10">
        <f>LOG(E23*10^D23*(10+50)/10)</f>
        <v>2.369215857410143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5*3</f>
        <v>15</v>
      </c>
      <c r="F24" s="10">
        <f>LOG(E24*10^D24*(10+50)/10)</f>
        <v>1.954242509439325</v>
      </c>
      <c r="G24" s="10">
        <f t="shared" ref="G24" si="5">AVERAGE(F23,F24)</f>
        <v>2.1617291834247339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31*3</f>
        <v>93</v>
      </c>
      <c r="F25" s="10">
        <f t="shared" ref="F25:F28" si="6">LOG(E25*10^D25*(10+50)/10)</f>
        <v>2.7466341989375787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21*3</f>
        <v>63</v>
      </c>
      <c r="F26" s="10">
        <f t="shared" si="6"/>
        <v>2.5774917998372255</v>
      </c>
      <c r="G26" s="10">
        <f t="shared" ref="G26" si="7">AVERAGE(F25,F26)</f>
        <v>2.6620629993874019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19*3</f>
        <v>57</v>
      </c>
      <c r="F27" s="10">
        <f t="shared" si="6"/>
        <v>2.5340261060561349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20*3</f>
        <v>60</v>
      </c>
      <c r="F28" s="10">
        <f t="shared" si="6"/>
        <v>2.5563025007672873</v>
      </c>
      <c r="G28" s="10">
        <f t="shared" ref="G28" si="8">AVERAGE(F27,F28)</f>
        <v>2.5451643034117111</v>
      </c>
      <c r="H28" s="11">
        <f t="shared" ref="H28" si="9">AVERAGE(G24,G26,G28)</f>
        <v>2.4563188287412827</v>
      </c>
      <c r="I28" s="12">
        <f t="shared" ref="I28" si="10">STDEV(G24,G26,G28)</f>
        <v>0.26173196332508109</v>
      </c>
      <c r="J28" s="24"/>
      <c r="K28" s="24"/>
    </row>
    <row r="29" spans="2:11" x14ac:dyDescent="0.45">
      <c r="B29" s="6">
        <v>3</v>
      </c>
      <c r="C29" s="7">
        <v>1</v>
      </c>
      <c r="D29" s="9">
        <v>2</v>
      </c>
      <c r="E29" s="7">
        <f>31</f>
        <v>31</v>
      </c>
      <c r="F29" s="10">
        <f>LOG(E29*10^D29*(10+50)/10)</f>
        <v>4.2695129442179161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2</v>
      </c>
      <c r="E30" s="7">
        <v>15</v>
      </c>
      <c r="F30" s="10">
        <f>LOG(E30*10^D30*(10+50)/10)</f>
        <v>3.9542425094393248</v>
      </c>
      <c r="G30" s="10">
        <f t="shared" ref="G30" si="11">AVERAGE(F29,F30)</f>
        <v>4.1118777268286202</v>
      </c>
      <c r="H30" s="11"/>
      <c r="I30" s="12"/>
    </row>
    <row r="31" spans="2:11" x14ac:dyDescent="0.45">
      <c r="B31" s="6">
        <v>3</v>
      </c>
      <c r="C31" s="7">
        <v>2</v>
      </c>
      <c r="D31" s="9">
        <v>2</v>
      </c>
      <c r="E31" s="7">
        <v>27</v>
      </c>
      <c r="F31" s="10">
        <f t="shared" ref="F31:F34" si="12">LOG(E31*10^D31*(10+50)/10)</f>
        <v>4.2095150145426308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2</v>
      </c>
      <c r="E32" s="7">
        <v>17</v>
      </c>
      <c r="F32" s="10">
        <f t="shared" si="12"/>
        <v>4.008600171761918</v>
      </c>
      <c r="G32" s="10">
        <f t="shared" ref="G32" si="13">AVERAGE(F31,F32)</f>
        <v>4.1090575931522739</v>
      </c>
      <c r="H32" s="11"/>
      <c r="I32" s="12"/>
    </row>
    <row r="33" spans="2:11" x14ac:dyDescent="0.45">
      <c r="B33" s="6">
        <v>3</v>
      </c>
      <c r="C33" s="7">
        <v>3</v>
      </c>
      <c r="D33" s="9">
        <v>0</v>
      </c>
      <c r="E33" s="7">
        <f>27*3</f>
        <v>81</v>
      </c>
      <c r="F33" s="10">
        <f t="shared" si="12"/>
        <v>2.6866362692622934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0</v>
      </c>
      <c r="E34" s="7">
        <f>19*3</f>
        <v>57</v>
      </c>
      <c r="F34" s="10">
        <f t="shared" si="12"/>
        <v>2.5340261060561349</v>
      </c>
      <c r="G34" s="10">
        <f t="shared" ref="G34" si="14">AVERAGE(F33,F34)</f>
        <v>2.6103311876592139</v>
      </c>
      <c r="H34" s="11">
        <f t="shared" ref="H34" si="15">AVERAGE(G30,G32,G34)</f>
        <v>3.6104221692133698</v>
      </c>
      <c r="I34" s="12">
        <f t="shared" ref="I34" si="16">STDEV(G30,G32,G34)</f>
        <v>0.86610534395531358</v>
      </c>
      <c r="J34" s="24"/>
      <c r="K34" s="24"/>
    </row>
    <row r="35" spans="2:11" x14ac:dyDescent="0.45">
      <c r="B35" s="6">
        <v>4</v>
      </c>
      <c r="C35" s="7">
        <v>1</v>
      </c>
      <c r="D35" s="7">
        <v>0</v>
      </c>
      <c r="E35" s="7">
        <f>33*3</f>
        <v>99</v>
      </c>
      <c r="F35" s="10">
        <f>LOG(E35*10^D35*(10+50)/10)</f>
        <v>2.7737864449811935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7">
        <v>0</v>
      </c>
      <c r="E36" s="7">
        <f>29*3</f>
        <v>87</v>
      </c>
      <c r="F36" s="10">
        <f>LOG(E36*10^D36*(10+50)/10)</f>
        <v>2.7176705030022621</v>
      </c>
      <c r="G36" s="10">
        <f t="shared" ref="G36" si="17">AVERAGE(F35,F36)</f>
        <v>2.7457284739917278</v>
      </c>
      <c r="H36" s="11"/>
      <c r="I36" s="12"/>
    </row>
    <row r="37" spans="2:11" x14ac:dyDescent="0.45">
      <c r="B37" s="6">
        <v>4</v>
      </c>
      <c r="C37" s="7">
        <v>2</v>
      </c>
      <c r="D37" s="25">
        <v>4</v>
      </c>
      <c r="E37" s="25">
        <f>44*4</f>
        <v>176</v>
      </c>
      <c r="F37" s="10">
        <f t="shared" ref="F37:F40" si="18">LOG(E37*10^D37*(10+50)/10)</f>
        <v>7.0236639181977933</v>
      </c>
      <c r="G37" s="10"/>
      <c r="H37" s="11"/>
      <c r="I37" s="12"/>
      <c r="J37" s="26" t="s">
        <v>24</v>
      </c>
    </row>
    <row r="38" spans="2:11" x14ac:dyDescent="0.45">
      <c r="B38" s="6">
        <v>4</v>
      </c>
      <c r="C38" s="7">
        <v>2</v>
      </c>
      <c r="D38" s="25">
        <v>4</v>
      </c>
      <c r="E38" s="25">
        <f>75*4</f>
        <v>300</v>
      </c>
      <c r="F38" s="10">
        <f t="shared" si="18"/>
        <v>7.2552725051033065</v>
      </c>
      <c r="G38" s="10">
        <f t="shared" ref="G38" si="19">AVERAGE(F37,F38)</f>
        <v>7.1394682116505503</v>
      </c>
      <c r="H38" s="11"/>
      <c r="I38" s="12"/>
    </row>
    <row r="39" spans="2:11" x14ac:dyDescent="0.45">
      <c r="B39" s="6">
        <v>4</v>
      </c>
      <c r="C39" s="7">
        <v>3</v>
      </c>
      <c r="D39" s="7">
        <v>0</v>
      </c>
      <c r="E39" s="7">
        <f>26*4*3</f>
        <v>312</v>
      </c>
      <c r="F39" s="10">
        <f t="shared" si="18"/>
        <v>3.2723058444020863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9">
        <v>0</v>
      </c>
      <c r="E40" s="7">
        <f>48*3</f>
        <v>144</v>
      </c>
      <c r="F40" s="10">
        <f t="shared" si="18"/>
        <v>2.9365137424788932</v>
      </c>
      <c r="G40" s="10">
        <f t="shared" ref="G40" si="20">AVERAGE(F39,F40)</f>
        <v>3.1044097934404897</v>
      </c>
      <c r="H40" s="11">
        <f t="shared" ref="H40" si="21">AVERAGE(G36,G38,G40)</f>
        <v>4.3298688263609222</v>
      </c>
      <c r="I40" s="12">
        <f t="shared" ref="I40" si="22">STDEV(G36,G38,G40)</f>
        <v>2.439784744930436</v>
      </c>
      <c r="J40" s="24"/>
      <c r="K40" s="24"/>
    </row>
    <row r="41" spans="2:11" x14ac:dyDescent="0.45">
      <c r="B41" s="6">
        <v>5</v>
      </c>
      <c r="C41" s="7">
        <v>1</v>
      </c>
      <c r="D41" s="9">
        <v>0</v>
      </c>
      <c r="E41" s="7">
        <f>18*3</f>
        <v>54</v>
      </c>
      <c r="F41" s="10">
        <f>LOG(E41*10^D41*(10+50)/10)</f>
        <v>2.510545010206612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9">
        <v>0</v>
      </c>
      <c r="E42" s="7">
        <f>34*3</f>
        <v>102</v>
      </c>
      <c r="F42" s="10">
        <f>LOG(E42*10^D42*(10+50)/10)</f>
        <v>2.7867514221455614</v>
      </c>
      <c r="G42" s="10">
        <f t="shared" ref="G42" si="23">AVERAGE(F41,F42)</f>
        <v>2.6486482161760865</v>
      </c>
      <c r="H42" s="11"/>
      <c r="I42" s="12"/>
    </row>
    <row r="43" spans="2:11" x14ac:dyDescent="0.45">
      <c r="B43" s="6">
        <v>5</v>
      </c>
      <c r="C43" s="7">
        <v>2</v>
      </c>
      <c r="D43" s="9">
        <v>0</v>
      </c>
      <c r="E43" s="7">
        <f>19*3</f>
        <v>57</v>
      </c>
      <c r="F43" s="10">
        <f t="shared" ref="F43:F46" si="24">LOG(E43*10^D43*(10+50)/10)</f>
        <v>2.5340261060561349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9">
        <v>0</v>
      </c>
      <c r="E44" s="7">
        <f>103*3</f>
        <v>309</v>
      </c>
      <c r="F44" s="10">
        <f t="shared" si="24"/>
        <v>3.2681097298084785</v>
      </c>
      <c r="G44" s="10">
        <f t="shared" ref="G44" si="25">AVERAGE(F43,F44)</f>
        <v>2.9010679179323065</v>
      </c>
      <c r="H44" s="11"/>
      <c r="I44" s="12"/>
    </row>
    <row r="45" spans="2:11" x14ac:dyDescent="0.45">
      <c r="B45" s="6">
        <v>5</v>
      </c>
      <c r="C45" s="7">
        <v>3</v>
      </c>
      <c r="D45" s="9">
        <v>0</v>
      </c>
      <c r="E45" s="7">
        <f>10*3</f>
        <v>30</v>
      </c>
      <c r="F45" s="10">
        <f t="shared" si="24"/>
        <v>2.255272505103306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9">
        <v>0</v>
      </c>
      <c r="E46" s="7">
        <f>3*3</f>
        <v>9</v>
      </c>
      <c r="F46" s="10">
        <f t="shared" si="24"/>
        <v>1.7323937598229686</v>
      </c>
      <c r="G46" s="10">
        <f t="shared" ref="G46" si="26">AVERAGE(F45,F46)</f>
        <v>1.9938331324631373</v>
      </c>
      <c r="H46" s="11">
        <f t="shared" ref="H46" si="27">AVERAGE(G42,G44,G46)</f>
        <v>2.5145164221905101</v>
      </c>
      <c r="I46" s="12">
        <f t="shared" ref="I46" si="28">STDEV(G42,G44,G46)</f>
        <v>0.46825446352348254</v>
      </c>
      <c r="J46" s="24"/>
      <c r="K46" s="24"/>
    </row>
    <row r="60" spans="3:3" x14ac:dyDescent="0.45">
      <c r="C60" s="5"/>
    </row>
    <row r="61" spans="3:3" x14ac:dyDescent="0.45">
      <c r="C61" s="5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2:S62"/>
  <sheetViews>
    <sheetView zoomScale="70" zoomScaleNormal="70" workbookViewId="0"/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3" width="13.33203125" style="1" bestFit="1" customWidth="1"/>
    <col min="14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16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B11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0</v>
      </c>
      <c r="E5" s="9">
        <v>30</v>
      </c>
      <c r="F5" s="17">
        <f t="shared" ref="F5:F22" si="0">LOG(E5*10^D5*(10+50)/10)</f>
        <v>2.255272505103306</v>
      </c>
      <c r="G5" s="17"/>
      <c r="H5" s="18"/>
      <c r="I5" s="12"/>
      <c r="L5" s="28" t="s">
        <v>0</v>
      </c>
      <c r="M5" s="13">
        <f>H10</f>
        <v>2.3334288060475497</v>
      </c>
      <c r="N5" s="13">
        <f>H16</f>
        <v>2.4733062242723132</v>
      </c>
      <c r="O5" s="13">
        <f>H22</f>
        <v>2.6446832079141736</v>
      </c>
      <c r="P5" s="13">
        <f>H28</f>
        <v>2.5996129244929178</v>
      </c>
      <c r="Q5" s="13">
        <f>H34</f>
        <v>2.3470383730181941</v>
      </c>
      <c r="R5" s="13">
        <f>H40</f>
        <v>2.1510657285479629</v>
      </c>
      <c r="S5" s="13">
        <f>H46</f>
        <v>2.298776644102039</v>
      </c>
    </row>
    <row r="6" spans="1:19" x14ac:dyDescent="0.45">
      <c r="B6" s="6" t="s">
        <v>12</v>
      </c>
      <c r="C6" s="7">
        <v>1</v>
      </c>
      <c r="D6" s="9">
        <v>0</v>
      </c>
      <c r="E6" s="9">
        <f>23*3</f>
        <v>69</v>
      </c>
      <c r="F6" s="17">
        <f t="shared" si="0"/>
        <v>2.6170003411208991</v>
      </c>
      <c r="G6" s="17">
        <f>AVERAGE(F5,F6)</f>
        <v>2.4361364231121025</v>
      </c>
      <c r="H6" s="18"/>
      <c r="I6" s="12"/>
      <c r="L6" s="28" t="s">
        <v>1</v>
      </c>
      <c r="M6" s="13">
        <f>I10</f>
        <v>0.43395602678082973</v>
      </c>
      <c r="N6" s="13">
        <f>I16</f>
        <v>8.5360574078738469E-2</v>
      </c>
      <c r="O6" s="13">
        <f>I22</f>
        <v>0.32394905348936426</v>
      </c>
      <c r="P6" s="13">
        <f>I28</f>
        <v>0.19975155677990461</v>
      </c>
      <c r="Q6" s="13">
        <f>I34</f>
        <v>0.22349894912215282</v>
      </c>
      <c r="R6" s="13">
        <f>I40</f>
        <v>0.57931934075634872</v>
      </c>
      <c r="S6" s="13">
        <f>I46</f>
        <v>0.51274920601429674</v>
      </c>
    </row>
    <row r="7" spans="1:19" x14ac:dyDescent="0.45">
      <c r="B7" s="6" t="s">
        <v>12</v>
      </c>
      <c r="C7" s="7">
        <v>2</v>
      </c>
      <c r="D7" s="9">
        <v>0</v>
      </c>
      <c r="E7" s="9">
        <v>75</v>
      </c>
      <c r="F7" s="17">
        <f t="shared" si="0"/>
        <v>2.6532125137753435</v>
      </c>
      <c r="G7" s="17"/>
      <c r="H7" s="18"/>
      <c r="I7" s="12"/>
    </row>
    <row r="8" spans="1:19" x14ac:dyDescent="0.45">
      <c r="B8" s="6" t="s">
        <v>12</v>
      </c>
      <c r="C8" s="7">
        <v>2</v>
      </c>
      <c r="D8" s="9">
        <v>0</v>
      </c>
      <c r="E8" s="9">
        <f>32*3</f>
        <v>96</v>
      </c>
      <c r="F8" s="17">
        <f t="shared" si="0"/>
        <v>2.7604224834232118</v>
      </c>
      <c r="G8" s="17">
        <f>AVERAGE(F7,F8)</f>
        <v>2.7068174985992774</v>
      </c>
      <c r="H8" s="18"/>
      <c r="I8" s="12"/>
    </row>
    <row r="9" spans="1:19" x14ac:dyDescent="0.45">
      <c r="B9" s="6" t="s">
        <v>12</v>
      </c>
      <c r="C9" s="7">
        <v>3</v>
      </c>
      <c r="D9" s="9">
        <v>0</v>
      </c>
      <c r="E9" s="9">
        <v>24</v>
      </c>
      <c r="F9" s="17">
        <f t="shared" si="0"/>
        <v>2.1583624920952498</v>
      </c>
      <c r="G9" s="17"/>
      <c r="H9" s="18"/>
      <c r="I9" s="12"/>
    </row>
    <row r="10" spans="1:19" x14ac:dyDescent="0.45">
      <c r="B10" s="6" t="s">
        <v>12</v>
      </c>
      <c r="C10" s="7">
        <v>3</v>
      </c>
      <c r="D10" s="9">
        <v>0</v>
      </c>
      <c r="E10" s="9">
        <v>6</v>
      </c>
      <c r="F10" s="17">
        <f t="shared" si="0"/>
        <v>1.5563025007672873</v>
      </c>
      <c r="G10" s="17">
        <f>AVERAGE(F9,F10)</f>
        <v>1.8573324964312685</v>
      </c>
      <c r="H10" s="11">
        <f>AVERAGE(G6,G8,G10)</f>
        <v>2.3334288060475497</v>
      </c>
      <c r="I10" s="12">
        <f>STDEV(G6,G8,G10)</f>
        <v>0.43395602678082973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9">
        <v>60</v>
      </c>
      <c r="F11" s="17">
        <f t="shared" si="0"/>
        <v>2.5563025007672873</v>
      </c>
      <c r="G11" s="17"/>
      <c r="H11" s="18"/>
      <c r="I11" s="12"/>
    </row>
    <row r="12" spans="1:19" x14ac:dyDescent="0.45">
      <c r="B12" s="6">
        <v>0</v>
      </c>
      <c r="C12" s="7">
        <v>1</v>
      </c>
      <c r="D12" s="9">
        <v>0</v>
      </c>
      <c r="E12" s="9">
        <f>14*3</f>
        <v>42</v>
      </c>
      <c r="F12" s="19">
        <f t="shared" si="0"/>
        <v>2.4014005407815442</v>
      </c>
      <c r="G12" s="17">
        <f>AVERAGE(F11,F12)</f>
        <v>2.4788515207744157</v>
      </c>
      <c r="H12" s="18"/>
      <c r="I12" s="12"/>
    </row>
    <row r="13" spans="1:19" x14ac:dyDescent="0.45">
      <c r="B13" s="6">
        <v>0</v>
      </c>
      <c r="C13" s="7">
        <v>2</v>
      </c>
      <c r="D13" s="9">
        <v>0</v>
      </c>
      <c r="E13" s="9">
        <f>19*3</f>
        <v>57</v>
      </c>
      <c r="F13" s="17">
        <f t="shared" si="0"/>
        <v>2.5340261060561349</v>
      </c>
      <c r="G13" s="17"/>
      <c r="H13" s="18"/>
      <c r="I13" s="12"/>
    </row>
    <row r="14" spans="1:19" x14ac:dyDescent="0.45">
      <c r="B14" s="6">
        <v>0</v>
      </c>
      <c r="C14" s="7">
        <v>2</v>
      </c>
      <c r="D14" s="9">
        <v>0</v>
      </c>
      <c r="E14" s="9">
        <f>21*3</f>
        <v>63</v>
      </c>
      <c r="F14" s="19">
        <f t="shared" si="0"/>
        <v>2.5774917998372255</v>
      </c>
      <c r="G14" s="17">
        <f t="shared" ref="G14:G22" si="1">AVERAGE(F13,F14)</f>
        <v>2.5557589529466802</v>
      </c>
      <c r="H14" s="18"/>
      <c r="I14" s="12"/>
    </row>
    <row r="15" spans="1:19" x14ac:dyDescent="0.45">
      <c r="B15" s="6">
        <v>0</v>
      </c>
      <c r="C15" s="7">
        <v>3</v>
      </c>
      <c r="D15" s="9">
        <v>0</v>
      </c>
      <c r="E15" s="9">
        <f>13*3</f>
        <v>39</v>
      </c>
      <c r="F15" s="17">
        <f t="shared" si="0"/>
        <v>2.369215857410143</v>
      </c>
      <c r="G15" s="17"/>
      <c r="H15" s="18"/>
      <c r="I15" s="12"/>
    </row>
    <row r="16" spans="1:19" x14ac:dyDescent="0.45">
      <c r="B16" s="6">
        <v>0</v>
      </c>
      <c r="C16" s="7">
        <v>3</v>
      </c>
      <c r="D16" s="9">
        <v>0</v>
      </c>
      <c r="E16" s="9">
        <f>14*3</f>
        <v>42</v>
      </c>
      <c r="F16" s="19">
        <f t="shared" si="0"/>
        <v>2.4014005407815442</v>
      </c>
      <c r="G16" s="17">
        <f t="shared" si="1"/>
        <v>2.3853081990958436</v>
      </c>
      <c r="H16" s="11">
        <f>AVERAGE(G12,G14,G16)</f>
        <v>2.4733062242723132</v>
      </c>
      <c r="I16" s="12">
        <f>STDEV(G12,G14,G16)</f>
        <v>8.5360574078738469E-2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9">
        <f>9*3</f>
        <v>27</v>
      </c>
      <c r="F17" s="17">
        <f t="shared" si="0"/>
        <v>2.2095150145426308</v>
      </c>
      <c r="G17" s="17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9">
        <f>12*3</f>
        <v>36</v>
      </c>
      <c r="F18" s="19">
        <f t="shared" si="0"/>
        <v>2.3344537511509307</v>
      </c>
      <c r="G18" s="17">
        <f t="shared" si="1"/>
        <v>2.2719843828467807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9">
        <f>39*3</f>
        <v>117</v>
      </c>
      <c r="F19" s="17">
        <f t="shared" si="0"/>
        <v>2.8463371121298051</v>
      </c>
      <c r="G19" s="17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9">
        <f>32*3</f>
        <v>96</v>
      </c>
      <c r="F20" s="19">
        <f t="shared" si="0"/>
        <v>2.7604224834232118</v>
      </c>
      <c r="G20" s="17">
        <f t="shared" si="1"/>
        <v>2.8033797977765085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9">
        <f>46*3</f>
        <v>138</v>
      </c>
      <c r="F21" s="17">
        <f t="shared" si="0"/>
        <v>2.9180303367848803</v>
      </c>
      <c r="G21" s="17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35*3</f>
        <v>105</v>
      </c>
      <c r="F22" s="19">
        <f t="shared" si="0"/>
        <v>2.7993405494535817</v>
      </c>
      <c r="G22" s="17">
        <f t="shared" si="1"/>
        <v>2.858685443119231</v>
      </c>
      <c r="H22" s="11">
        <f t="shared" ref="H22" si="2">AVERAGE(G18,G20,G22)</f>
        <v>2.6446832079141736</v>
      </c>
      <c r="I22" s="12">
        <f t="shared" ref="I22" si="3">STDEV(G18,G20,G22)</f>
        <v>0.32394905348936426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11*3</f>
        <v>33</v>
      </c>
      <c r="F23" s="10">
        <f>LOG(E23*10^D23*(10+50)/10)</f>
        <v>2.2966651902615309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16*3</f>
        <v>48</v>
      </c>
      <c r="F24" s="10">
        <f>LOG(E24*10^D24*(10+50)/10)</f>
        <v>2.459392487759231</v>
      </c>
      <c r="G24" s="10">
        <f t="shared" ref="G24" si="4">AVERAGE(F23,F24)</f>
        <v>2.3780288390103808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30*3</f>
        <v>90</v>
      </c>
      <c r="F25" s="10">
        <f t="shared" ref="F25:F28" si="5">LOG(E25*10^D25*(10+50)/10)</f>
        <v>2.7323937598229686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35*3</f>
        <v>105</v>
      </c>
      <c r="F26" s="10">
        <f t="shared" si="5"/>
        <v>2.7993405494535817</v>
      </c>
      <c r="G26" s="10">
        <f t="shared" ref="G26" si="6">AVERAGE(F25,F26)</f>
        <v>2.7658671546382751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30*3</f>
        <v>90</v>
      </c>
      <c r="F27" s="10">
        <f t="shared" si="5"/>
        <v>2.7323937598229686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21*3</f>
        <v>63</v>
      </c>
      <c r="F28" s="10">
        <f t="shared" si="5"/>
        <v>2.5774917998372255</v>
      </c>
      <c r="G28" s="10">
        <f t="shared" ref="G28" si="7">AVERAGE(F27,F28)</f>
        <v>2.6549427798300971</v>
      </c>
      <c r="H28" s="11">
        <f t="shared" ref="H28" si="8">AVERAGE(G24,G26,G28)</f>
        <v>2.5996129244929178</v>
      </c>
      <c r="I28" s="12">
        <f t="shared" ref="I28" si="9">STDEV(G24,G26,G28)</f>
        <v>0.19975155677990461</v>
      </c>
      <c r="J28" s="24"/>
      <c r="K28" s="24"/>
    </row>
    <row r="29" spans="2:11" x14ac:dyDescent="0.45">
      <c r="B29" s="6">
        <v>3</v>
      </c>
      <c r="C29" s="7">
        <v>1</v>
      </c>
      <c r="D29" s="9">
        <v>0</v>
      </c>
      <c r="E29" s="7">
        <f>11*3</f>
        <v>33</v>
      </c>
      <c r="F29" s="10">
        <f>LOG(E29*10^D29*(10+50)/10)</f>
        <v>2.2966651902615309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0</v>
      </c>
      <c r="E30" s="7">
        <f>17*3</f>
        <v>51</v>
      </c>
      <c r="F30" s="10">
        <f>LOG(E30*10^D30*(10+50)/10)</f>
        <v>2.4857214264815801</v>
      </c>
      <c r="G30" s="10">
        <f t="shared" ref="G30" si="10">AVERAGE(F29,F30)</f>
        <v>2.3911933083715553</v>
      </c>
      <c r="H30" s="11"/>
      <c r="I30" s="12"/>
    </row>
    <row r="31" spans="2:11" x14ac:dyDescent="0.45">
      <c r="B31" s="6">
        <v>3</v>
      </c>
      <c r="C31" s="7">
        <v>2</v>
      </c>
      <c r="D31" s="9">
        <v>0</v>
      </c>
      <c r="E31" s="7">
        <f>19*3</f>
        <v>57</v>
      </c>
      <c r="F31" s="10">
        <f t="shared" ref="F31:F34" si="11">LOG(E31*10^D31*(10+50)/10)</f>
        <v>2.5340261060561349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0</v>
      </c>
      <c r="E32" s="7">
        <f>20*3</f>
        <v>60</v>
      </c>
      <c r="F32" s="10">
        <f t="shared" si="11"/>
        <v>2.5563025007672873</v>
      </c>
      <c r="G32" s="10">
        <f t="shared" ref="G32" si="12">AVERAGE(F31,F32)</f>
        <v>2.5451643034117111</v>
      </c>
      <c r="H32" s="11"/>
      <c r="I32" s="12"/>
    </row>
    <row r="33" spans="2:11" x14ac:dyDescent="0.45">
      <c r="B33" s="6">
        <v>3</v>
      </c>
      <c r="C33" s="7">
        <v>3</v>
      </c>
      <c r="D33" s="9">
        <v>0</v>
      </c>
      <c r="E33" s="7">
        <f>10*3</f>
        <v>30</v>
      </c>
      <c r="F33" s="10">
        <f t="shared" si="11"/>
        <v>2.255272505103306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0</v>
      </c>
      <c r="E34" s="7">
        <f>5*3</f>
        <v>15</v>
      </c>
      <c r="F34" s="10">
        <f t="shared" si="11"/>
        <v>1.954242509439325</v>
      </c>
      <c r="G34" s="10">
        <f t="shared" ref="G34" si="13">AVERAGE(F33,F34)</f>
        <v>2.1047575072713154</v>
      </c>
      <c r="H34" s="11">
        <f t="shared" ref="H34" si="14">AVERAGE(G30,G32,G34)</f>
        <v>2.3470383730181941</v>
      </c>
      <c r="I34" s="12">
        <f t="shared" ref="I34" si="15">STDEV(G30,G32,G34)</f>
        <v>0.22349894912215282</v>
      </c>
      <c r="J34" s="24"/>
      <c r="K34" s="24"/>
    </row>
    <row r="35" spans="2:11" x14ac:dyDescent="0.45">
      <c r="B35" s="6">
        <v>4</v>
      </c>
      <c r="C35" s="7">
        <v>1</v>
      </c>
      <c r="D35" s="9">
        <v>0</v>
      </c>
      <c r="E35" s="7">
        <f>19*3</f>
        <v>57</v>
      </c>
      <c r="F35" s="10">
        <f>LOG(E35*10^D35*(10+50)/10)</f>
        <v>2.5340261060561349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9">
        <v>0</v>
      </c>
      <c r="E36" s="7">
        <f>9*3</f>
        <v>27</v>
      </c>
      <c r="F36" s="10">
        <f>LOG(E36*10^D36*(10+50)/10)</f>
        <v>2.2095150145426308</v>
      </c>
      <c r="G36" s="10">
        <f t="shared" ref="G36" si="16">AVERAGE(F35,F36)</f>
        <v>2.3717705602993826</v>
      </c>
      <c r="H36" s="11"/>
      <c r="I36" s="12"/>
    </row>
    <row r="37" spans="2:11" x14ac:dyDescent="0.45">
      <c r="B37" s="6">
        <v>4</v>
      </c>
      <c r="C37" s="7">
        <v>2</v>
      </c>
      <c r="D37" s="9">
        <v>0</v>
      </c>
      <c r="E37" s="7">
        <f>1*3</f>
        <v>3</v>
      </c>
      <c r="F37" s="10">
        <f t="shared" ref="F37:F40" si="17">LOG(E37*10^D37*(10+50)/10)</f>
        <v>1.255272505103306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9">
        <v>0</v>
      </c>
      <c r="E38" s="7">
        <f>3*3</f>
        <v>9</v>
      </c>
      <c r="F38" s="10">
        <f t="shared" si="17"/>
        <v>1.7323937598229686</v>
      </c>
      <c r="G38" s="10">
        <f t="shared" ref="G38" si="18">AVERAGE(F37,F38)</f>
        <v>1.4938331324631373</v>
      </c>
      <c r="H38" s="11"/>
      <c r="I38" s="12"/>
    </row>
    <row r="39" spans="2:11" x14ac:dyDescent="0.45">
      <c r="B39" s="6">
        <v>4</v>
      </c>
      <c r="C39" s="7">
        <v>3</v>
      </c>
      <c r="D39" s="9">
        <v>0</v>
      </c>
      <c r="E39" s="7">
        <f>22*3</f>
        <v>66</v>
      </c>
      <c r="F39" s="10">
        <f t="shared" si="17"/>
        <v>2.5976951859255122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9">
        <v>0</v>
      </c>
      <c r="E40" s="7">
        <f>21*3</f>
        <v>63</v>
      </c>
      <c r="F40" s="10">
        <f t="shared" si="17"/>
        <v>2.5774917998372255</v>
      </c>
      <c r="G40" s="10">
        <f t="shared" ref="G40" si="19">AVERAGE(F39,F40)</f>
        <v>2.5875934928813686</v>
      </c>
      <c r="H40" s="11">
        <f t="shared" ref="H40" si="20">AVERAGE(G36,G38,G40)</f>
        <v>2.1510657285479629</v>
      </c>
      <c r="I40" s="12">
        <f t="shared" ref="I40" si="21">STDEV(G36,G38,G40)</f>
        <v>0.57931934075634872</v>
      </c>
      <c r="J40" s="24"/>
      <c r="K40" s="24"/>
    </row>
    <row r="41" spans="2:11" x14ac:dyDescent="0.45">
      <c r="B41" s="6">
        <v>5</v>
      </c>
      <c r="C41" s="7">
        <v>1</v>
      </c>
      <c r="D41" s="9">
        <v>0</v>
      </c>
      <c r="E41" s="7">
        <f>19*3</f>
        <v>57</v>
      </c>
      <c r="F41" s="10">
        <f>LOG(E41*10^D41*(10+50)/10)</f>
        <v>2.5340261060561349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9">
        <v>0</v>
      </c>
      <c r="E42" s="7">
        <f>24*3</f>
        <v>72</v>
      </c>
      <c r="F42" s="10">
        <f>LOG(E42*10^D42*(10+50)/10)</f>
        <v>2.6354837468149119</v>
      </c>
      <c r="G42" s="10">
        <f t="shared" ref="G42" si="22">AVERAGE(F41,F42)</f>
        <v>2.5847549264355232</v>
      </c>
      <c r="H42" s="11"/>
      <c r="I42" s="12"/>
    </row>
    <row r="43" spans="2:11" x14ac:dyDescent="0.45">
      <c r="B43" s="6">
        <v>5</v>
      </c>
      <c r="C43" s="7">
        <v>2</v>
      </c>
      <c r="D43" s="9">
        <v>0</v>
      </c>
      <c r="E43" s="7">
        <f>25*3</f>
        <v>75</v>
      </c>
      <c r="F43" s="10">
        <f t="shared" ref="F43:F46" si="23">LOG(E43*10^D43*(10+50)/10)</f>
        <v>2.6532125137753435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9">
        <v>0</v>
      </c>
      <c r="E44" s="7">
        <f>20*3</f>
        <v>60</v>
      </c>
      <c r="F44" s="10">
        <f t="shared" si="23"/>
        <v>2.5563025007672873</v>
      </c>
      <c r="G44" s="10">
        <f t="shared" ref="G44" si="24">AVERAGE(F43,F44)</f>
        <v>2.6047575072713154</v>
      </c>
      <c r="H44" s="11"/>
      <c r="I44" s="12"/>
    </row>
    <row r="45" spans="2:11" x14ac:dyDescent="0.45">
      <c r="B45" s="6">
        <v>5</v>
      </c>
      <c r="C45" s="7">
        <v>3</v>
      </c>
      <c r="D45" s="9">
        <v>0</v>
      </c>
      <c r="E45" s="7">
        <f>2*3</f>
        <v>6</v>
      </c>
      <c r="F45" s="10">
        <f t="shared" si="23"/>
        <v>1.5563025007672873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9">
        <v>0</v>
      </c>
      <c r="E46" s="7">
        <f>4*3</f>
        <v>12</v>
      </c>
      <c r="F46" s="10">
        <f t="shared" si="23"/>
        <v>1.8573324964312685</v>
      </c>
      <c r="G46" s="10">
        <f t="shared" ref="G46" si="25">AVERAGE(F45,F46)</f>
        <v>1.7068174985992779</v>
      </c>
      <c r="H46" s="11">
        <f t="shared" ref="H46" si="26">AVERAGE(G42,G44,G46)</f>
        <v>2.298776644102039</v>
      </c>
      <c r="I46" s="12">
        <f t="shared" ref="I46" si="27">STDEV(G42,G44,G46)</f>
        <v>0.51274920601429674</v>
      </c>
      <c r="J46" s="24"/>
      <c r="K46" s="24"/>
    </row>
    <row r="60" spans="3:3" x14ac:dyDescent="0.45">
      <c r="C60" s="5"/>
    </row>
    <row r="61" spans="3:3" x14ac:dyDescent="0.45">
      <c r="C61" s="5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E2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2:S62"/>
  <sheetViews>
    <sheetView topLeftCell="A12" zoomScale="70" zoomScaleNormal="70" workbookViewId="0">
      <selection activeCell="H40" sqref="H40:I40"/>
    </sheetView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3" width="13.33203125" style="1" bestFit="1" customWidth="1"/>
    <col min="14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21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0</v>
      </c>
      <c r="E5" s="9">
        <v>30</v>
      </c>
      <c r="F5" s="17">
        <f t="shared" ref="F5:F10" si="0">LOG(E5*10^D5*(10+50)/10)</f>
        <v>2.255272505103306</v>
      </c>
      <c r="G5" s="17"/>
      <c r="H5" s="18"/>
      <c r="I5" s="12"/>
      <c r="L5" s="28" t="s">
        <v>0</v>
      </c>
      <c r="M5" s="13">
        <f>H10</f>
        <v>2.3334288060475497</v>
      </c>
      <c r="N5" s="13">
        <f>H16</f>
        <v>2.240639303957332</v>
      </c>
      <c r="O5" s="13">
        <f>H22</f>
        <v>2.5258272879343409</v>
      </c>
      <c r="P5" s="13">
        <f>H28</f>
        <v>2.4897979833817452</v>
      </c>
      <c r="Q5" s="13">
        <f>H34</f>
        <v>2.1848544717428435</v>
      </c>
      <c r="R5" s="13">
        <f>H40</f>
        <v>2.5870093959602989</v>
      </c>
      <c r="S5" s="13">
        <f>H46</f>
        <v>2.2729001012706842</v>
      </c>
    </row>
    <row r="6" spans="1:19" x14ac:dyDescent="0.45">
      <c r="B6" s="6" t="s">
        <v>12</v>
      </c>
      <c r="C6" s="7">
        <v>1</v>
      </c>
      <c r="D6" s="9">
        <v>0</v>
      </c>
      <c r="E6" s="9">
        <f>23*3</f>
        <v>69</v>
      </c>
      <c r="F6" s="17">
        <f t="shared" si="0"/>
        <v>2.6170003411208991</v>
      </c>
      <c r="G6" s="17">
        <f>AVERAGE(F5,F6)</f>
        <v>2.4361364231121025</v>
      </c>
      <c r="H6" s="18"/>
      <c r="I6" s="12"/>
      <c r="L6" s="28" t="s">
        <v>1</v>
      </c>
      <c r="M6" s="13">
        <f>I10</f>
        <v>0.43395602678082973</v>
      </c>
      <c r="N6" s="13">
        <f>I16</f>
        <v>0.38617905683485981</v>
      </c>
      <c r="O6" s="13">
        <f>I22</f>
        <v>0.24330012321153491</v>
      </c>
      <c r="P6" s="13">
        <f>I28</f>
        <v>0.24794639198352927</v>
      </c>
      <c r="Q6" s="13">
        <f>I34</f>
        <v>0.3788013507718016</v>
      </c>
      <c r="R6" s="13">
        <f>I40</f>
        <v>0.17006054122932046</v>
      </c>
      <c r="S6" s="13">
        <f>I46</f>
        <v>0.35314344805468534</v>
      </c>
    </row>
    <row r="7" spans="1:19" x14ac:dyDescent="0.45">
      <c r="B7" s="6" t="s">
        <v>12</v>
      </c>
      <c r="C7" s="7">
        <v>2</v>
      </c>
      <c r="D7" s="9">
        <v>0</v>
      </c>
      <c r="E7" s="9">
        <v>75</v>
      </c>
      <c r="F7" s="17">
        <f t="shared" si="0"/>
        <v>2.6532125137753435</v>
      </c>
      <c r="G7" s="17"/>
      <c r="H7" s="18"/>
      <c r="I7" s="12"/>
    </row>
    <row r="8" spans="1:19" x14ac:dyDescent="0.45">
      <c r="B8" s="6" t="s">
        <v>12</v>
      </c>
      <c r="C8" s="7">
        <v>2</v>
      </c>
      <c r="D8" s="9">
        <v>0</v>
      </c>
      <c r="E8" s="9">
        <f>32*3</f>
        <v>96</v>
      </c>
      <c r="F8" s="17">
        <f t="shared" si="0"/>
        <v>2.7604224834232118</v>
      </c>
      <c r="G8" s="17">
        <f>AVERAGE(F7,F8)</f>
        <v>2.7068174985992774</v>
      </c>
      <c r="H8" s="18"/>
      <c r="I8" s="12"/>
    </row>
    <row r="9" spans="1:19" x14ac:dyDescent="0.45">
      <c r="B9" s="6" t="s">
        <v>12</v>
      </c>
      <c r="C9" s="7">
        <v>3</v>
      </c>
      <c r="D9" s="9">
        <v>0</v>
      </c>
      <c r="E9" s="9">
        <v>24</v>
      </c>
      <c r="F9" s="17">
        <f t="shared" si="0"/>
        <v>2.1583624920952498</v>
      </c>
      <c r="G9" s="17"/>
      <c r="H9" s="18"/>
      <c r="I9" s="12"/>
    </row>
    <row r="10" spans="1:19" x14ac:dyDescent="0.45">
      <c r="B10" s="6" t="s">
        <v>12</v>
      </c>
      <c r="C10" s="7">
        <v>3</v>
      </c>
      <c r="D10" s="9">
        <v>0</v>
      </c>
      <c r="E10" s="9">
        <v>6</v>
      </c>
      <c r="F10" s="17">
        <f t="shared" si="0"/>
        <v>1.5563025007672873</v>
      </c>
      <c r="G10" s="17">
        <f>AVERAGE(F9,F10)</f>
        <v>1.8573324964312685</v>
      </c>
      <c r="H10" s="11">
        <f>AVERAGE(G6,G8,G10)</f>
        <v>2.3334288060475497</v>
      </c>
      <c r="I10" s="12">
        <f>STDEV(G6,G8,G10)</f>
        <v>0.43395602678082973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21">
        <v>45</v>
      </c>
      <c r="F11" s="19">
        <f t="shared" ref="F11:F14" si="1">LOG(E11*10^D11*(10+50)/10)</f>
        <v>2.4313637641589874</v>
      </c>
      <c r="G11" s="17"/>
      <c r="H11" s="18"/>
      <c r="I11" s="12"/>
    </row>
    <row r="12" spans="1:19" x14ac:dyDescent="0.45">
      <c r="B12" s="6">
        <v>0</v>
      </c>
      <c r="C12" s="7">
        <v>1</v>
      </c>
      <c r="D12" s="9">
        <v>0</v>
      </c>
      <c r="E12" s="21">
        <f>23*3</f>
        <v>69</v>
      </c>
      <c r="F12" s="19">
        <f t="shared" si="1"/>
        <v>2.6170003411208991</v>
      </c>
      <c r="G12" s="17">
        <f>AVERAGE(F11,F12)</f>
        <v>2.5241820526399432</v>
      </c>
      <c r="H12" s="18"/>
      <c r="I12" s="12"/>
    </row>
    <row r="13" spans="1:19" x14ac:dyDescent="0.45">
      <c r="B13" s="6">
        <v>0</v>
      </c>
      <c r="C13" s="7">
        <v>2</v>
      </c>
      <c r="D13" s="9">
        <v>0</v>
      </c>
      <c r="E13" s="21">
        <f>16*3</f>
        <v>48</v>
      </c>
      <c r="F13" s="19">
        <f t="shared" si="1"/>
        <v>2.459392487759231</v>
      </c>
      <c r="G13" s="17"/>
      <c r="H13" s="18"/>
      <c r="I13" s="12"/>
    </row>
    <row r="14" spans="1:19" x14ac:dyDescent="0.45">
      <c r="B14" s="6">
        <v>0</v>
      </c>
      <c r="C14" s="7">
        <v>2</v>
      </c>
      <c r="D14" s="9">
        <v>0</v>
      </c>
      <c r="E14" s="21">
        <v>36</v>
      </c>
      <c r="F14" s="19">
        <f t="shared" si="1"/>
        <v>2.3344537511509307</v>
      </c>
      <c r="G14" s="17">
        <f>AVERAGE(F13,F14)</f>
        <v>2.3969231194550806</v>
      </c>
      <c r="H14" s="18"/>
      <c r="I14" s="12"/>
    </row>
    <row r="15" spans="1:19" x14ac:dyDescent="0.45">
      <c r="B15" s="6">
        <v>0</v>
      </c>
      <c r="C15" s="7">
        <v>3</v>
      </c>
      <c r="D15" s="9">
        <v>0</v>
      </c>
      <c r="E15" s="21">
        <v>1</v>
      </c>
      <c r="F15" s="19">
        <f>LOG(E15*10^D15*(10+50)/10)</f>
        <v>0.77815125038364363</v>
      </c>
      <c r="G15" s="17"/>
      <c r="H15" s="18"/>
      <c r="I15" s="12"/>
    </row>
    <row r="16" spans="1:19" x14ac:dyDescent="0.45">
      <c r="B16" s="6">
        <v>0</v>
      </c>
      <c r="C16" s="7">
        <v>3</v>
      </c>
      <c r="D16" s="9">
        <v>0</v>
      </c>
      <c r="E16" s="21">
        <f>37*3</f>
        <v>111</v>
      </c>
      <c r="F16" s="19">
        <f t="shared" ref="F16:F22" si="2">LOG(E16*10^D16*(10+50)/10)</f>
        <v>2.823474229170301</v>
      </c>
      <c r="G16" s="17">
        <f>AVERAGE(F15,F16)</f>
        <v>1.8008127397769722</v>
      </c>
      <c r="H16" s="11">
        <f>AVERAGE(G12,G14,G16)</f>
        <v>2.240639303957332</v>
      </c>
      <c r="I16" s="12">
        <f>STDEV(G12,G14,G16)</f>
        <v>0.38617905683485981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21">
        <f>34*3</f>
        <v>102</v>
      </c>
      <c r="F17" s="19">
        <f t="shared" si="2"/>
        <v>2.7867514221455614</v>
      </c>
      <c r="G17" s="17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21">
        <f>36*3</f>
        <v>108</v>
      </c>
      <c r="F18" s="19">
        <f t="shared" si="2"/>
        <v>2.8115750058705933</v>
      </c>
      <c r="G18" s="17">
        <f t="shared" ref="G18:G22" si="3">AVERAGE(F17,F18)</f>
        <v>2.7991632140080771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21">
        <f>11*3</f>
        <v>33</v>
      </c>
      <c r="F19" s="19">
        <f t="shared" si="2"/>
        <v>2.2966651902615309</v>
      </c>
      <c r="G19" s="17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21">
        <f>13*3</f>
        <v>39</v>
      </c>
      <c r="F20" s="19">
        <f t="shared" si="2"/>
        <v>2.369215857410143</v>
      </c>
      <c r="G20" s="17">
        <f t="shared" si="3"/>
        <v>2.3329405238358367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21">
        <f>20*3</f>
        <v>60</v>
      </c>
      <c r="F21" s="19">
        <f t="shared" si="2"/>
        <v>2.5563025007672873</v>
      </c>
      <c r="G21" s="17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12*3</f>
        <v>36</v>
      </c>
      <c r="F22" s="19">
        <f t="shared" si="2"/>
        <v>2.3344537511509307</v>
      </c>
      <c r="G22" s="17">
        <f t="shared" si="3"/>
        <v>2.4453781259591088</v>
      </c>
      <c r="H22" s="11">
        <f t="shared" ref="H22" si="4">AVERAGE(G18,G20,G22)</f>
        <v>2.5258272879343409</v>
      </c>
      <c r="I22" s="12">
        <f t="shared" ref="I22" si="5">STDEV(G18,G20,G22)</f>
        <v>0.24330012321153491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10*3</f>
        <v>30</v>
      </c>
      <c r="F23" s="10">
        <f>LOG(E23*10^D23*(10+50)/10)</f>
        <v>2.255272505103306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8*3</f>
        <v>24</v>
      </c>
      <c r="F24" s="10">
        <f>LOG(E24*10^D24*(10+50)/10)</f>
        <v>2.1583624920952498</v>
      </c>
      <c r="G24" s="10">
        <f t="shared" ref="G24" si="6">AVERAGE(F23,F24)</f>
        <v>2.2068174985992779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25*3</f>
        <v>75</v>
      </c>
      <c r="F25" s="10">
        <f t="shared" ref="F25:F28" si="7">LOG(E25*10^D25*(10+50)/10)</f>
        <v>2.6532125137753435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19*3</f>
        <v>57</v>
      </c>
      <c r="F26" s="10">
        <f t="shared" si="7"/>
        <v>2.5340261060561349</v>
      </c>
      <c r="G26" s="10">
        <f t="shared" ref="G26" si="8">AVERAGE(F25,F26)</f>
        <v>2.5936193099157392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32*3</f>
        <v>96</v>
      </c>
      <c r="F27" s="10">
        <f t="shared" si="7"/>
        <v>2.7604224834232118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21*3</f>
        <v>63</v>
      </c>
      <c r="F28" s="10">
        <f t="shared" si="7"/>
        <v>2.5774917998372255</v>
      </c>
      <c r="G28" s="10">
        <f t="shared" ref="G28" si="9">AVERAGE(F27,F28)</f>
        <v>2.6689571416302185</v>
      </c>
      <c r="H28" s="11">
        <f t="shared" ref="H28" si="10">AVERAGE(G24,G26,G28)</f>
        <v>2.4897979833817452</v>
      </c>
      <c r="I28" s="12">
        <f t="shared" ref="I28" si="11">STDEV(G24,G26,G28)</f>
        <v>0.24794639198352927</v>
      </c>
      <c r="J28" s="24"/>
      <c r="K28" s="24"/>
    </row>
    <row r="29" spans="2:11" x14ac:dyDescent="0.45">
      <c r="B29" s="6">
        <v>3</v>
      </c>
      <c r="C29" s="7">
        <v>1</v>
      </c>
      <c r="D29" s="9">
        <v>0</v>
      </c>
      <c r="E29" s="7">
        <f>10*3</f>
        <v>30</v>
      </c>
      <c r="F29" s="10">
        <f>LOG(E29*10^D29*(10+50)/10)</f>
        <v>2.255272505103306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0</v>
      </c>
      <c r="E30" s="7">
        <f>14*3</f>
        <v>42</v>
      </c>
      <c r="F30" s="10">
        <f>LOG(E30*10^D30*(10+50)/10)</f>
        <v>2.4014005407815442</v>
      </c>
      <c r="G30" s="10">
        <f t="shared" ref="G30" si="12">AVERAGE(F29,F30)</f>
        <v>2.3283365229424251</v>
      </c>
      <c r="H30" s="11"/>
      <c r="I30" s="12"/>
    </row>
    <row r="31" spans="2:11" x14ac:dyDescent="0.45">
      <c r="B31" s="6">
        <v>3</v>
      </c>
      <c r="C31" s="7">
        <v>2</v>
      </c>
      <c r="D31" s="9">
        <v>0</v>
      </c>
      <c r="E31" s="7">
        <f>18*3</f>
        <v>54</v>
      </c>
      <c r="F31" s="10">
        <f t="shared" ref="F31:F34" si="13">LOG(E31*10^D31*(10+50)/10)</f>
        <v>2.510545010206612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0</v>
      </c>
      <c r="E32" s="7">
        <f>15*3</f>
        <v>45</v>
      </c>
      <c r="F32" s="10">
        <f t="shared" si="13"/>
        <v>2.4313637641589874</v>
      </c>
      <c r="G32" s="10">
        <f t="shared" ref="G32" si="14">AVERAGE(F31,F32)</f>
        <v>2.4709543871827995</v>
      </c>
      <c r="H32" s="11"/>
      <c r="I32" s="12"/>
    </row>
    <row r="33" spans="2:11" x14ac:dyDescent="0.45">
      <c r="B33" s="6">
        <v>3</v>
      </c>
      <c r="C33" s="7">
        <v>3</v>
      </c>
      <c r="D33" s="9">
        <v>0</v>
      </c>
      <c r="E33" s="7">
        <f>5*3</f>
        <v>15</v>
      </c>
      <c r="F33" s="10">
        <f t="shared" si="13"/>
        <v>1.954242509439325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0</v>
      </c>
      <c r="E34" s="7">
        <f>2*3</f>
        <v>6</v>
      </c>
      <c r="F34" s="10">
        <f t="shared" si="13"/>
        <v>1.5563025007672873</v>
      </c>
      <c r="G34" s="10">
        <f t="shared" ref="G34" si="15">AVERAGE(F33,F34)</f>
        <v>1.755272505103306</v>
      </c>
      <c r="H34" s="11">
        <f>AVERAGE(G30,G32,G34)</f>
        <v>2.1848544717428435</v>
      </c>
      <c r="I34" s="12">
        <f>STDEV(G30,G32,G34)</f>
        <v>0.3788013507718016</v>
      </c>
      <c r="J34" s="24"/>
      <c r="K34" s="24"/>
    </row>
    <row r="35" spans="2:11" x14ac:dyDescent="0.45">
      <c r="B35" s="6">
        <v>4</v>
      </c>
      <c r="C35" s="7">
        <v>1</v>
      </c>
      <c r="D35" s="7">
        <v>0</v>
      </c>
      <c r="E35" s="7">
        <f>11*3</f>
        <v>33</v>
      </c>
      <c r="F35" s="10">
        <f>LOG(E35*10^D35*(10+50)/10)</f>
        <v>2.2966651902615309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7">
        <v>0</v>
      </c>
      <c r="E36" s="7">
        <f>17*3</f>
        <v>51</v>
      </c>
      <c r="F36" s="10">
        <f>LOG(E36*10^D36*(10+50)/10)</f>
        <v>2.4857214264815801</v>
      </c>
      <c r="G36" s="10">
        <f t="shared" ref="G36" si="16">AVERAGE(F35,F36)</f>
        <v>2.3911933083715553</v>
      </c>
      <c r="H36" s="11"/>
      <c r="I36" s="12"/>
    </row>
    <row r="37" spans="2:11" x14ac:dyDescent="0.45">
      <c r="B37" s="6">
        <v>4</v>
      </c>
      <c r="C37" s="7">
        <v>2</v>
      </c>
      <c r="D37" s="23">
        <v>0</v>
      </c>
      <c r="E37" s="23">
        <f>59*3</f>
        <v>177</v>
      </c>
      <c r="F37" s="10">
        <f t="shared" ref="F37:F40" si="17">LOG(E37*10^D37*(10+50)/10)</f>
        <v>3.0261245167454502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23">
        <v>0</v>
      </c>
      <c r="E38" s="23">
        <f>13*3</f>
        <v>39</v>
      </c>
      <c r="F38" s="10">
        <f t="shared" si="17"/>
        <v>2.369215857410143</v>
      </c>
      <c r="G38" s="10">
        <f t="shared" ref="G38" si="18">AVERAGE(F37,F38)</f>
        <v>2.6976701870777964</v>
      </c>
      <c r="H38" s="11"/>
      <c r="I38" s="12"/>
    </row>
    <row r="39" spans="2:11" x14ac:dyDescent="0.45">
      <c r="B39" s="6">
        <v>4</v>
      </c>
      <c r="C39" s="7">
        <v>3</v>
      </c>
      <c r="D39" s="7">
        <v>0</v>
      </c>
      <c r="E39" s="7">
        <f>22*3</f>
        <v>66</v>
      </c>
      <c r="F39" s="10">
        <f t="shared" si="17"/>
        <v>2.5976951859255122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9">
        <v>0</v>
      </c>
      <c r="E40" s="7">
        <f>31*3</f>
        <v>93</v>
      </c>
      <c r="F40" s="10">
        <f t="shared" si="17"/>
        <v>2.7466341989375787</v>
      </c>
      <c r="G40" s="10">
        <f t="shared" ref="G40" si="19">AVERAGE(F39,F40)</f>
        <v>2.6721646924315454</v>
      </c>
      <c r="H40" s="11">
        <f t="shared" ref="H40" si="20">AVERAGE(G36,G38,G40)</f>
        <v>2.5870093959602989</v>
      </c>
      <c r="I40" s="12">
        <f t="shared" ref="I40" si="21">STDEV(G36,G38,G40)</f>
        <v>0.17006054122932046</v>
      </c>
      <c r="J40" s="24"/>
      <c r="K40" s="24"/>
    </row>
    <row r="41" spans="2:11" x14ac:dyDescent="0.45">
      <c r="B41" s="6">
        <v>5</v>
      </c>
      <c r="C41" s="7">
        <v>1</v>
      </c>
      <c r="D41" s="9">
        <v>0</v>
      </c>
      <c r="E41" s="7">
        <f>27*3</f>
        <v>81</v>
      </c>
      <c r="F41" s="10">
        <f>LOG(E41*10^D41*(10+50)/10)</f>
        <v>2.6866362692622934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9">
        <v>0</v>
      </c>
      <c r="E42" s="7">
        <f>25*3</f>
        <v>75</v>
      </c>
      <c r="F42" s="10">
        <f>LOG(E42*10^D42*(10+50)/10)</f>
        <v>2.6532125137753435</v>
      </c>
      <c r="G42" s="10">
        <f t="shared" ref="G42" si="22">AVERAGE(F41,F42)</f>
        <v>2.6699243915188182</v>
      </c>
      <c r="H42" s="11"/>
      <c r="I42" s="12"/>
    </row>
    <row r="43" spans="2:11" x14ac:dyDescent="0.45">
      <c r="B43" s="6">
        <v>5</v>
      </c>
      <c r="C43" s="7">
        <v>2</v>
      </c>
      <c r="D43" s="9">
        <v>0</v>
      </c>
      <c r="E43" s="7">
        <f>9*3</f>
        <v>27</v>
      </c>
      <c r="F43" s="10">
        <f t="shared" ref="F43:F46" si="23">LOG(E43*10^D43*(10+50)/10)</f>
        <v>2.2095150145426308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9">
        <v>0</v>
      </c>
      <c r="E44" s="7">
        <f>7*3</f>
        <v>21</v>
      </c>
      <c r="F44" s="10">
        <f t="shared" si="23"/>
        <v>2.1003705451175629</v>
      </c>
      <c r="G44" s="10">
        <f t="shared" ref="G44" si="24">AVERAGE(F43,F44)</f>
        <v>2.1549427798300966</v>
      </c>
      <c r="H44" s="11"/>
      <c r="I44" s="12"/>
    </row>
    <row r="45" spans="2:11" x14ac:dyDescent="0.45">
      <c r="B45" s="6">
        <v>5</v>
      </c>
      <c r="C45" s="7">
        <v>3</v>
      </c>
      <c r="D45" s="9">
        <v>0</v>
      </c>
      <c r="E45" s="7">
        <f>6*3</f>
        <v>18</v>
      </c>
      <c r="F45" s="10">
        <f t="shared" si="23"/>
        <v>2.0334237554869499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9">
        <v>0</v>
      </c>
      <c r="E46" s="7">
        <f>5*3</f>
        <v>15</v>
      </c>
      <c r="F46" s="10">
        <f t="shared" si="23"/>
        <v>1.954242509439325</v>
      </c>
      <c r="G46" s="10">
        <f t="shared" ref="G46" si="25">AVERAGE(F45,F46)</f>
        <v>1.9938331324631373</v>
      </c>
      <c r="H46" s="11">
        <f t="shared" ref="H46" si="26">AVERAGE(G42,G44,G46)</f>
        <v>2.2729001012706842</v>
      </c>
      <c r="I46" s="12">
        <f t="shared" ref="I46" si="27">STDEV(G42,G44,G46)</f>
        <v>0.35314344805468534</v>
      </c>
      <c r="J46" s="24"/>
      <c r="K46" s="24"/>
    </row>
    <row r="59" spans="3:3" x14ac:dyDescent="0.45">
      <c r="C59" s="5"/>
    </row>
    <row r="60" spans="3:3" x14ac:dyDescent="0.45">
      <c r="C60" s="5"/>
    </row>
    <row r="61" spans="3:3" x14ac:dyDescent="0.45">
      <c r="C61" s="5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2:R62"/>
  <sheetViews>
    <sheetView zoomScale="70" zoomScaleNormal="70" workbookViewId="0"/>
  </sheetViews>
  <sheetFormatPr defaultRowHeight="14" x14ac:dyDescent="0.45"/>
  <cols>
    <col min="1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6384" width="8.6640625" style="1"/>
  </cols>
  <sheetData>
    <row r="2" spans="1:18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8" ht="14.5" thickBot="1" x14ac:dyDescent="0.5"/>
    <row r="4" spans="1:18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22</v>
      </c>
      <c r="I4" s="4" t="s">
        <v>1</v>
      </c>
      <c r="L4" s="27" t="str">
        <f>B4</f>
        <v>Time (w)</v>
      </c>
      <c r="M4" s="27">
        <f>B5</f>
        <v>0</v>
      </c>
      <c r="N4" s="27">
        <f>B11</f>
        <v>1</v>
      </c>
      <c r="O4" s="27">
        <f>B17</f>
        <v>2</v>
      </c>
      <c r="P4" s="27">
        <f>B23</f>
        <v>3</v>
      </c>
      <c r="Q4" s="27">
        <f>B29</f>
        <v>4</v>
      </c>
      <c r="R4" s="27">
        <f>B35</f>
        <v>5</v>
      </c>
    </row>
    <row r="5" spans="1:18" x14ac:dyDescent="0.45">
      <c r="B5" s="6">
        <v>0</v>
      </c>
      <c r="C5" s="7">
        <v>1</v>
      </c>
      <c r="D5" s="9">
        <v>0</v>
      </c>
      <c r="E5" s="20">
        <f>29*3</f>
        <v>87</v>
      </c>
      <c r="F5" s="17">
        <f>LOG(E5*10^D5*(10+50)/10)</f>
        <v>2.7176705030022621</v>
      </c>
      <c r="G5" s="17"/>
      <c r="H5" s="18"/>
      <c r="I5" s="12"/>
      <c r="L5" s="28" t="s">
        <v>0</v>
      </c>
      <c r="M5" s="13">
        <f>H10</f>
        <v>2.6421172402379374</v>
      </c>
      <c r="N5" s="13">
        <f>H16</f>
        <v>2.7071261612635493</v>
      </c>
      <c r="O5" s="13">
        <f>H22</f>
        <v>2.5045386818022628</v>
      </c>
      <c r="P5" s="13">
        <f>H28</f>
        <v>2.9086220805424809</v>
      </c>
      <c r="Q5" s="13">
        <f>H34</f>
        <v>3.9149194595689489</v>
      </c>
      <c r="R5" s="13">
        <f>H40</f>
        <v>2.4608142410467768</v>
      </c>
    </row>
    <row r="6" spans="1:18" x14ac:dyDescent="0.45">
      <c r="B6" s="6">
        <v>0</v>
      </c>
      <c r="C6" s="7">
        <v>1</v>
      </c>
      <c r="D6" s="9">
        <v>0</v>
      </c>
      <c r="E6" s="20">
        <f>33*3</f>
        <v>99</v>
      </c>
      <c r="F6" s="19">
        <f>LOG(E6*10^D6*(10+50)/10)</f>
        <v>2.7737864449811935</v>
      </c>
      <c r="G6" s="17">
        <f>AVERAGE(F5,F6)</f>
        <v>2.7457284739917278</v>
      </c>
      <c r="H6" s="18"/>
      <c r="I6" s="12"/>
      <c r="L6" s="28" t="s">
        <v>1</v>
      </c>
      <c r="M6" s="13">
        <f>I10</f>
        <v>0.23861014970323821</v>
      </c>
      <c r="N6" s="13">
        <f>I16</f>
        <v>0.46890999785601822</v>
      </c>
      <c r="O6" s="13">
        <f>I22</f>
        <v>0.40849300540422784</v>
      </c>
      <c r="P6" s="13">
        <f>I28</f>
        <v>0.28620075510742859</v>
      </c>
      <c r="Q6" s="13">
        <f>I34</f>
        <v>1.4258001893800472</v>
      </c>
      <c r="R6" s="13">
        <f>I40</f>
        <v>0.26134749424105524</v>
      </c>
    </row>
    <row r="7" spans="1:18" x14ac:dyDescent="0.45">
      <c r="B7" s="6">
        <v>0</v>
      </c>
      <c r="C7" s="7">
        <v>2</v>
      </c>
      <c r="D7" s="9">
        <v>0</v>
      </c>
      <c r="E7" s="20">
        <f>13*3</f>
        <v>39</v>
      </c>
      <c r="F7" s="17">
        <f t="shared" ref="F7:F16" si="0">LOG(E7*10^D7*(10+50)/10)</f>
        <v>2.369215857410143</v>
      </c>
      <c r="G7" s="17"/>
      <c r="H7" s="18"/>
      <c r="I7" s="12"/>
    </row>
    <row r="8" spans="1:18" x14ac:dyDescent="0.45">
      <c r="B8" s="6">
        <v>0</v>
      </c>
      <c r="C8" s="7">
        <v>2</v>
      </c>
      <c r="D8" s="9">
        <v>0</v>
      </c>
      <c r="E8" s="20">
        <f>13*3</f>
        <v>39</v>
      </c>
      <c r="F8" s="19">
        <f t="shared" si="0"/>
        <v>2.369215857410143</v>
      </c>
      <c r="G8" s="17">
        <f>AVERAGE(F7,F8)</f>
        <v>2.369215857410143</v>
      </c>
      <c r="H8" s="18"/>
      <c r="I8" s="12"/>
    </row>
    <row r="9" spans="1:18" x14ac:dyDescent="0.45">
      <c r="B9" s="6">
        <v>0</v>
      </c>
      <c r="C9" s="7">
        <v>3</v>
      </c>
      <c r="D9" s="9">
        <v>0</v>
      </c>
      <c r="E9" s="20">
        <f>35*3</f>
        <v>105</v>
      </c>
      <c r="F9" s="17">
        <f t="shared" si="0"/>
        <v>2.7993405494535817</v>
      </c>
      <c r="G9" s="17"/>
      <c r="H9" s="18"/>
      <c r="I9" s="12"/>
    </row>
    <row r="10" spans="1:18" x14ac:dyDescent="0.45">
      <c r="B10" s="6">
        <v>0</v>
      </c>
      <c r="C10" s="7">
        <v>3</v>
      </c>
      <c r="D10" s="9">
        <v>0</v>
      </c>
      <c r="E10" s="20">
        <f>37*3</f>
        <v>111</v>
      </c>
      <c r="F10" s="19">
        <f t="shared" si="0"/>
        <v>2.823474229170301</v>
      </c>
      <c r="G10" s="17">
        <f>AVERAGE(F9,F10)</f>
        <v>2.8114073893119413</v>
      </c>
      <c r="H10" s="11">
        <f>AVERAGE(G6,G8,G10)</f>
        <v>2.6421172402379374</v>
      </c>
      <c r="I10" s="12">
        <f>STDEV(G6,G8,G10)</f>
        <v>0.23861014970323821</v>
      </c>
      <c r="J10" s="24"/>
      <c r="K10" s="24"/>
    </row>
    <row r="11" spans="1:18" x14ac:dyDescent="0.45">
      <c r="B11" s="6">
        <v>1</v>
      </c>
      <c r="C11" s="7">
        <v>1</v>
      </c>
      <c r="D11" s="9">
        <v>0</v>
      </c>
      <c r="E11" s="20">
        <f>30*3</f>
        <v>90</v>
      </c>
      <c r="F11" s="17">
        <f t="shared" si="0"/>
        <v>2.7323937598229686</v>
      </c>
      <c r="G11" s="17"/>
      <c r="H11" s="11"/>
      <c r="I11" s="12"/>
    </row>
    <row r="12" spans="1:18" x14ac:dyDescent="0.45">
      <c r="B12" s="6">
        <v>1</v>
      </c>
      <c r="C12" s="7">
        <v>1</v>
      </c>
      <c r="D12" s="9">
        <v>0</v>
      </c>
      <c r="E12" s="20">
        <f>23*3</f>
        <v>69</v>
      </c>
      <c r="F12" s="19">
        <f t="shared" si="0"/>
        <v>2.6170003411208991</v>
      </c>
      <c r="G12" s="17">
        <f t="shared" ref="G12:G16" si="1">AVERAGE(F11,F12)</f>
        <v>2.6746970504719338</v>
      </c>
      <c r="H12" s="11"/>
      <c r="I12" s="12"/>
    </row>
    <row r="13" spans="1:18" x14ac:dyDescent="0.45">
      <c r="B13" s="6">
        <v>1</v>
      </c>
      <c r="C13" s="7">
        <v>2</v>
      </c>
      <c r="D13" s="9">
        <v>0</v>
      </c>
      <c r="E13" s="20">
        <f>138*3</f>
        <v>414</v>
      </c>
      <c r="F13" s="17">
        <f t="shared" si="0"/>
        <v>3.3951515915045425</v>
      </c>
      <c r="G13" s="17"/>
      <c r="H13" s="11"/>
      <c r="I13" s="12"/>
    </row>
    <row r="14" spans="1:18" x14ac:dyDescent="0.45">
      <c r="B14" s="6">
        <v>1</v>
      </c>
      <c r="C14" s="7">
        <v>2</v>
      </c>
      <c r="D14" s="9">
        <v>0</v>
      </c>
      <c r="E14" s="20">
        <f>54*3</f>
        <v>162</v>
      </c>
      <c r="F14" s="19">
        <f t="shared" si="0"/>
        <v>2.9876662649262746</v>
      </c>
      <c r="G14" s="17">
        <f t="shared" si="1"/>
        <v>3.1914089282154086</v>
      </c>
      <c r="H14" s="11"/>
      <c r="I14" s="12"/>
    </row>
    <row r="15" spans="1:18" x14ac:dyDescent="0.45">
      <c r="B15" s="6">
        <v>1</v>
      </c>
      <c r="C15" s="7">
        <v>3</v>
      </c>
      <c r="D15" s="9">
        <v>0</v>
      </c>
      <c r="E15" s="20">
        <f>10*3</f>
        <v>30</v>
      </c>
      <c r="F15" s="17">
        <f t="shared" si="0"/>
        <v>2.255272505103306</v>
      </c>
      <c r="G15" s="17"/>
      <c r="H15" s="11"/>
      <c r="I15" s="12"/>
    </row>
    <row r="16" spans="1:18" x14ac:dyDescent="0.45">
      <c r="B16" s="6">
        <v>1</v>
      </c>
      <c r="C16" s="7">
        <v>3</v>
      </c>
      <c r="D16" s="9">
        <v>0</v>
      </c>
      <c r="E16" s="7">
        <f>10*3</f>
        <v>30</v>
      </c>
      <c r="F16" s="19">
        <f t="shared" si="0"/>
        <v>2.255272505103306</v>
      </c>
      <c r="G16" s="17">
        <f t="shared" si="1"/>
        <v>2.255272505103306</v>
      </c>
      <c r="H16" s="11">
        <f t="shared" ref="H16" si="2">AVERAGE(G12,G14,G16)</f>
        <v>2.7071261612635493</v>
      </c>
      <c r="I16" s="12">
        <f t="shared" ref="I16" si="3">STDEV(G12,G14,G16)</f>
        <v>0.46890999785601822</v>
      </c>
      <c r="J16" s="24"/>
      <c r="K16" s="24"/>
    </row>
    <row r="17" spans="2:11" x14ac:dyDescent="0.45">
      <c r="B17" s="6">
        <v>2</v>
      </c>
      <c r="C17" s="7">
        <v>1</v>
      </c>
      <c r="D17" s="9">
        <v>0</v>
      </c>
      <c r="E17" s="7">
        <f>25*3</f>
        <v>75</v>
      </c>
      <c r="F17" s="10">
        <f>LOG(E17*10^D17*(10+50)/10)</f>
        <v>2.6532125137753435</v>
      </c>
      <c r="G17" s="10"/>
      <c r="H17" s="11"/>
      <c r="I17" s="12"/>
    </row>
    <row r="18" spans="2:11" x14ac:dyDescent="0.45">
      <c r="B18" s="6">
        <v>2</v>
      </c>
      <c r="C18" s="7">
        <v>1</v>
      </c>
      <c r="D18" s="9">
        <v>0</v>
      </c>
      <c r="E18" s="7">
        <f>34*3</f>
        <v>102</v>
      </c>
      <c r="F18" s="10">
        <f>LOG(E18*10^D18*(10+50)/10)</f>
        <v>2.7867514221455614</v>
      </c>
      <c r="G18" s="10">
        <f t="shared" ref="G18" si="4">AVERAGE(F17,F18)</f>
        <v>2.7199819679604524</v>
      </c>
      <c r="H18" s="11"/>
      <c r="I18" s="12"/>
    </row>
    <row r="19" spans="2:11" x14ac:dyDescent="0.45">
      <c r="B19" s="6">
        <v>2</v>
      </c>
      <c r="C19" s="7">
        <v>2</v>
      </c>
      <c r="D19" s="9">
        <v>0</v>
      </c>
      <c r="E19" s="7">
        <f>4*3</f>
        <v>12</v>
      </c>
      <c r="F19" s="10">
        <f t="shared" ref="F19:F22" si="5">LOG(E19*10^D19*(10+50)/10)</f>
        <v>1.8573324964312685</v>
      </c>
      <c r="G19" s="10"/>
      <c r="H19" s="11"/>
      <c r="I19" s="12"/>
    </row>
    <row r="20" spans="2:11" x14ac:dyDescent="0.45">
      <c r="B20" s="6">
        <v>2</v>
      </c>
      <c r="C20" s="7">
        <v>2</v>
      </c>
      <c r="D20" s="9">
        <v>0</v>
      </c>
      <c r="E20" s="7">
        <f>9*3</f>
        <v>27</v>
      </c>
      <c r="F20" s="10">
        <f t="shared" si="5"/>
        <v>2.2095150145426308</v>
      </c>
      <c r="G20" s="10">
        <f t="shared" ref="G20" si="6">AVERAGE(F19,F20)</f>
        <v>2.0334237554869494</v>
      </c>
      <c r="H20" s="11"/>
      <c r="I20" s="12"/>
    </row>
    <row r="21" spans="2:11" x14ac:dyDescent="0.45">
      <c r="B21" s="6">
        <v>2</v>
      </c>
      <c r="C21" s="7">
        <v>3</v>
      </c>
      <c r="D21" s="9">
        <v>0</v>
      </c>
      <c r="E21" s="7">
        <f>31*3</f>
        <v>93</v>
      </c>
      <c r="F21" s="10">
        <f t="shared" si="5"/>
        <v>2.7466341989375787</v>
      </c>
      <c r="G21" s="10"/>
      <c r="H21" s="11"/>
      <c r="I21" s="12"/>
    </row>
    <row r="22" spans="2:11" x14ac:dyDescent="0.45">
      <c r="B22" s="6">
        <v>2</v>
      </c>
      <c r="C22" s="7">
        <v>3</v>
      </c>
      <c r="D22" s="9">
        <v>0</v>
      </c>
      <c r="E22" s="7">
        <f>33*3</f>
        <v>99</v>
      </c>
      <c r="F22" s="10">
        <f t="shared" si="5"/>
        <v>2.7737864449811935</v>
      </c>
      <c r="G22" s="10">
        <f t="shared" ref="G22" si="7">AVERAGE(F21,F22)</f>
        <v>2.7602103219593861</v>
      </c>
      <c r="H22" s="11">
        <f t="shared" ref="H22" si="8">AVERAGE(G18,G20,G22)</f>
        <v>2.5045386818022628</v>
      </c>
      <c r="I22" s="12">
        <f t="shared" ref="I22" si="9">STDEV(G18,G20,G22)</f>
        <v>0.40849300540422784</v>
      </c>
      <c r="J22" s="24"/>
      <c r="K22" s="24"/>
    </row>
    <row r="23" spans="2:11" x14ac:dyDescent="0.45">
      <c r="B23" s="6">
        <v>3</v>
      </c>
      <c r="C23" s="7">
        <v>1</v>
      </c>
      <c r="D23" s="9">
        <v>0</v>
      </c>
      <c r="E23" s="7">
        <f>41*3</f>
        <v>123</v>
      </c>
      <c r="F23" s="10">
        <f>LOG(E23*10^D23*(10+50)/10)</f>
        <v>2.8680563618230415</v>
      </c>
      <c r="G23" s="10"/>
      <c r="H23" s="11"/>
      <c r="I23" s="12"/>
    </row>
    <row r="24" spans="2:11" x14ac:dyDescent="0.45">
      <c r="B24" s="6">
        <v>3</v>
      </c>
      <c r="C24" s="7">
        <v>1</v>
      </c>
      <c r="D24" s="9">
        <v>0</v>
      </c>
      <c r="E24" s="7">
        <f>35*3</f>
        <v>105</v>
      </c>
      <c r="F24" s="10">
        <f>LOG(E24*10^D24*(10+50)/10)</f>
        <v>2.7993405494535817</v>
      </c>
      <c r="G24" s="10">
        <f t="shared" ref="G24" si="10">AVERAGE(F23,F24)</f>
        <v>2.8336984556383116</v>
      </c>
      <c r="H24" s="11"/>
      <c r="I24" s="12"/>
    </row>
    <row r="25" spans="2:11" x14ac:dyDescent="0.45">
      <c r="B25" s="6">
        <v>3</v>
      </c>
      <c r="C25" s="7">
        <v>2</v>
      </c>
      <c r="D25" s="9">
        <v>0</v>
      </c>
      <c r="E25" s="7">
        <f>53*2*3</f>
        <v>318</v>
      </c>
      <c r="F25" s="10">
        <f t="shared" ref="F25:F28" si="11">LOG(E25*10^D25*(10+50)/10)</f>
        <v>3.2805783703680764</v>
      </c>
      <c r="G25" s="10"/>
      <c r="H25" s="11"/>
      <c r="I25" s="12"/>
    </row>
    <row r="26" spans="2:11" x14ac:dyDescent="0.45">
      <c r="B26" s="6">
        <v>3</v>
      </c>
      <c r="C26" s="7">
        <v>2</v>
      </c>
      <c r="D26" s="9">
        <v>0</v>
      </c>
      <c r="E26" s="7">
        <f>82*3</f>
        <v>246</v>
      </c>
      <c r="F26" s="10">
        <f t="shared" si="11"/>
        <v>3.1690863574870227</v>
      </c>
      <c r="G26" s="10">
        <f t="shared" ref="G26" si="12">AVERAGE(F25,F26)</f>
        <v>3.2248323639275496</v>
      </c>
      <c r="H26" s="11"/>
      <c r="I26" s="12"/>
    </row>
    <row r="27" spans="2:11" x14ac:dyDescent="0.45">
      <c r="B27" s="6">
        <v>3</v>
      </c>
      <c r="C27" s="7">
        <v>3</v>
      </c>
      <c r="D27" s="9">
        <v>0</v>
      </c>
      <c r="E27" s="7">
        <f>23*3</f>
        <v>69</v>
      </c>
      <c r="F27" s="10">
        <f t="shared" si="11"/>
        <v>2.6170003411208991</v>
      </c>
      <c r="G27" s="10"/>
      <c r="H27" s="11"/>
      <c r="I27" s="12"/>
    </row>
    <row r="28" spans="2:11" x14ac:dyDescent="0.45">
      <c r="B28" s="6">
        <v>3</v>
      </c>
      <c r="C28" s="7">
        <v>3</v>
      </c>
      <c r="D28" s="9">
        <v>0</v>
      </c>
      <c r="E28" s="7">
        <f>29*3</f>
        <v>87</v>
      </c>
      <c r="F28" s="10">
        <f t="shared" si="11"/>
        <v>2.7176705030022621</v>
      </c>
      <c r="G28" s="10">
        <f t="shared" ref="G28" si="13">AVERAGE(F27,F28)</f>
        <v>2.6673354220615808</v>
      </c>
      <c r="H28" s="11">
        <f t="shared" ref="H28" si="14">AVERAGE(G24,G26,G28)</f>
        <v>2.9086220805424809</v>
      </c>
      <c r="I28" s="12">
        <f t="shared" ref="I28" si="15">STDEV(G24,G26,G28)</f>
        <v>0.28620075510742859</v>
      </c>
      <c r="J28" s="24"/>
      <c r="K28" s="24"/>
    </row>
    <row r="29" spans="2:11" ht="17" x14ac:dyDescent="0.45">
      <c r="B29" s="6">
        <v>4</v>
      </c>
      <c r="C29" s="7">
        <v>1</v>
      </c>
      <c r="D29" s="7">
        <v>0</v>
      </c>
      <c r="E29" s="7">
        <f>21*3</f>
        <v>63</v>
      </c>
      <c r="F29" s="10">
        <f>LOG(E29*10^D29*(10+50)/10)</f>
        <v>2.5774917998372255</v>
      </c>
      <c r="G29" s="22"/>
      <c r="H29" s="11"/>
      <c r="I29" s="12"/>
    </row>
    <row r="30" spans="2:11" x14ac:dyDescent="0.45">
      <c r="B30" s="6">
        <v>4</v>
      </c>
      <c r="C30" s="7">
        <v>1</v>
      </c>
      <c r="D30" s="7">
        <v>0</v>
      </c>
      <c r="E30" s="7">
        <f>10*3</f>
        <v>30</v>
      </c>
      <c r="F30" s="10">
        <f>LOG(E30*10^D30*(10+50)/10)</f>
        <v>2.255272505103306</v>
      </c>
      <c r="G30" s="10">
        <f t="shared" ref="G30" si="16">AVERAGE(F29,F30)</f>
        <v>2.4163821524702658</v>
      </c>
      <c r="H30" s="11"/>
      <c r="I30" s="12"/>
    </row>
    <row r="31" spans="2:11" x14ac:dyDescent="0.45">
      <c r="B31" s="6">
        <v>4</v>
      </c>
      <c r="C31" s="7">
        <v>2</v>
      </c>
      <c r="D31" s="7">
        <v>2</v>
      </c>
      <c r="E31" s="7">
        <f>102*2</f>
        <v>204</v>
      </c>
      <c r="F31" s="10">
        <f t="shared" ref="F31:F34" si="17">LOG(E31*10^D31*(10+50)/10)</f>
        <v>5.0877814178095422</v>
      </c>
      <c r="G31" s="10"/>
      <c r="H31" s="11"/>
      <c r="I31" s="12"/>
    </row>
    <row r="32" spans="2:11" x14ac:dyDescent="0.45">
      <c r="B32" s="6">
        <v>4</v>
      </c>
      <c r="C32" s="7">
        <v>2</v>
      </c>
      <c r="D32" s="7">
        <v>2</v>
      </c>
      <c r="E32" s="7">
        <f>110*4</f>
        <v>440</v>
      </c>
      <c r="F32" s="10">
        <f t="shared" si="17"/>
        <v>5.4216039268698308</v>
      </c>
      <c r="G32" s="10">
        <f t="shared" ref="G32" si="18">AVERAGE(F31,F32)</f>
        <v>5.2546926723396865</v>
      </c>
      <c r="H32" s="11"/>
      <c r="I32" s="12"/>
    </row>
    <row r="33" spans="2:11" x14ac:dyDescent="0.45">
      <c r="B33" s="6">
        <v>4</v>
      </c>
      <c r="C33" s="7">
        <v>3</v>
      </c>
      <c r="D33" s="7">
        <v>2</v>
      </c>
      <c r="E33" s="7">
        <v>30</v>
      </c>
      <c r="F33" s="10">
        <f t="shared" si="17"/>
        <v>4.2552725051033065</v>
      </c>
      <c r="G33" s="10"/>
      <c r="H33" s="11"/>
      <c r="I33" s="12"/>
    </row>
    <row r="34" spans="2:11" x14ac:dyDescent="0.45">
      <c r="B34" s="6">
        <v>4</v>
      </c>
      <c r="C34" s="7">
        <v>3</v>
      </c>
      <c r="D34" s="7">
        <v>2</v>
      </c>
      <c r="E34" s="7">
        <v>13</v>
      </c>
      <c r="F34" s="10">
        <f t="shared" si="17"/>
        <v>3.8920946026904804</v>
      </c>
      <c r="G34" s="10">
        <f t="shared" ref="G34" si="19">AVERAGE(F33,F34)</f>
        <v>4.0736835538968936</v>
      </c>
      <c r="H34" s="11">
        <f t="shared" ref="H34" si="20">AVERAGE(G30,G32,G34)</f>
        <v>3.9149194595689489</v>
      </c>
      <c r="I34" s="12">
        <f t="shared" ref="I34" si="21">STDEV(G30,G32,G34)</f>
        <v>1.4258001893800472</v>
      </c>
      <c r="J34" s="24"/>
      <c r="K34" s="24"/>
    </row>
    <row r="35" spans="2:11" x14ac:dyDescent="0.45">
      <c r="B35" s="6">
        <v>5</v>
      </c>
      <c r="C35" s="7">
        <v>1</v>
      </c>
      <c r="D35" s="7">
        <v>0</v>
      </c>
      <c r="E35" s="7">
        <f>31*3</f>
        <v>93</v>
      </c>
      <c r="F35" s="10">
        <f>LOG(E35*10^D35*(10+50)/10)</f>
        <v>2.7466341989375787</v>
      </c>
      <c r="G35" s="10"/>
      <c r="H35" s="11"/>
      <c r="I35" s="12"/>
    </row>
    <row r="36" spans="2:11" x14ac:dyDescent="0.45">
      <c r="B36" s="6">
        <v>5</v>
      </c>
      <c r="C36" s="7">
        <v>1</v>
      </c>
      <c r="D36" s="7">
        <v>0</v>
      </c>
      <c r="E36" s="7">
        <f>32*3</f>
        <v>96</v>
      </c>
      <c r="F36" s="10">
        <f>LOG(E36*10^D36*(10+50)/10)</f>
        <v>2.7604224834232118</v>
      </c>
      <c r="G36" s="10">
        <f t="shared" ref="G36" si="22">AVERAGE(F35,F36)</f>
        <v>2.7535283411803952</v>
      </c>
      <c r="H36" s="11"/>
      <c r="I36" s="12"/>
    </row>
    <row r="37" spans="2:11" x14ac:dyDescent="0.45">
      <c r="B37" s="6">
        <v>5</v>
      </c>
      <c r="C37" s="7">
        <v>2</v>
      </c>
      <c r="D37" s="7">
        <v>0</v>
      </c>
      <c r="E37" s="7">
        <f>14*3</f>
        <v>42</v>
      </c>
      <c r="F37" s="10">
        <f t="shared" ref="F37:F40" si="23">LOG(E37*10^D37*(10+50)/10)</f>
        <v>2.4014005407815442</v>
      </c>
      <c r="G37" s="10"/>
      <c r="H37" s="11"/>
      <c r="I37" s="12"/>
    </row>
    <row r="38" spans="2:11" x14ac:dyDescent="0.45">
      <c r="B38" s="6">
        <v>5</v>
      </c>
      <c r="C38" s="7">
        <v>2</v>
      </c>
      <c r="D38" s="7">
        <v>0</v>
      </c>
      <c r="E38" s="7">
        <f>7*3</f>
        <v>21</v>
      </c>
      <c r="F38" s="10">
        <f t="shared" si="23"/>
        <v>2.1003705451175629</v>
      </c>
      <c r="G38" s="10">
        <f t="shared" ref="G38" si="24">AVERAGE(F37,F38)</f>
        <v>2.2508855429495536</v>
      </c>
      <c r="H38" s="11"/>
      <c r="I38" s="12"/>
    </row>
    <row r="39" spans="2:11" x14ac:dyDescent="0.45">
      <c r="B39" s="6">
        <v>5</v>
      </c>
      <c r="C39" s="7">
        <v>3</v>
      </c>
      <c r="D39" s="7">
        <v>0</v>
      </c>
      <c r="E39" s="7">
        <f>11*3</f>
        <v>33</v>
      </c>
      <c r="F39" s="10">
        <f t="shared" si="23"/>
        <v>2.2966651902615309</v>
      </c>
      <c r="G39" s="10"/>
      <c r="H39" s="11"/>
      <c r="I39" s="12"/>
    </row>
    <row r="40" spans="2:11" x14ac:dyDescent="0.45">
      <c r="B40" s="6">
        <v>5</v>
      </c>
      <c r="C40" s="7">
        <v>3</v>
      </c>
      <c r="D40" s="7">
        <v>0</v>
      </c>
      <c r="E40" s="7">
        <f>16*3</f>
        <v>48</v>
      </c>
      <c r="F40" s="10">
        <f t="shared" si="23"/>
        <v>2.459392487759231</v>
      </c>
      <c r="G40" s="10">
        <f t="shared" ref="G40" si="25">AVERAGE(F39,F40)</f>
        <v>2.3780288390103808</v>
      </c>
      <c r="H40" s="11">
        <f t="shared" ref="H40" si="26">AVERAGE(G36,G38,G40)</f>
        <v>2.4608142410467768</v>
      </c>
      <c r="I40" s="12">
        <f t="shared" ref="I40" si="27">STDEV(G36,G38,G40)</f>
        <v>0.26134749424105524</v>
      </c>
      <c r="J40" s="24"/>
      <c r="K40" s="24"/>
    </row>
    <row r="59" spans="3:3" x14ac:dyDescent="0.45">
      <c r="C59" s="5"/>
    </row>
    <row r="60" spans="3:3" x14ac:dyDescent="0.45">
      <c r="C60" s="5"/>
    </row>
    <row r="61" spans="3:3" x14ac:dyDescent="0.45">
      <c r="C61" s="5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7E0C0-470A-4029-A111-F3A31B12A5A4}">
  <sheetPr>
    <tabColor theme="5" tint="0.59999389629810485"/>
  </sheetPr>
  <dimension ref="A1:O24"/>
  <sheetViews>
    <sheetView tabSelected="1" zoomScale="55" zoomScaleNormal="55" workbookViewId="0"/>
  </sheetViews>
  <sheetFormatPr defaultRowHeight="17" x14ac:dyDescent="0.45"/>
  <cols>
    <col min="1" max="1" width="15.25" customWidth="1"/>
    <col min="15" max="15" width="13.25" customWidth="1"/>
  </cols>
  <sheetData>
    <row r="1" spans="1:15" ht="21" x14ac:dyDescent="0.4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" x14ac:dyDescent="0.45">
      <c r="A2" s="37"/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1" x14ac:dyDescent="0.45">
      <c r="A3" s="37"/>
      <c r="B3" s="29" t="s">
        <v>27</v>
      </c>
      <c r="C3" s="29"/>
      <c r="D3" s="29" t="s">
        <v>28</v>
      </c>
      <c r="E3" s="29"/>
      <c r="F3" s="29" t="s">
        <v>29</v>
      </c>
      <c r="G3" s="29"/>
      <c r="H3" s="29" t="s">
        <v>30</v>
      </c>
      <c r="I3" s="29"/>
      <c r="J3" s="29" t="s">
        <v>31</v>
      </c>
      <c r="K3" s="29"/>
      <c r="L3" s="29" t="s">
        <v>32</v>
      </c>
      <c r="M3" s="29"/>
      <c r="N3" s="29" t="s">
        <v>33</v>
      </c>
      <c r="O3" s="29"/>
    </row>
    <row r="4" spans="1:15" ht="17.5" x14ac:dyDescent="0.45">
      <c r="A4" s="38"/>
      <c r="B4" s="31" t="s">
        <v>34</v>
      </c>
      <c r="C4" s="31" t="s">
        <v>35</v>
      </c>
      <c r="D4" s="31" t="s">
        <v>34</v>
      </c>
      <c r="E4" s="31" t="s">
        <v>35</v>
      </c>
      <c r="F4" s="31" t="s">
        <v>34</v>
      </c>
      <c r="G4" s="31" t="s">
        <v>35</v>
      </c>
      <c r="H4" s="31" t="s">
        <v>34</v>
      </c>
      <c r="I4" s="31" t="s">
        <v>35</v>
      </c>
      <c r="J4" s="31" t="s">
        <v>34</v>
      </c>
      <c r="K4" s="31" t="s">
        <v>35</v>
      </c>
      <c r="L4" s="31" t="s">
        <v>34</v>
      </c>
      <c r="M4" s="31" t="s">
        <v>35</v>
      </c>
      <c r="N4" s="31" t="s">
        <v>34</v>
      </c>
      <c r="O4" s="31" t="s">
        <v>35</v>
      </c>
    </row>
    <row r="5" spans="1:15" ht="21" x14ac:dyDescent="0.45">
      <c r="A5" s="32" t="s">
        <v>36</v>
      </c>
      <c r="B5" s="33">
        <v>4.5964564138996629</v>
      </c>
      <c r="C5" s="33">
        <v>0.17524700285529174</v>
      </c>
      <c r="D5" s="33">
        <v>4.4810511885846092</v>
      </c>
      <c r="E5" s="33">
        <v>2.773691225240461E-2</v>
      </c>
      <c r="F5" s="33">
        <v>4.0693181925016892</v>
      </c>
      <c r="G5" s="40">
        <v>0.10735244771018715</v>
      </c>
      <c r="H5" s="33">
        <v>4.5964564138996629</v>
      </c>
      <c r="I5" s="33">
        <v>0.17524700285529174</v>
      </c>
      <c r="J5" s="33">
        <v>4.4810511885846092</v>
      </c>
      <c r="K5" s="33">
        <v>2.773691225240461E-2</v>
      </c>
      <c r="L5" s="33">
        <v>4.0693181925016892</v>
      </c>
      <c r="M5" s="33">
        <v>0.10735244771018715</v>
      </c>
      <c r="N5" s="33"/>
      <c r="O5" s="33"/>
    </row>
    <row r="6" spans="1:15" ht="21" x14ac:dyDescent="0.45">
      <c r="A6" s="32" t="s">
        <v>37</v>
      </c>
      <c r="B6" s="33">
        <v>4.5362605800728897</v>
      </c>
      <c r="C6" s="33">
        <v>6.5698500176796709E-2</v>
      </c>
      <c r="D6" s="33">
        <v>3.7975357122491205</v>
      </c>
      <c r="E6" s="33">
        <v>0.25801242634284594</v>
      </c>
      <c r="F6" s="33">
        <v>3.6512202804777636</v>
      </c>
      <c r="G6" s="40">
        <v>2.498745795227517E-2</v>
      </c>
      <c r="H6" s="33">
        <v>2.7355157135793795</v>
      </c>
      <c r="I6" s="33">
        <v>0.37612705744979125</v>
      </c>
      <c r="J6" s="33">
        <v>2.4435455619088651</v>
      </c>
      <c r="K6" s="33">
        <v>0.16062903372053408</v>
      </c>
      <c r="L6" s="33">
        <v>2.6246785182302466</v>
      </c>
      <c r="M6" s="33">
        <v>4.2819108807544422E-2</v>
      </c>
      <c r="N6" s="33">
        <v>4.1333647303400012</v>
      </c>
      <c r="O6" s="33">
        <v>0.14420874401177536</v>
      </c>
    </row>
    <row r="7" spans="1:15" ht="21" x14ac:dyDescent="0.45">
      <c r="A7" s="32" t="s">
        <v>38</v>
      </c>
      <c r="B7" s="33">
        <v>3.6081815303857656</v>
      </c>
      <c r="C7" s="33">
        <v>0.25698567980100118</v>
      </c>
      <c r="D7" s="33">
        <v>3.6488712739969578</v>
      </c>
      <c r="E7" s="33">
        <v>0.14332166286180942</v>
      </c>
      <c r="F7" s="33">
        <v>3.3298571176762377</v>
      </c>
      <c r="G7" s="40">
        <v>6.1301610208457445E-2</v>
      </c>
      <c r="H7" s="33">
        <v>2.6433692358657734</v>
      </c>
      <c r="I7" s="33">
        <v>8.3120194727706959E-2</v>
      </c>
      <c r="J7" s="33">
        <v>2.4670646674777887</v>
      </c>
      <c r="K7" s="33">
        <v>0.19723898788089808</v>
      </c>
      <c r="L7" s="33">
        <v>2.5527845575370818</v>
      </c>
      <c r="M7" s="33">
        <v>0.11496159626138397</v>
      </c>
      <c r="N7" s="33">
        <v>3.9339297167051903</v>
      </c>
      <c r="O7" s="33">
        <v>0.45903542810808706</v>
      </c>
    </row>
    <row r="8" spans="1:15" ht="21" x14ac:dyDescent="0.45">
      <c r="A8" s="32" t="s">
        <v>39</v>
      </c>
      <c r="B8" s="33">
        <v>4.012245111348741</v>
      </c>
      <c r="C8" s="33">
        <v>0.30508933340330063</v>
      </c>
      <c r="D8" s="33">
        <v>3.2320440533264567</v>
      </c>
      <c r="E8" s="33">
        <v>3.2135224948615197E-2</v>
      </c>
      <c r="F8" s="33">
        <v>3.0605066491798305</v>
      </c>
      <c r="G8" s="33">
        <v>0.13510826370365894</v>
      </c>
      <c r="H8" s="33">
        <v>2.3443073265040399</v>
      </c>
      <c r="I8" s="33">
        <v>0.32735318041550826</v>
      </c>
      <c r="J8" s="33">
        <v>2.3919355072735038</v>
      </c>
      <c r="K8" s="33">
        <v>0.11941831577208052</v>
      </c>
      <c r="L8" s="33">
        <v>2.3660172089383953</v>
      </c>
      <c r="M8" s="33">
        <v>3.0651026644591503E-2</v>
      </c>
      <c r="N8" s="33">
        <v>4.1321569942695362</v>
      </c>
      <c r="O8" s="33">
        <v>0.20768088846845736</v>
      </c>
    </row>
    <row r="9" spans="1:15" ht="21" x14ac:dyDescent="0.45">
      <c r="A9" s="32" t="s">
        <v>40</v>
      </c>
      <c r="B9" s="33">
        <v>5.4643293613608703</v>
      </c>
      <c r="C9" s="33">
        <v>0.74915600251262238</v>
      </c>
      <c r="D9" s="33">
        <v>2.6702813949729935</v>
      </c>
      <c r="E9" s="33">
        <v>2.6258086684688056E-2</v>
      </c>
      <c r="F9" s="33">
        <v>2.5421432755992925</v>
      </c>
      <c r="G9" s="33">
        <v>0.11904441398074687</v>
      </c>
      <c r="H9" s="33">
        <v>4.0143209694730491</v>
      </c>
      <c r="I9" s="33">
        <v>1.4510352807645539</v>
      </c>
      <c r="J9" s="33">
        <v>2.5376777461679692</v>
      </c>
      <c r="K9" s="33">
        <v>0.16967546469198144</v>
      </c>
      <c r="L9" s="33">
        <v>3.2023388075325609</v>
      </c>
      <c r="M9" s="40">
        <v>1.4922221167484322</v>
      </c>
      <c r="N9" s="33">
        <v>2.7908330278661269</v>
      </c>
      <c r="O9" s="33">
        <v>0.18167016608262446</v>
      </c>
    </row>
    <row r="10" spans="1:15" ht="21" x14ac:dyDescent="0.45">
      <c r="A10" s="32" t="s">
        <v>41</v>
      </c>
      <c r="B10" s="33">
        <v>7.1885355909800071</v>
      </c>
      <c r="C10" s="33">
        <v>0.13382714028569759</v>
      </c>
      <c r="D10" s="33">
        <v>2.4554894059536663</v>
      </c>
      <c r="E10" s="33">
        <v>0.32545328683351832</v>
      </c>
      <c r="F10" s="33">
        <v>2.6016723070329273</v>
      </c>
      <c r="G10" s="33">
        <v>0.22905088496665046</v>
      </c>
      <c r="H10" s="33">
        <v>4.4092776795790165</v>
      </c>
      <c r="I10" s="33">
        <v>0.31877232640827835</v>
      </c>
      <c r="J10" s="33">
        <v>2.2933944241988571</v>
      </c>
      <c r="K10" s="33">
        <v>0.27280434913984997</v>
      </c>
      <c r="L10" s="33">
        <v>2.5085049885118376</v>
      </c>
      <c r="M10" s="33">
        <v>0.17537179477962814</v>
      </c>
      <c r="N10" s="33">
        <v>2.5019167408828156</v>
      </c>
      <c r="O10" s="33">
        <v>0.34228573424475783</v>
      </c>
    </row>
    <row r="11" spans="1:15" ht="21" x14ac:dyDescent="0.45">
      <c r="A11" s="32" t="s">
        <v>42</v>
      </c>
      <c r="B11" s="33">
        <v>7.2131900036740939</v>
      </c>
      <c r="C11" s="33">
        <v>0.18150046040068898</v>
      </c>
      <c r="D11" s="33">
        <v>2.6322289296620625</v>
      </c>
      <c r="E11" s="33">
        <v>0.11609187996249268</v>
      </c>
      <c r="F11" s="33">
        <v>2.3325133437317107</v>
      </c>
      <c r="G11" s="33">
        <v>0.37262663058812456</v>
      </c>
      <c r="H11" s="33">
        <v>3.763522388401833</v>
      </c>
      <c r="I11" s="33">
        <v>0.76391728684228155</v>
      </c>
      <c r="J11" s="33">
        <v>2.5869568926205049</v>
      </c>
      <c r="K11" s="33">
        <v>0.18634959723070493</v>
      </c>
      <c r="L11" s="33">
        <v>2.397034584851518</v>
      </c>
      <c r="M11" s="33">
        <v>0.16661505621108305</v>
      </c>
      <c r="N11" s="40">
        <v>3.2077658024541869</v>
      </c>
      <c r="O11" s="40">
        <v>1.0314904503070073</v>
      </c>
    </row>
    <row r="12" spans="1:15" ht="21" x14ac:dyDescent="0.4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21" x14ac:dyDescent="0.45">
      <c r="A13" s="34" t="s">
        <v>43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21" x14ac:dyDescent="0.4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21" x14ac:dyDescent="0.45">
      <c r="A15" s="37"/>
      <c r="B15" s="39" t="s">
        <v>44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21" x14ac:dyDescent="0.45">
      <c r="A16" s="37"/>
      <c r="B16" s="29" t="s">
        <v>27</v>
      </c>
      <c r="C16" s="29"/>
      <c r="D16" s="29" t="s">
        <v>28</v>
      </c>
      <c r="E16" s="29"/>
      <c r="F16" s="29" t="s">
        <v>29</v>
      </c>
      <c r="G16" s="29"/>
      <c r="H16" s="29" t="s">
        <v>30</v>
      </c>
      <c r="I16" s="29"/>
      <c r="J16" s="29" t="s">
        <v>31</v>
      </c>
      <c r="K16" s="29"/>
      <c r="L16" s="29" t="s">
        <v>32</v>
      </c>
      <c r="M16" s="29"/>
      <c r="N16" s="29" t="s">
        <v>33</v>
      </c>
      <c r="O16" s="29"/>
    </row>
    <row r="17" spans="1:15" ht="17.5" x14ac:dyDescent="0.45">
      <c r="A17" s="38"/>
      <c r="B17" s="31" t="s">
        <v>34</v>
      </c>
      <c r="C17" s="31" t="s">
        <v>35</v>
      </c>
      <c r="D17" s="31" t="s">
        <v>34</v>
      </c>
      <c r="E17" s="31" t="s">
        <v>35</v>
      </c>
      <c r="F17" s="31" t="s">
        <v>34</v>
      </c>
      <c r="G17" s="31" t="s">
        <v>35</v>
      </c>
      <c r="H17" s="31" t="s">
        <v>34</v>
      </c>
      <c r="I17" s="31" t="s">
        <v>35</v>
      </c>
      <c r="J17" s="31" t="s">
        <v>34</v>
      </c>
      <c r="K17" s="31" t="s">
        <v>35</v>
      </c>
      <c r="L17" s="31" t="s">
        <v>34</v>
      </c>
      <c r="M17" s="31" t="s">
        <v>35</v>
      </c>
      <c r="N17" s="31" t="s">
        <v>34</v>
      </c>
      <c r="O17" s="31" t="s">
        <v>35</v>
      </c>
    </row>
    <row r="18" spans="1:15" ht="21" x14ac:dyDescent="0.45">
      <c r="A18" s="32" t="s">
        <v>36</v>
      </c>
      <c r="B18" s="33">
        <v>2.5086932393686663</v>
      </c>
      <c r="C18" s="33">
        <v>0.33475683434867287</v>
      </c>
      <c r="D18" s="33">
        <v>2.8743838399009669</v>
      </c>
      <c r="E18" s="33">
        <v>6.126525796676735E-2</v>
      </c>
      <c r="F18" s="33">
        <v>2.3334288060475497</v>
      </c>
      <c r="G18" s="33">
        <v>0.43395602678082973</v>
      </c>
      <c r="H18" s="33">
        <v>2.5086932393686663</v>
      </c>
      <c r="I18" s="33">
        <v>0.33475683434867287</v>
      </c>
      <c r="J18" s="33">
        <v>2.8743838399009669</v>
      </c>
      <c r="K18" s="33">
        <v>6.126525796676735E-2</v>
      </c>
      <c r="L18" s="33">
        <v>2.3334288060475497</v>
      </c>
      <c r="M18" s="33">
        <v>0.43395602678082973</v>
      </c>
      <c r="N18" s="33"/>
      <c r="O18" s="33"/>
    </row>
    <row r="19" spans="1:15" ht="21" x14ac:dyDescent="0.45">
      <c r="A19" s="32" t="s">
        <v>37</v>
      </c>
      <c r="B19" s="33">
        <v>2.5644050608357762</v>
      </c>
      <c r="C19" s="33">
        <v>0.14274451630285406</v>
      </c>
      <c r="D19" s="33">
        <v>2.673001332629434</v>
      </c>
      <c r="E19" s="33">
        <v>0.18513733415064954</v>
      </c>
      <c r="F19" s="33">
        <v>2.4733062242723132</v>
      </c>
      <c r="G19" s="33">
        <v>8.5360574078738469E-2</v>
      </c>
      <c r="H19" s="33">
        <v>2.5710382178610542</v>
      </c>
      <c r="I19" s="33">
        <v>0.11886322093183595</v>
      </c>
      <c r="J19" s="33">
        <v>2.334193812255962</v>
      </c>
      <c r="K19" s="33">
        <v>0.29148827127089572</v>
      </c>
      <c r="L19" s="33">
        <v>2.2000000000000002</v>
      </c>
      <c r="M19" s="33">
        <v>0.4</v>
      </c>
      <c r="N19" s="33">
        <v>2.6421172402379374</v>
      </c>
      <c r="O19" s="33">
        <v>0.23861014970323821</v>
      </c>
    </row>
    <row r="20" spans="1:15" ht="21" x14ac:dyDescent="0.45">
      <c r="A20" s="32" t="s">
        <v>38</v>
      </c>
      <c r="B20" s="33">
        <v>2.1</v>
      </c>
      <c r="C20" s="33">
        <v>1.2</v>
      </c>
      <c r="D20" s="33">
        <v>2.6869630015969648</v>
      </c>
      <c r="E20" s="33">
        <v>9.7278044885277887E-2</v>
      </c>
      <c r="F20" s="33">
        <v>2.6446832079141736</v>
      </c>
      <c r="G20" s="33">
        <v>0.32394905348936426</v>
      </c>
      <c r="H20" s="33">
        <v>2.6433692358657734</v>
      </c>
      <c r="I20" s="33">
        <v>8.3120194727706959E-2</v>
      </c>
      <c r="J20" s="33">
        <v>2.4670646674777887</v>
      </c>
      <c r="K20" s="33">
        <v>0.19723898788089808</v>
      </c>
      <c r="L20" s="33">
        <v>2.5258272879343409</v>
      </c>
      <c r="M20" s="33">
        <v>0.24330012321153491</v>
      </c>
      <c r="N20" s="33">
        <v>2.7071261612635493</v>
      </c>
      <c r="O20" s="33">
        <v>0.46890999785601822</v>
      </c>
    </row>
    <row r="21" spans="1:15" ht="21" x14ac:dyDescent="0.45">
      <c r="A21" s="36" t="s">
        <v>39</v>
      </c>
      <c r="B21" s="33">
        <v>2.5924133540855063</v>
      </c>
      <c r="C21" s="33">
        <v>8.1750353224434594E-2</v>
      </c>
      <c r="D21" s="33">
        <v>2.6500506519565699</v>
      </c>
      <c r="E21" s="33">
        <v>7.3141605274441468E-2</v>
      </c>
      <c r="F21" s="33">
        <v>2.5996129244929178</v>
      </c>
      <c r="G21" s="33">
        <v>0.19975155677990461</v>
      </c>
      <c r="H21" s="33">
        <v>2.2175702459335049</v>
      </c>
      <c r="I21" s="33">
        <v>0.3298723412007748</v>
      </c>
      <c r="J21" s="33">
        <v>2.4563188287412827</v>
      </c>
      <c r="K21" s="33">
        <v>0.26173196332508109</v>
      </c>
      <c r="L21" s="33">
        <v>2.4897979833817452</v>
      </c>
      <c r="M21" s="33">
        <v>0.24794639198352927</v>
      </c>
      <c r="N21" s="33">
        <v>2.5045386818022628</v>
      </c>
      <c r="O21" s="33">
        <v>0.40849300540422784</v>
      </c>
    </row>
    <row r="22" spans="1:15" ht="21" x14ac:dyDescent="0.45">
      <c r="A22" s="36" t="s">
        <v>40</v>
      </c>
      <c r="B22" s="33">
        <v>5.3969575531044711</v>
      </c>
      <c r="C22" s="33">
        <v>0.20733277256127342</v>
      </c>
      <c r="D22" s="33">
        <v>2.6203285353011339</v>
      </c>
      <c r="E22" s="33">
        <v>8.5876880849244552E-2</v>
      </c>
      <c r="F22" s="33">
        <v>2.3470383730181941</v>
      </c>
      <c r="G22" s="33">
        <v>0.22349894912215282</v>
      </c>
      <c r="H22" s="33">
        <v>6.1888517214954009</v>
      </c>
      <c r="I22" s="33">
        <v>0.43480015944214268</v>
      </c>
      <c r="J22" s="33">
        <v>3.6104221692133698</v>
      </c>
      <c r="K22" s="33">
        <v>0.86610534395531358</v>
      </c>
      <c r="L22" s="33">
        <v>2.1848544717428435</v>
      </c>
      <c r="M22" s="33">
        <v>0.3788013507718016</v>
      </c>
      <c r="N22" s="33">
        <v>2.9086220805424809</v>
      </c>
      <c r="O22" s="33">
        <v>0.28620075510742859</v>
      </c>
    </row>
    <row r="23" spans="1:15" ht="21" x14ac:dyDescent="0.45">
      <c r="A23" s="36" t="s">
        <v>41</v>
      </c>
      <c r="B23" s="33">
        <v>5.1816264781086021</v>
      </c>
      <c r="C23" s="33">
        <v>5.5090620559727237E-2</v>
      </c>
      <c r="D23" s="40">
        <v>2.3518713445506405</v>
      </c>
      <c r="E23" s="40">
        <v>0.24922050245740407</v>
      </c>
      <c r="F23" s="33">
        <v>2.1510657285479629</v>
      </c>
      <c r="G23" s="33">
        <v>0.57931934075634872</v>
      </c>
      <c r="H23" s="33">
        <v>7</v>
      </c>
      <c r="I23" s="33">
        <v>0.6</v>
      </c>
      <c r="J23" s="33">
        <v>4.3298688263609222</v>
      </c>
      <c r="K23" s="33">
        <v>2.439784744930436</v>
      </c>
      <c r="L23" s="40">
        <v>2.5870093959602989</v>
      </c>
      <c r="M23" s="40">
        <v>0.17006054122932046</v>
      </c>
      <c r="N23" s="33">
        <v>3.9149194595689489</v>
      </c>
      <c r="O23" s="33">
        <v>1.4258001893800472</v>
      </c>
    </row>
    <row r="24" spans="1:15" ht="21" x14ac:dyDescent="0.45">
      <c r="A24" s="32" t="s">
        <v>42</v>
      </c>
      <c r="B24" s="33">
        <v>5.1349820233966481</v>
      </c>
      <c r="C24" s="33">
        <v>1.7990005498671353</v>
      </c>
      <c r="D24" s="33">
        <v>2.7829728355572296</v>
      </c>
      <c r="E24" s="33">
        <v>0.37508840177439901</v>
      </c>
      <c r="F24" s="33">
        <v>2.298776644102039</v>
      </c>
      <c r="G24" s="33">
        <v>0.51274920601429674</v>
      </c>
      <c r="H24" s="33">
        <v>6.6677357070438505</v>
      </c>
      <c r="I24" s="33">
        <v>0.51516222972351378</v>
      </c>
      <c r="J24" s="33">
        <v>2.5145164221905101</v>
      </c>
      <c r="K24" s="33">
        <v>0.46825446352348254</v>
      </c>
      <c r="L24" s="33">
        <v>2.2729001012706842</v>
      </c>
      <c r="M24" s="33">
        <v>0.35314344805468534</v>
      </c>
      <c r="N24" s="33">
        <v>2.4608142410467768</v>
      </c>
      <c r="O24" s="33">
        <v>0.26134749424105524</v>
      </c>
    </row>
  </sheetData>
  <mergeCells count="18">
    <mergeCell ref="B3:C3"/>
    <mergeCell ref="D3:E3"/>
    <mergeCell ref="F3:G3"/>
    <mergeCell ref="H3:I3"/>
    <mergeCell ref="A2:A4"/>
    <mergeCell ref="A15:A17"/>
    <mergeCell ref="L16:M16"/>
    <mergeCell ref="B15:O15"/>
    <mergeCell ref="B2:O2"/>
    <mergeCell ref="N3:O3"/>
    <mergeCell ref="N16:O16"/>
    <mergeCell ref="B16:C16"/>
    <mergeCell ref="D16:E16"/>
    <mergeCell ref="F16:G16"/>
    <mergeCell ref="H16:I16"/>
    <mergeCell ref="J16:K16"/>
    <mergeCell ref="J3:K3"/>
    <mergeCell ref="L3:M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S62"/>
  <sheetViews>
    <sheetView zoomScale="70" zoomScaleNormal="70" workbookViewId="0"/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3" width="13.33203125" style="1" bestFit="1" customWidth="1"/>
    <col min="14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17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B11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2</v>
      </c>
      <c r="E5" s="7">
        <v>108</v>
      </c>
      <c r="F5" s="10">
        <f t="shared" ref="F5:F10" si="0">LOG(E5*10^D5*(10+50)/10)</f>
        <v>4.8115750058705933</v>
      </c>
      <c r="G5" s="10"/>
      <c r="H5" s="11"/>
      <c r="I5" s="12"/>
      <c r="L5" s="28" t="s">
        <v>0</v>
      </c>
      <c r="M5" s="13">
        <f>H10</f>
        <v>4.5964564138996629</v>
      </c>
      <c r="N5" s="13">
        <f>H16</f>
        <v>2.7355157135793795</v>
      </c>
      <c r="O5" s="13">
        <f>H22</f>
        <v>2.6433692358657734</v>
      </c>
      <c r="P5" s="13">
        <f>H28</f>
        <v>2.3443073265040399</v>
      </c>
      <c r="Q5" s="13">
        <f>H34</f>
        <v>4.0143209694730491</v>
      </c>
      <c r="R5" s="13">
        <f>H40</f>
        <v>4.4092776795790165</v>
      </c>
      <c r="S5" s="13">
        <f>H46</f>
        <v>3.763522388401833</v>
      </c>
    </row>
    <row r="6" spans="1:19" x14ac:dyDescent="0.45">
      <c r="B6" s="6" t="s">
        <v>12</v>
      </c>
      <c r="C6" s="7">
        <v>1</v>
      </c>
      <c r="D6" s="9">
        <v>2</v>
      </c>
      <c r="E6" s="7">
        <v>90</v>
      </c>
      <c r="F6" s="10">
        <f t="shared" si="0"/>
        <v>4.7323937598229682</v>
      </c>
      <c r="G6" s="10">
        <f>AVERAGE(F5,F6)</f>
        <v>4.7719843828467807</v>
      </c>
      <c r="H6" s="11"/>
      <c r="I6" s="12"/>
      <c r="L6" s="28" t="s">
        <v>1</v>
      </c>
      <c r="M6" s="13">
        <f>I10</f>
        <v>0.17524700285529174</v>
      </c>
      <c r="N6" s="13">
        <f>I16</f>
        <v>0.37612705744979125</v>
      </c>
      <c r="O6" s="13">
        <f>I22</f>
        <v>8.3120194727706959E-2</v>
      </c>
      <c r="P6" s="13">
        <f>I28</f>
        <v>0.32735318041550826</v>
      </c>
      <c r="Q6" s="13">
        <f>I34</f>
        <v>1.4510352807645539</v>
      </c>
      <c r="R6" s="13">
        <f>I40</f>
        <v>0.31877232640827835</v>
      </c>
      <c r="S6" s="13">
        <f>I46</f>
        <v>0.76391728684228155</v>
      </c>
    </row>
    <row r="7" spans="1:19" x14ac:dyDescent="0.45">
      <c r="B7" s="6" t="s">
        <v>12</v>
      </c>
      <c r="C7" s="7">
        <v>2</v>
      </c>
      <c r="D7" s="9">
        <v>2</v>
      </c>
      <c r="E7" s="7">
        <v>45</v>
      </c>
      <c r="F7" s="10">
        <f t="shared" si="0"/>
        <v>4.4313637641589869</v>
      </c>
      <c r="G7" s="10"/>
      <c r="H7" s="11"/>
      <c r="I7" s="12"/>
    </row>
    <row r="8" spans="1:19" x14ac:dyDescent="0.45">
      <c r="B8" s="6" t="s">
        <v>12</v>
      </c>
      <c r="C8" s="7">
        <v>2</v>
      </c>
      <c r="D8" s="9">
        <v>2</v>
      </c>
      <c r="E8" s="7">
        <v>43</v>
      </c>
      <c r="F8" s="10">
        <f t="shared" si="0"/>
        <v>4.4116197059632301</v>
      </c>
      <c r="G8" s="10">
        <f t="shared" ref="G8:G10" si="1">AVERAGE(F7,F8)</f>
        <v>4.4214917350611085</v>
      </c>
      <c r="H8" s="11"/>
      <c r="I8" s="12"/>
    </row>
    <row r="9" spans="1:19" x14ac:dyDescent="0.45">
      <c r="B9" s="6" t="s">
        <v>12</v>
      </c>
      <c r="C9" s="7">
        <v>3</v>
      </c>
      <c r="D9" s="9">
        <v>2</v>
      </c>
      <c r="E9" s="7">
        <v>60</v>
      </c>
      <c r="F9" s="10">
        <f t="shared" si="0"/>
        <v>4.5563025007672868</v>
      </c>
      <c r="G9" s="10"/>
      <c r="H9" s="11"/>
      <c r="I9" s="12"/>
    </row>
    <row r="10" spans="1:19" x14ac:dyDescent="0.45">
      <c r="B10" s="6" t="s">
        <v>12</v>
      </c>
      <c r="C10" s="7">
        <v>3</v>
      </c>
      <c r="D10" s="9">
        <v>2</v>
      </c>
      <c r="E10" s="7">
        <v>72</v>
      </c>
      <c r="F10" s="10">
        <f t="shared" si="0"/>
        <v>4.6354837468149119</v>
      </c>
      <c r="G10" s="10">
        <f t="shared" si="1"/>
        <v>4.5958931237910994</v>
      </c>
      <c r="H10" s="11">
        <f>AVERAGE(G6,G8,G10)</f>
        <v>4.5964564138996629</v>
      </c>
      <c r="I10" s="12">
        <f>STDEV(G6,G8,G10)</f>
        <v>0.17524700285529174</v>
      </c>
      <c r="J10" s="24"/>
      <c r="K10" s="24"/>
    </row>
    <row r="11" spans="1:19" x14ac:dyDescent="0.45">
      <c r="B11" s="6">
        <v>0</v>
      </c>
      <c r="C11" s="9">
        <v>1</v>
      </c>
      <c r="D11" s="9">
        <v>0</v>
      </c>
      <c r="E11" s="9">
        <f>28*3</f>
        <v>84</v>
      </c>
      <c r="F11" s="17">
        <f>LOG(E11*10^D11*(10+50)/10)</f>
        <v>2.7024305364455254</v>
      </c>
      <c r="G11" s="17"/>
      <c r="H11" s="18"/>
      <c r="I11" s="12"/>
    </row>
    <row r="12" spans="1:19" x14ac:dyDescent="0.45">
      <c r="B12" s="6">
        <v>0</v>
      </c>
      <c r="C12" s="9">
        <v>1</v>
      </c>
      <c r="D12" s="9">
        <v>0</v>
      </c>
      <c r="E12" s="9">
        <f>21*3</f>
        <v>63</v>
      </c>
      <c r="F12" s="17">
        <f>LOG(E12*10^D12*(10+50)/10)</f>
        <v>2.5774917998372255</v>
      </c>
      <c r="G12" s="17">
        <f>AVERAGE(F11,F12)</f>
        <v>2.6399611681413755</v>
      </c>
      <c r="H12" s="18"/>
      <c r="I12" s="12"/>
    </row>
    <row r="13" spans="1:19" x14ac:dyDescent="0.45">
      <c r="B13" s="6">
        <v>0</v>
      </c>
      <c r="C13" s="9">
        <v>2</v>
      </c>
      <c r="D13" s="9">
        <v>0</v>
      </c>
      <c r="E13" s="9">
        <f>15*3</f>
        <v>45</v>
      </c>
      <c r="F13" s="17">
        <f t="shared" ref="F13:F16" si="2">LOG(E13*10^D13*(10+50)/10)</f>
        <v>2.4313637641589874</v>
      </c>
      <c r="G13" s="17"/>
      <c r="H13" s="18"/>
      <c r="I13" s="12"/>
    </row>
    <row r="14" spans="1:19" x14ac:dyDescent="0.45">
      <c r="B14" s="6">
        <v>0</v>
      </c>
      <c r="C14" s="9">
        <v>2</v>
      </c>
      <c r="D14" s="9">
        <v>0</v>
      </c>
      <c r="E14" s="9">
        <f>14*3</f>
        <v>42</v>
      </c>
      <c r="F14" s="17">
        <f t="shared" si="2"/>
        <v>2.4014005407815442</v>
      </c>
      <c r="G14" s="17">
        <f>AVERAGE(F13,F14)</f>
        <v>2.4163821524702658</v>
      </c>
      <c r="H14" s="18"/>
      <c r="I14" s="12"/>
    </row>
    <row r="15" spans="1:19" x14ac:dyDescent="0.45">
      <c r="B15" s="6">
        <v>0</v>
      </c>
      <c r="C15" s="9">
        <v>3</v>
      </c>
      <c r="D15" s="9">
        <v>0</v>
      </c>
      <c r="E15" s="9">
        <f>67*3</f>
        <v>201</v>
      </c>
      <c r="F15" s="17">
        <f t="shared" si="2"/>
        <v>3.0813473078041325</v>
      </c>
      <c r="G15" s="17"/>
      <c r="H15" s="18"/>
      <c r="I15" s="12"/>
    </row>
    <row r="16" spans="1:19" x14ac:dyDescent="0.45">
      <c r="B16" s="6">
        <v>0</v>
      </c>
      <c r="C16" s="9">
        <v>3</v>
      </c>
      <c r="D16" s="9">
        <v>0</v>
      </c>
      <c r="E16" s="9">
        <f>92*3</f>
        <v>276</v>
      </c>
      <c r="F16" s="17">
        <f t="shared" si="2"/>
        <v>3.2190603324488611</v>
      </c>
      <c r="G16" s="17">
        <f>AVERAGE(F15,F16)</f>
        <v>3.1502038201264968</v>
      </c>
      <c r="H16" s="11">
        <f>AVERAGE(G12,G14,G16)</f>
        <v>2.7355157135793795</v>
      </c>
      <c r="I16" s="12">
        <f>STDEV(G12,G14,G16)</f>
        <v>0.37612705744979125</v>
      </c>
      <c r="J16" s="24"/>
      <c r="K16" s="24"/>
    </row>
    <row r="17" spans="2:11" x14ac:dyDescent="0.45">
      <c r="B17" s="6">
        <v>1</v>
      </c>
      <c r="C17" s="9">
        <v>1</v>
      </c>
      <c r="D17" s="9">
        <v>0</v>
      </c>
      <c r="E17" s="9">
        <f>32*3</f>
        <v>96</v>
      </c>
      <c r="F17" s="17">
        <f>LOG(E17*10^D17*(10+50)/10)</f>
        <v>2.7604224834232118</v>
      </c>
      <c r="G17" s="17"/>
      <c r="H17" s="11"/>
      <c r="I17" s="12"/>
    </row>
    <row r="18" spans="2:11" x14ac:dyDescent="0.45">
      <c r="B18" s="6">
        <v>1</v>
      </c>
      <c r="C18" s="9">
        <v>1</v>
      </c>
      <c r="D18" s="9">
        <v>0</v>
      </c>
      <c r="E18" s="9">
        <f>23*3</f>
        <v>69</v>
      </c>
      <c r="F18" s="17">
        <f>LOG(E18*10^D18*(10+50)/10)</f>
        <v>2.6170003411208991</v>
      </c>
      <c r="G18" s="17">
        <f t="shared" ref="G18:G22" si="3">AVERAGE(F17,F18)</f>
        <v>2.6887114122720552</v>
      </c>
      <c r="H18" s="11"/>
      <c r="I18" s="12"/>
    </row>
    <row r="19" spans="2:11" x14ac:dyDescent="0.45">
      <c r="B19" s="6">
        <v>1</v>
      </c>
      <c r="C19" s="9">
        <v>2</v>
      </c>
      <c r="D19" s="9">
        <v>0</v>
      </c>
      <c r="E19" s="9">
        <f>26*3</f>
        <v>78</v>
      </c>
      <c r="F19" s="17">
        <f t="shared" ref="F19:F22" si="4">LOG(E19*10^D19*(10+50)/10)</f>
        <v>2.6702458530741242</v>
      </c>
      <c r="G19" s="17"/>
      <c r="H19" s="11"/>
      <c r="I19" s="12"/>
    </row>
    <row r="20" spans="2:11" x14ac:dyDescent="0.45">
      <c r="B20" s="6">
        <v>1</v>
      </c>
      <c r="C20" s="9">
        <v>2</v>
      </c>
      <c r="D20" s="9">
        <v>0</v>
      </c>
      <c r="E20" s="9">
        <f>29*3</f>
        <v>87</v>
      </c>
      <c r="F20" s="17">
        <f t="shared" si="4"/>
        <v>2.7176705030022621</v>
      </c>
      <c r="G20" s="17">
        <f t="shared" si="3"/>
        <v>2.6939581780381934</v>
      </c>
      <c r="H20" s="11"/>
      <c r="I20" s="12"/>
    </row>
    <row r="21" spans="2:11" x14ac:dyDescent="0.45">
      <c r="B21" s="6">
        <v>1</v>
      </c>
      <c r="C21" s="9">
        <v>3</v>
      </c>
      <c r="D21" s="9">
        <v>0</v>
      </c>
      <c r="E21" s="9">
        <f>24*3</f>
        <v>72</v>
      </c>
      <c r="F21" s="17">
        <f t="shared" si="4"/>
        <v>2.6354837468149119</v>
      </c>
      <c r="G21" s="17"/>
      <c r="H21" s="11"/>
      <c r="I21" s="12"/>
    </row>
    <row r="22" spans="2:11" x14ac:dyDescent="0.45">
      <c r="B22" s="6">
        <v>1</v>
      </c>
      <c r="C22" s="9">
        <v>3</v>
      </c>
      <c r="D22" s="9">
        <v>0</v>
      </c>
      <c r="E22" s="7">
        <f>16*3</f>
        <v>48</v>
      </c>
      <c r="F22" s="17">
        <f t="shared" si="4"/>
        <v>2.459392487759231</v>
      </c>
      <c r="G22" s="17">
        <f t="shared" si="3"/>
        <v>2.5474381172870713</v>
      </c>
      <c r="H22" s="11">
        <f t="shared" ref="H22" si="5">AVERAGE(G18,G20,G22)</f>
        <v>2.6433692358657734</v>
      </c>
      <c r="I22" s="12">
        <f t="shared" ref="I22" si="6">STDEV(G18,G20,G22)</f>
        <v>8.3120194727706959E-2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16*3</f>
        <v>48</v>
      </c>
      <c r="F23" s="10">
        <f>LOG(E23*10^D23*(10+50)/10)</f>
        <v>2.459392487759231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12*3</f>
        <v>36</v>
      </c>
      <c r="F24" s="10">
        <f>LOG(E24*10^D24*(10+50)/10)</f>
        <v>2.3344537511509307</v>
      </c>
      <c r="G24" s="10">
        <f t="shared" ref="G24" si="7">AVERAGE(F23,F24)</f>
        <v>2.3969231194550806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6*3</f>
        <v>18</v>
      </c>
      <c r="F25" s="10">
        <f t="shared" ref="F25:F28" si="8">LOG(E25*10^D25*(10+50)/10)</f>
        <v>2.0334237554869499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5*3</f>
        <v>15</v>
      </c>
      <c r="F26" s="10">
        <f t="shared" si="8"/>
        <v>1.954242509439325</v>
      </c>
      <c r="G26" s="10">
        <f t="shared" ref="G26" si="9">AVERAGE(F25,F26)</f>
        <v>1.9938331324631373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18*3</f>
        <v>54</v>
      </c>
      <c r="F27" s="10">
        <f t="shared" si="8"/>
        <v>2.510545010206612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33*3</f>
        <v>99</v>
      </c>
      <c r="F28" s="10">
        <f t="shared" si="8"/>
        <v>2.7737864449811935</v>
      </c>
      <c r="G28" s="10">
        <f t="shared" ref="G28" si="10">AVERAGE(F27,F28)</f>
        <v>2.6421657275939028</v>
      </c>
      <c r="H28" s="11">
        <f t="shared" ref="H28" si="11">AVERAGE(G24,G26,G28)</f>
        <v>2.3443073265040399</v>
      </c>
      <c r="I28" s="12">
        <f t="shared" ref="I28" si="12">STDEV(G24,G26,G28)</f>
        <v>0.32735318041550826</v>
      </c>
      <c r="J28" s="24"/>
      <c r="K28" s="24"/>
    </row>
    <row r="29" spans="2:11" x14ac:dyDescent="0.45">
      <c r="B29" s="6">
        <v>3</v>
      </c>
      <c r="C29" s="7">
        <v>1</v>
      </c>
      <c r="D29" s="9">
        <v>2</v>
      </c>
      <c r="E29" s="7">
        <v>28</v>
      </c>
      <c r="F29" s="10">
        <f>LOG(E29*10^D29*(10+50)/10)</f>
        <v>4.2253092817258633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2</v>
      </c>
      <c r="E30" s="7">
        <v>24</v>
      </c>
      <c r="F30" s="10">
        <f>LOG(E30*10^D30*(10+50)/10)</f>
        <v>4.1583624920952493</v>
      </c>
      <c r="G30" s="10">
        <f t="shared" ref="G30" si="13">AVERAGE(F29,F30)</f>
        <v>4.1918358869105568</v>
      </c>
      <c r="H30" s="11"/>
      <c r="I30" s="12"/>
    </row>
    <row r="31" spans="2:11" x14ac:dyDescent="0.45">
      <c r="B31" s="6">
        <v>3</v>
      </c>
      <c r="C31" s="7">
        <v>2</v>
      </c>
      <c r="D31" s="9">
        <v>0</v>
      </c>
      <c r="E31" s="7">
        <f>15*3</f>
        <v>45</v>
      </c>
      <c r="F31" s="10">
        <f t="shared" ref="F31:F34" si="14">LOG(E31*10^D31*(10+50)/10)</f>
        <v>2.4313637641589874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0</v>
      </c>
      <c r="E32" s="7">
        <f>19*3</f>
        <v>57</v>
      </c>
      <c r="F32" s="10">
        <f t="shared" si="14"/>
        <v>2.5340261060561349</v>
      </c>
      <c r="G32" s="10">
        <f t="shared" ref="G32" si="15">AVERAGE(F31,F32)</f>
        <v>2.4826949351075611</v>
      </c>
      <c r="H32" s="11"/>
      <c r="I32" s="12"/>
    </row>
    <row r="33" spans="2:11" x14ac:dyDescent="0.45">
      <c r="B33" s="6">
        <v>3</v>
      </c>
      <c r="C33" s="7">
        <v>3</v>
      </c>
      <c r="D33" s="9">
        <v>2</v>
      </c>
      <c r="E33" s="7">
        <f>37*8</f>
        <v>296</v>
      </c>
      <c r="F33" s="10">
        <f t="shared" si="14"/>
        <v>5.2494429614425826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2</v>
      </c>
      <c r="E34" s="7">
        <f>64*8</f>
        <v>512</v>
      </c>
      <c r="F34" s="10">
        <f t="shared" si="14"/>
        <v>5.4874212113594742</v>
      </c>
      <c r="G34" s="10">
        <f t="shared" ref="G34" si="16">AVERAGE(F33,F34)</f>
        <v>5.3684320864010289</v>
      </c>
      <c r="H34" s="11">
        <f t="shared" ref="H34" si="17">AVERAGE(G30,G32,G34)</f>
        <v>4.0143209694730491</v>
      </c>
      <c r="I34" s="12">
        <f t="shared" ref="I34" si="18">STDEV(G30,G32,G34)</f>
        <v>1.4510352807645539</v>
      </c>
      <c r="J34" s="24"/>
      <c r="K34" s="24"/>
    </row>
    <row r="35" spans="2:11" x14ac:dyDescent="0.45">
      <c r="B35" s="6">
        <v>4</v>
      </c>
      <c r="C35" s="7">
        <v>1</v>
      </c>
      <c r="D35" s="7">
        <v>2</v>
      </c>
      <c r="E35" s="7">
        <v>45</v>
      </c>
      <c r="F35" s="10">
        <f>LOG(E35*10^D35*(10+50)/10)</f>
        <v>4.4313637641589869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7">
        <v>2</v>
      </c>
      <c r="E36" s="7">
        <v>27</v>
      </c>
      <c r="F36" s="10">
        <f>LOG(E36*10^D36*(10+50)/10)</f>
        <v>4.2095150145426308</v>
      </c>
      <c r="G36" s="10">
        <f t="shared" ref="G36" si="19">AVERAGE(F35,F36)</f>
        <v>4.3204393893508088</v>
      </c>
      <c r="H36" s="11"/>
      <c r="I36" s="12"/>
    </row>
    <row r="37" spans="2:11" x14ac:dyDescent="0.45">
      <c r="B37" s="6">
        <v>4</v>
      </c>
      <c r="C37" s="7">
        <v>2</v>
      </c>
      <c r="D37" s="7">
        <v>2</v>
      </c>
      <c r="E37" s="7">
        <f>88</f>
        <v>88</v>
      </c>
      <c r="F37" s="10">
        <f t="shared" ref="F37:F40" si="20">LOG(E37*10^D37*(10+50)/10)</f>
        <v>4.7226339225338121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7">
        <v>2</v>
      </c>
      <c r="E38" s="7">
        <v>106</v>
      </c>
      <c r="F38" s="10">
        <f t="shared" si="20"/>
        <v>4.8034571156484143</v>
      </c>
      <c r="G38" s="10">
        <f t="shared" ref="G38" si="21">AVERAGE(F37,F38)</f>
        <v>4.7630455190911132</v>
      </c>
      <c r="H38" s="11"/>
      <c r="I38" s="12"/>
    </row>
    <row r="39" spans="2:11" x14ac:dyDescent="0.45">
      <c r="B39" s="6">
        <v>4</v>
      </c>
      <c r="C39" s="7">
        <v>3</v>
      </c>
      <c r="D39" s="23">
        <v>2</v>
      </c>
      <c r="E39" s="23">
        <v>20</v>
      </c>
      <c r="F39" s="10">
        <f t="shared" si="20"/>
        <v>4.0791812460476251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20">
        <v>2</v>
      </c>
      <c r="E40" s="23">
        <v>27</v>
      </c>
      <c r="F40" s="10">
        <f t="shared" si="20"/>
        <v>4.2095150145426308</v>
      </c>
      <c r="G40" s="10">
        <f t="shared" ref="G40" si="22">AVERAGE(F39,F40)</f>
        <v>4.1443481302951284</v>
      </c>
      <c r="H40" s="11">
        <f t="shared" ref="H40" si="23">AVERAGE(G36,G38,G40)</f>
        <v>4.4092776795790165</v>
      </c>
      <c r="I40" s="12">
        <f t="shared" ref="I40" si="24">STDEV(G36,G38,G40)</f>
        <v>0.31877232640827835</v>
      </c>
      <c r="J40" s="24"/>
      <c r="K40" s="24"/>
    </row>
    <row r="41" spans="2:11" x14ac:dyDescent="0.45">
      <c r="B41" s="6">
        <v>5</v>
      </c>
      <c r="C41" s="7">
        <v>1</v>
      </c>
      <c r="D41" s="7">
        <v>0</v>
      </c>
      <c r="E41" s="7">
        <f>111*3</f>
        <v>333</v>
      </c>
      <c r="F41" s="10">
        <f>LOG(E41*10^D41*(10+50)/10)</f>
        <v>3.3005954838899636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7">
        <v>0</v>
      </c>
      <c r="E42" s="7">
        <f>106*3</f>
        <v>318</v>
      </c>
      <c r="F42" s="10">
        <f>LOG(E42*10^D42*(10+50)/10)</f>
        <v>3.2805783703680764</v>
      </c>
      <c r="G42" s="10">
        <f t="shared" ref="G42" si="25">AVERAGE(F41,F42)</f>
        <v>3.29058692712902</v>
      </c>
      <c r="H42" s="11"/>
      <c r="I42" s="12"/>
    </row>
    <row r="43" spans="2:11" x14ac:dyDescent="0.45">
      <c r="B43" s="6">
        <v>5</v>
      </c>
      <c r="C43" s="7">
        <v>2</v>
      </c>
      <c r="D43" s="7">
        <v>0</v>
      </c>
      <c r="E43" s="7">
        <f>132*3</f>
        <v>396</v>
      </c>
      <c r="F43" s="10">
        <f t="shared" ref="F43:F46" si="26">LOG(E43*10^D43*(10+50)/10)</f>
        <v>3.375846436309156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7">
        <v>0</v>
      </c>
      <c r="E44" s="7">
        <f>120*3</f>
        <v>360</v>
      </c>
      <c r="F44" s="10">
        <f t="shared" si="26"/>
        <v>3.3344537511509307</v>
      </c>
      <c r="G44" s="10">
        <f t="shared" ref="G44" si="27">AVERAGE(F43,F44)</f>
        <v>3.3551500937300434</v>
      </c>
      <c r="H44" s="11"/>
      <c r="I44" s="12"/>
    </row>
    <row r="45" spans="2:11" x14ac:dyDescent="0.45">
      <c r="B45" s="6">
        <v>5</v>
      </c>
      <c r="C45" s="7">
        <v>3</v>
      </c>
      <c r="D45" s="7">
        <v>2</v>
      </c>
      <c r="E45" s="7">
        <v>66</v>
      </c>
      <c r="F45" s="10">
        <f t="shared" si="26"/>
        <v>4.5976951859255122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7">
        <v>2</v>
      </c>
      <c r="E46" s="7">
        <v>82</v>
      </c>
      <c r="F46" s="10">
        <f t="shared" si="26"/>
        <v>4.6919651027673606</v>
      </c>
      <c r="G46" s="10">
        <f t="shared" ref="G46" si="28">AVERAGE(F45,F46)</f>
        <v>4.6448301443464359</v>
      </c>
      <c r="H46" s="11">
        <f t="shared" ref="H46" si="29">AVERAGE(G42,G44,G46)</f>
        <v>3.763522388401833</v>
      </c>
      <c r="I46" s="12">
        <f t="shared" ref="I46" si="30">STDEV(G42,G44,G46)</f>
        <v>0.76391728684228155</v>
      </c>
      <c r="J46" s="24"/>
      <c r="K46" s="24"/>
    </row>
    <row r="59" spans="3:3" x14ac:dyDescent="0.45">
      <c r="C59" s="5"/>
    </row>
    <row r="60" spans="3:3" x14ac:dyDescent="0.45">
      <c r="C60" s="5"/>
    </row>
    <row r="61" spans="3:3" x14ac:dyDescent="0.45">
      <c r="C61" s="5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S46"/>
  <sheetViews>
    <sheetView zoomScale="70" zoomScaleNormal="70" workbookViewId="0"/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0" width="8.6640625" style="14"/>
    <col min="11" max="11" width="10.9140625" style="14" bestFit="1" customWidth="1"/>
    <col min="12" max="12" width="13.25" style="1" customWidth="1"/>
    <col min="13" max="14" width="13.33203125" style="1" bestFit="1" customWidth="1"/>
    <col min="15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13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B16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2</v>
      </c>
      <c r="E5" s="9">
        <v>54</v>
      </c>
      <c r="F5" s="17">
        <f t="shared" ref="F5:F22" si="0">LOG(E5*10^D5*(10+50)/10)</f>
        <v>4.510545010206612</v>
      </c>
      <c r="G5" s="10"/>
      <c r="H5" s="11"/>
      <c r="I5" s="12"/>
      <c r="L5" s="28" t="s">
        <v>0</v>
      </c>
      <c r="M5" s="13">
        <f>H10</f>
        <v>4.4810511885846092</v>
      </c>
      <c r="N5" s="13">
        <f>H16</f>
        <v>3.7975357122491205</v>
      </c>
      <c r="O5" s="13">
        <f>H22</f>
        <v>3.6488712739969578</v>
      </c>
      <c r="P5" s="13">
        <f>H28</f>
        <v>3.2320440533264567</v>
      </c>
      <c r="Q5" s="13">
        <f>H34</f>
        <v>2.6702813949729935</v>
      </c>
      <c r="R5" s="13">
        <f>H40</f>
        <v>2.4554894059536663</v>
      </c>
      <c r="S5" s="13">
        <f>H46</f>
        <v>2.6322289296620625</v>
      </c>
    </row>
    <row r="6" spans="1:19" x14ac:dyDescent="0.45">
      <c r="B6" s="6" t="s">
        <v>12</v>
      </c>
      <c r="C6" s="7">
        <v>1</v>
      </c>
      <c r="D6" s="9">
        <v>2</v>
      </c>
      <c r="E6" s="9">
        <v>42</v>
      </c>
      <c r="F6" s="17">
        <f t="shared" si="0"/>
        <v>4.4014005407815437</v>
      </c>
      <c r="G6" s="10">
        <f>AVERAGE(F5,F6)</f>
        <v>4.4559727754940779</v>
      </c>
      <c r="H6" s="11"/>
      <c r="I6" s="12"/>
      <c r="L6" s="28" t="s">
        <v>1</v>
      </c>
      <c r="M6" s="13">
        <f>I10</f>
        <v>2.773691225240461E-2</v>
      </c>
      <c r="N6" s="13">
        <f>I16</f>
        <v>0.25801242634284594</v>
      </c>
      <c r="O6" s="13">
        <f>I22</f>
        <v>0.14332166286180942</v>
      </c>
      <c r="P6" s="13">
        <f>I28</f>
        <v>3.2135224948615197E-2</v>
      </c>
      <c r="Q6" s="13">
        <f>I34</f>
        <v>2.6258086684688056E-2</v>
      </c>
      <c r="R6" s="13">
        <f>I40</f>
        <v>0.32545328683351832</v>
      </c>
      <c r="S6" s="13">
        <f>I46</f>
        <v>0.11609187996249268</v>
      </c>
    </row>
    <row r="7" spans="1:19" x14ac:dyDescent="0.45">
      <c r="B7" s="6" t="s">
        <v>12</v>
      </c>
      <c r="C7" s="7">
        <v>2</v>
      </c>
      <c r="D7" s="9">
        <v>2</v>
      </c>
      <c r="E7" s="9">
        <v>53</v>
      </c>
      <c r="F7" s="17">
        <f t="shared" si="0"/>
        <v>4.502427119984433</v>
      </c>
      <c r="G7" s="10"/>
      <c r="H7" s="11"/>
      <c r="I7" s="12"/>
    </row>
    <row r="8" spans="1:19" x14ac:dyDescent="0.45">
      <c r="B8" s="6" t="s">
        <v>12</v>
      </c>
      <c r="C8" s="7">
        <v>2</v>
      </c>
      <c r="D8" s="9">
        <v>2</v>
      </c>
      <c r="E8" s="9">
        <v>47</v>
      </c>
      <c r="F8" s="17">
        <f t="shared" si="0"/>
        <v>4.4502491083193609</v>
      </c>
      <c r="G8" s="10">
        <f>AVERAGE(F7,F8)</f>
        <v>4.476338114151897</v>
      </c>
      <c r="H8" s="11"/>
      <c r="I8" s="12"/>
    </row>
    <row r="9" spans="1:19" x14ac:dyDescent="0.45">
      <c r="B9" s="6" t="s">
        <v>12</v>
      </c>
      <c r="C9" s="7">
        <v>3</v>
      </c>
      <c r="D9" s="9">
        <v>2</v>
      </c>
      <c r="E9" s="9">
        <v>73</v>
      </c>
      <c r="F9" s="17">
        <f t="shared" si="0"/>
        <v>4.6414741105040997</v>
      </c>
      <c r="G9" s="10"/>
      <c r="H9" s="11"/>
      <c r="I9" s="12"/>
    </row>
    <row r="10" spans="1:19" x14ac:dyDescent="0.45">
      <c r="B10" s="6" t="s">
        <v>12</v>
      </c>
      <c r="C10" s="7">
        <v>3</v>
      </c>
      <c r="D10" s="9">
        <v>2</v>
      </c>
      <c r="E10" s="9">
        <v>40</v>
      </c>
      <c r="F10" s="17">
        <f t="shared" si="0"/>
        <v>4.3802112417116064</v>
      </c>
      <c r="G10" s="10">
        <f>AVERAGE(F9,F10)</f>
        <v>4.5108426761078526</v>
      </c>
      <c r="H10" s="11">
        <f>AVERAGE(G6,G8,G10)</f>
        <v>4.4810511885846092</v>
      </c>
      <c r="I10" s="12">
        <f>STDEV(G6,G8,G10)</f>
        <v>2.773691225240461E-2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9">
        <v>600</v>
      </c>
      <c r="F11" s="17">
        <f t="shared" si="0"/>
        <v>3.5563025007672873</v>
      </c>
      <c r="G11" s="10"/>
      <c r="H11" s="11"/>
      <c r="I11" s="12"/>
    </row>
    <row r="12" spans="1:19" x14ac:dyDescent="0.45">
      <c r="B12" s="6">
        <v>0</v>
      </c>
      <c r="C12" s="7">
        <v>1</v>
      </c>
      <c r="D12" s="9">
        <v>0</v>
      </c>
      <c r="E12" s="9">
        <f>214*3</f>
        <v>642</v>
      </c>
      <c r="F12" s="17">
        <f t="shared" si="0"/>
        <v>3.585686278452497</v>
      </c>
      <c r="G12" s="10">
        <f>AVERAGE(F11,F12)</f>
        <v>3.5709943896098921</v>
      </c>
      <c r="H12" s="11"/>
      <c r="I12" s="12"/>
    </row>
    <row r="13" spans="1:19" x14ac:dyDescent="0.45">
      <c r="B13" s="6">
        <v>0</v>
      </c>
      <c r="C13" s="7">
        <v>2</v>
      </c>
      <c r="D13" s="9">
        <v>0</v>
      </c>
      <c r="E13" s="9">
        <v>2700</v>
      </c>
      <c r="F13" s="17">
        <f t="shared" si="0"/>
        <v>4.2095150145426308</v>
      </c>
      <c r="G13" s="10"/>
      <c r="H13" s="11"/>
      <c r="I13" s="12"/>
    </row>
    <row r="14" spans="1:19" x14ac:dyDescent="0.45">
      <c r="B14" s="6">
        <v>0</v>
      </c>
      <c r="C14" s="7">
        <v>2</v>
      </c>
      <c r="D14" s="9">
        <v>0</v>
      </c>
      <c r="E14" s="9">
        <f>492*3</f>
        <v>1476</v>
      </c>
      <c r="F14" s="17">
        <f t="shared" si="0"/>
        <v>3.9472376078706666</v>
      </c>
      <c r="G14" s="10">
        <f t="shared" ref="G14:G22" si="1">AVERAGE(F13,F14)</f>
        <v>4.0783763112066485</v>
      </c>
      <c r="H14" s="11"/>
      <c r="I14" s="12"/>
    </row>
    <row r="15" spans="1:19" x14ac:dyDescent="0.45">
      <c r="B15" s="6">
        <v>0</v>
      </c>
      <c r="C15" s="7">
        <v>3</v>
      </c>
      <c r="D15" s="9">
        <v>0</v>
      </c>
      <c r="E15" s="9">
        <f>292*3</f>
        <v>876</v>
      </c>
      <c r="F15" s="17">
        <f t="shared" si="0"/>
        <v>3.7206553565517244</v>
      </c>
      <c r="G15" s="10"/>
      <c r="H15" s="11"/>
      <c r="I15" s="12"/>
    </row>
    <row r="16" spans="1:19" x14ac:dyDescent="0.45">
      <c r="B16" s="6">
        <v>0</v>
      </c>
      <c r="C16" s="7">
        <v>3</v>
      </c>
      <c r="D16" s="9">
        <v>0</v>
      </c>
      <c r="E16" s="9">
        <f>324*3</f>
        <v>972</v>
      </c>
      <c r="F16" s="17">
        <f t="shared" si="0"/>
        <v>3.765817515309918</v>
      </c>
      <c r="G16" s="10">
        <f t="shared" si="1"/>
        <v>3.7432364359308212</v>
      </c>
      <c r="H16" s="11">
        <f>AVERAGE(G12,G14,G16)</f>
        <v>3.7975357122491205</v>
      </c>
      <c r="I16" s="12">
        <f>STDEV(G12,G14,G16)</f>
        <v>0.25801242634284594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9">
        <f>184*3</f>
        <v>552</v>
      </c>
      <c r="F17" s="17">
        <f t="shared" si="0"/>
        <v>3.5200903281128424</v>
      </c>
      <c r="G17" s="10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9">
        <f>156*3</f>
        <v>468</v>
      </c>
      <c r="F18" s="17">
        <f t="shared" si="0"/>
        <v>3.4483971034577676</v>
      </c>
      <c r="G18" s="10">
        <f t="shared" si="1"/>
        <v>3.484243715785305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9">
        <f>252*3</f>
        <v>756</v>
      </c>
      <c r="F19" s="17">
        <f t="shared" si="0"/>
        <v>3.6566730458848502</v>
      </c>
      <c r="G19" s="10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9">
        <f>332*3</f>
        <v>996</v>
      </c>
      <c r="F20" s="17">
        <f t="shared" si="0"/>
        <v>3.7764105888073423</v>
      </c>
      <c r="G20" s="10">
        <f t="shared" si="1"/>
        <v>3.716541817346096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7">
        <f>352*3</f>
        <v>1056</v>
      </c>
      <c r="F21" s="17">
        <f t="shared" si="0"/>
        <v>3.8018151685814372</v>
      </c>
      <c r="G21" s="10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272*3</f>
        <v>816</v>
      </c>
      <c r="F22" s="17">
        <f t="shared" si="0"/>
        <v>3.6898414091375047</v>
      </c>
      <c r="G22" s="10">
        <f t="shared" si="1"/>
        <v>3.7458282888594709</v>
      </c>
      <c r="H22" s="11">
        <f t="shared" ref="H22" si="2">AVERAGE(G18,G20,G22)</f>
        <v>3.6488712739969578</v>
      </c>
      <c r="I22" s="12">
        <f t="shared" ref="I22" si="3">STDEV(G18,G20,G22)</f>
        <v>0.14332166286180942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120*3</f>
        <v>360</v>
      </c>
      <c r="F23" s="10">
        <f>LOG(E23*10^D23*(10+50)/10)</f>
        <v>3.3344537511509307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86*3</f>
        <v>258</v>
      </c>
      <c r="F24" s="10">
        <f>LOG(E24*10^D24*(10+50)/10)</f>
        <v>3.1897709563468739</v>
      </c>
      <c r="G24" s="10">
        <f t="shared" ref="G24" si="4">AVERAGE(F23,F24)</f>
        <v>3.2621123537489023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62*3</f>
        <v>186</v>
      </c>
      <c r="F25" s="10">
        <f t="shared" ref="F25:F28" si="5">LOG(E25*10^D25*(10+50)/10)</f>
        <v>3.0476641946015599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124*3</f>
        <v>372</v>
      </c>
      <c r="F26" s="10">
        <f t="shared" si="5"/>
        <v>3.3486941902655412</v>
      </c>
      <c r="G26" s="10">
        <f t="shared" ref="G26" si="6">AVERAGE(F25,F26)</f>
        <v>3.1981791924335505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72*3</f>
        <v>216</v>
      </c>
      <c r="F27" s="10">
        <f t="shared" si="5"/>
        <v>3.1126050015345745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127*3</f>
        <v>381</v>
      </c>
      <c r="F28" s="10">
        <f t="shared" si="5"/>
        <v>3.3590762260592628</v>
      </c>
      <c r="G28" s="10">
        <f t="shared" ref="G28" si="7">AVERAGE(F27,F28)</f>
        <v>3.2358406137969187</v>
      </c>
      <c r="H28" s="11">
        <f t="shared" ref="H28" si="8">AVERAGE(G24,G26,G28)</f>
        <v>3.2320440533264567</v>
      </c>
      <c r="I28" s="12">
        <f t="shared" ref="I28" si="9">STDEV(G24,G26,G28)</f>
        <v>3.2135224948615197E-2</v>
      </c>
      <c r="J28" s="24"/>
      <c r="K28" s="24"/>
    </row>
    <row r="29" spans="2:11" x14ac:dyDescent="0.45">
      <c r="B29" s="6">
        <v>3</v>
      </c>
      <c r="C29" s="7">
        <v>1</v>
      </c>
      <c r="D29" s="9">
        <v>0</v>
      </c>
      <c r="E29" s="7">
        <f>25*3</f>
        <v>75</v>
      </c>
      <c r="F29" s="10">
        <f>LOG(E29*10^D29*(10+50)/10)</f>
        <v>2.6532125137753435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0</v>
      </c>
      <c r="E30" s="7">
        <f>29*3</f>
        <v>87</v>
      </c>
      <c r="F30" s="10">
        <f>LOG(E30*10^D30*(10+50)/10)</f>
        <v>2.7176705030022621</v>
      </c>
      <c r="G30" s="10">
        <f t="shared" ref="G30" si="10">AVERAGE(F29,F30)</f>
        <v>2.685441508388803</v>
      </c>
      <c r="H30" s="11"/>
      <c r="I30" s="12"/>
    </row>
    <row r="31" spans="2:11" x14ac:dyDescent="0.45">
      <c r="B31" s="6">
        <v>3</v>
      </c>
      <c r="C31" s="7">
        <v>2</v>
      </c>
      <c r="D31" s="9">
        <v>0</v>
      </c>
      <c r="E31" s="7">
        <f>21*3</f>
        <v>63</v>
      </c>
      <c r="F31" s="10">
        <f t="shared" ref="F31:F34" si="11">LOG(E31*10^D31*(10+50)/10)</f>
        <v>2.5774917998372255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0</v>
      </c>
      <c r="E32" s="7">
        <f>28*3</f>
        <v>84</v>
      </c>
      <c r="F32" s="10">
        <f t="shared" si="11"/>
        <v>2.7024305364455254</v>
      </c>
      <c r="G32" s="10">
        <f t="shared" ref="G32" si="12">AVERAGE(F31,F32)</f>
        <v>2.6399611681413755</v>
      </c>
      <c r="H32" s="11"/>
      <c r="I32" s="12"/>
    </row>
    <row r="33" spans="2:11" x14ac:dyDescent="0.45">
      <c r="B33" s="6">
        <v>3</v>
      </c>
      <c r="C33" s="7">
        <v>3</v>
      </c>
      <c r="D33" s="9">
        <v>0</v>
      </c>
      <c r="E33" s="7">
        <f>25*3</f>
        <v>75</v>
      </c>
      <c r="F33" s="10">
        <f t="shared" si="11"/>
        <v>2.6532125137753435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0</v>
      </c>
      <c r="E34" s="7">
        <f>29*3</f>
        <v>87</v>
      </c>
      <c r="F34" s="10">
        <f t="shared" si="11"/>
        <v>2.7176705030022621</v>
      </c>
      <c r="G34" s="10">
        <f t="shared" ref="G34" si="13">AVERAGE(F33,F34)</f>
        <v>2.685441508388803</v>
      </c>
      <c r="H34" s="11">
        <f t="shared" ref="H34" si="14">AVERAGE(G30,G32,G34)</f>
        <v>2.6702813949729935</v>
      </c>
      <c r="I34" s="12">
        <f t="shared" ref="I34" si="15">STDEV(G30,G32,G34)</f>
        <v>2.6258086684688056E-2</v>
      </c>
      <c r="J34" s="24"/>
      <c r="K34" s="24"/>
    </row>
    <row r="35" spans="2:11" x14ac:dyDescent="0.45">
      <c r="B35" s="6">
        <v>4</v>
      </c>
      <c r="C35" s="7">
        <v>1</v>
      </c>
      <c r="D35" s="9">
        <v>0</v>
      </c>
      <c r="E35" s="7">
        <f>33*3</f>
        <v>99</v>
      </c>
      <c r="F35" s="10">
        <f>LOG(E35*10^D35*(10+50)/10)</f>
        <v>2.7737864449811935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9">
        <v>0</v>
      </c>
      <c r="E36" s="7">
        <f>34*3</f>
        <v>102</v>
      </c>
      <c r="F36" s="10">
        <f>LOG(E36*10^D36*(10+50)/10)</f>
        <v>2.7867514221455614</v>
      </c>
      <c r="G36" s="10">
        <f t="shared" ref="G36" si="16">AVERAGE(F35,F36)</f>
        <v>2.7802689335633772</v>
      </c>
      <c r="H36" s="11"/>
      <c r="I36" s="12"/>
    </row>
    <row r="37" spans="2:11" x14ac:dyDescent="0.45">
      <c r="B37" s="6">
        <v>4</v>
      </c>
      <c r="C37" s="7">
        <v>2</v>
      </c>
      <c r="D37" s="9">
        <v>0</v>
      </c>
      <c r="E37" s="7">
        <f>4*3</f>
        <v>12</v>
      </c>
      <c r="F37" s="10">
        <f t="shared" ref="F37:F40" si="17">LOG(E37*10^D37*(10+50)/10)</f>
        <v>1.8573324964312685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9">
        <v>0</v>
      </c>
      <c r="E38" s="7">
        <f>14*3</f>
        <v>42</v>
      </c>
      <c r="F38" s="10">
        <f t="shared" si="17"/>
        <v>2.4014005407815442</v>
      </c>
      <c r="G38" s="10">
        <f t="shared" ref="G38" si="18">AVERAGE(F37,F38)</f>
        <v>2.1293665186064064</v>
      </c>
      <c r="H38" s="11"/>
      <c r="I38" s="12"/>
    </row>
    <row r="39" spans="2:11" x14ac:dyDescent="0.45">
      <c r="B39" s="6">
        <v>4</v>
      </c>
      <c r="C39" s="7">
        <v>3</v>
      </c>
      <c r="D39" s="9">
        <v>0</v>
      </c>
      <c r="E39" s="7">
        <f>23*3</f>
        <v>69</v>
      </c>
      <c r="F39" s="10">
        <f t="shared" si="17"/>
        <v>2.6170003411208991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9">
        <v>0</v>
      </c>
      <c r="E40" s="7">
        <f>11*3</f>
        <v>33</v>
      </c>
      <c r="F40" s="10">
        <f t="shared" si="17"/>
        <v>2.2966651902615309</v>
      </c>
      <c r="G40" s="10">
        <f t="shared" ref="G40" si="19">AVERAGE(F39,F40)</f>
        <v>2.4568327656912148</v>
      </c>
      <c r="H40" s="11">
        <f t="shared" ref="H40" si="20">AVERAGE(G36,G38,G40)</f>
        <v>2.4554894059536663</v>
      </c>
      <c r="I40" s="12">
        <f t="shared" ref="I40" si="21">STDEV(G36,G38,G40)</f>
        <v>0.32545328683351832</v>
      </c>
      <c r="J40" s="24"/>
      <c r="K40" s="24"/>
    </row>
    <row r="41" spans="2:11" x14ac:dyDescent="0.45">
      <c r="B41" s="6">
        <v>5</v>
      </c>
      <c r="C41" s="7">
        <v>1</v>
      </c>
      <c r="D41" s="7">
        <v>0</v>
      </c>
      <c r="E41" s="7">
        <f>29*3</f>
        <v>87</v>
      </c>
      <c r="F41" s="10">
        <f>LOG(E41*10^D41*(10+50)/10)</f>
        <v>2.7176705030022621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7">
        <v>0</v>
      </c>
      <c r="E42" s="7">
        <f>15*3</f>
        <v>45</v>
      </c>
      <c r="F42" s="10">
        <f>LOG(E42*10^D42*(10+50)/10)</f>
        <v>2.4313637641589874</v>
      </c>
      <c r="G42" s="10">
        <f t="shared" ref="G42" si="22">AVERAGE(F41,F42)</f>
        <v>2.574517133580625</v>
      </c>
      <c r="H42" s="11"/>
      <c r="I42" s="12"/>
    </row>
    <row r="43" spans="2:11" x14ac:dyDescent="0.45">
      <c r="B43" s="6">
        <v>5</v>
      </c>
      <c r="C43" s="7">
        <v>2</v>
      </c>
      <c r="D43" s="7">
        <v>0</v>
      </c>
      <c r="E43" s="7">
        <f>16*3</f>
        <v>48</v>
      </c>
      <c r="F43" s="10">
        <f t="shared" ref="F43:F46" si="23">LOG(E43*10^D43*(10+50)/10)</f>
        <v>2.459392487759231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7">
        <v>0</v>
      </c>
      <c r="E44" s="7">
        <f>25*3</f>
        <v>75</v>
      </c>
      <c r="F44" s="10">
        <f t="shared" si="23"/>
        <v>2.6532125137753435</v>
      </c>
      <c r="G44" s="10">
        <f t="shared" ref="G44" si="24">AVERAGE(F43,F44)</f>
        <v>2.5563025007672873</v>
      </c>
      <c r="H44" s="11"/>
      <c r="I44" s="12"/>
    </row>
    <row r="45" spans="2:11" x14ac:dyDescent="0.45">
      <c r="B45" s="6">
        <v>5</v>
      </c>
      <c r="C45" s="7">
        <v>3</v>
      </c>
      <c r="D45" s="7">
        <v>0</v>
      </c>
      <c r="E45" s="7">
        <f>35*3</f>
        <v>105</v>
      </c>
      <c r="F45" s="10">
        <f t="shared" si="23"/>
        <v>2.7993405494535817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7">
        <v>0</v>
      </c>
      <c r="E46" s="7">
        <f>30*3</f>
        <v>90</v>
      </c>
      <c r="F46" s="10">
        <f t="shared" si="23"/>
        <v>2.7323937598229686</v>
      </c>
      <c r="G46" s="10">
        <f t="shared" ref="G46" si="25">AVERAGE(F45,F46)</f>
        <v>2.7658671546382751</v>
      </c>
      <c r="H46" s="11">
        <f t="shared" ref="H46" si="26">AVERAGE(G42,G44,G46)</f>
        <v>2.6322289296620625</v>
      </c>
      <c r="I46" s="12">
        <f t="shared" ref="I46" si="27">STDEV(G42,G44,G46)</f>
        <v>0.11609187996249268</v>
      </c>
      <c r="J46" s="24"/>
      <c r="K46" s="2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S62"/>
  <sheetViews>
    <sheetView zoomScale="70" zoomScaleNormal="70" workbookViewId="0"/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3" width="13.33203125" style="1" bestFit="1" customWidth="1"/>
    <col min="14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18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B11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2</v>
      </c>
      <c r="E5" s="9">
        <v>54</v>
      </c>
      <c r="F5" s="17">
        <f t="shared" ref="F5:F10" si="0">LOG(E5*10^D5*(10+50)/10)</f>
        <v>4.510545010206612</v>
      </c>
      <c r="G5" s="10"/>
      <c r="H5" s="11"/>
      <c r="I5" s="12"/>
      <c r="L5" s="28" t="s">
        <v>0</v>
      </c>
      <c r="M5" s="13">
        <f>G6</f>
        <v>4.4559727754940779</v>
      </c>
      <c r="N5" s="13">
        <f>H16</f>
        <v>2.4435455619088651</v>
      </c>
      <c r="O5" s="13">
        <f>H22</f>
        <v>2.4670646674777887</v>
      </c>
      <c r="P5" s="13">
        <f>H28</f>
        <v>2.3919355072735038</v>
      </c>
      <c r="Q5" s="13">
        <f>H34</f>
        <v>2.5376777461679692</v>
      </c>
      <c r="R5" s="13">
        <f>H40</f>
        <v>2.2933944241988571</v>
      </c>
      <c r="S5" s="13">
        <f>H46</f>
        <v>2.5869568926205049</v>
      </c>
    </row>
    <row r="6" spans="1:19" x14ac:dyDescent="0.45">
      <c r="B6" s="6" t="s">
        <v>12</v>
      </c>
      <c r="C6" s="7">
        <v>1</v>
      </c>
      <c r="D6" s="9">
        <v>2</v>
      </c>
      <c r="E6" s="9">
        <v>42</v>
      </c>
      <c r="F6" s="17">
        <f t="shared" si="0"/>
        <v>4.4014005407815437</v>
      </c>
      <c r="G6" s="10">
        <f>AVERAGE(F5,F6)</f>
        <v>4.4559727754940779</v>
      </c>
      <c r="H6" s="11"/>
      <c r="I6" s="12"/>
      <c r="L6" s="28" t="s">
        <v>1</v>
      </c>
      <c r="M6" s="13">
        <f>I6</f>
        <v>0</v>
      </c>
      <c r="N6" s="13">
        <f>I16</f>
        <v>0.16062903372053408</v>
      </c>
      <c r="O6" s="13">
        <f>I22</f>
        <v>0.19723898788089808</v>
      </c>
      <c r="P6" s="13">
        <f>I28</f>
        <v>0.11941831577208052</v>
      </c>
      <c r="Q6" s="13">
        <f>I34</f>
        <v>0.16967546469198144</v>
      </c>
      <c r="R6" s="13">
        <f>I40</f>
        <v>0.27280434913984997</v>
      </c>
      <c r="S6" s="13">
        <f>I46</f>
        <v>0.18634959723070493</v>
      </c>
    </row>
    <row r="7" spans="1:19" x14ac:dyDescent="0.45">
      <c r="B7" s="6" t="s">
        <v>12</v>
      </c>
      <c r="C7" s="7">
        <v>2</v>
      </c>
      <c r="D7" s="9">
        <v>2</v>
      </c>
      <c r="E7" s="9">
        <v>53</v>
      </c>
      <c r="F7" s="17">
        <f t="shared" si="0"/>
        <v>4.502427119984433</v>
      </c>
      <c r="G7" s="10"/>
      <c r="H7" s="11"/>
      <c r="I7" s="12"/>
    </row>
    <row r="8" spans="1:19" x14ac:dyDescent="0.45">
      <c r="B8" s="6" t="s">
        <v>12</v>
      </c>
      <c r="C8" s="7">
        <v>2</v>
      </c>
      <c r="D8" s="9">
        <v>2</v>
      </c>
      <c r="E8" s="9">
        <v>47</v>
      </c>
      <c r="F8" s="17">
        <f t="shared" si="0"/>
        <v>4.4502491083193609</v>
      </c>
      <c r="G8" s="10">
        <f>AVERAGE(F7,F8)</f>
        <v>4.476338114151897</v>
      </c>
      <c r="H8" s="11"/>
      <c r="I8" s="12"/>
    </row>
    <row r="9" spans="1:19" x14ac:dyDescent="0.45">
      <c r="B9" s="6" t="s">
        <v>12</v>
      </c>
      <c r="C9" s="7">
        <v>3</v>
      </c>
      <c r="D9" s="9">
        <v>2</v>
      </c>
      <c r="E9" s="9">
        <v>73</v>
      </c>
      <c r="F9" s="17">
        <f t="shared" si="0"/>
        <v>4.6414741105040997</v>
      </c>
      <c r="G9" s="10"/>
      <c r="H9" s="11"/>
      <c r="I9" s="12"/>
    </row>
    <row r="10" spans="1:19" x14ac:dyDescent="0.45">
      <c r="B10" s="6" t="s">
        <v>12</v>
      </c>
      <c r="C10" s="7">
        <v>3</v>
      </c>
      <c r="D10" s="9">
        <v>2</v>
      </c>
      <c r="E10" s="9">
        <v>40</v>
      </c>
      <c r="F10" s="17">
        <f t="shared" si="0"/>
        <v>4.3802112417116064</v>
      </c>
      <c r="G10" s="10">
        <f>AVERAGE(F9,F10)</f>
        <v>4.5108426761078526</v>
      </c>
      <c r="H10" s="11">
        <f>AVERAGE(G6,G8,G10)</f>
        <v>4.4810511885846092</v>
      </c>
      <c r="I10" s="12">
        <f>STDEV(G6,G8,G10)</f>
        <v>2.773691225240461E-2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9">
        <f>8*3</f>
        <v>24</v>
      </c>
      <c r="F11" s="17">
        <f t="shared" ref="F11:F22" si="1">LOG(E11*10^D11*(10+50)/10)</f>
        <v>2.1583624920952498</v>
      </c>
      <c r="G11" s="17"/>
      <c r="H11" s="18"/>
      <c r="I11" s="12"/>
    </row>
    <row r="12" spans="1:19" x14ac:dyDescent="0.45">
      <c r="B12" s="6">
        <v>0</v>
      </c>
      <c r="C12" s="7">
        <v>1</v>
      </c>
      <c r="D12" s="9">
        <v>0</v>
      </c>
      <c r="E12" s="20">
        <f>13*3</f>
        <v>39</v>
      </c>
      <c r="F12" s="17">
        <f t="shared" si="1"/>
        <v>2.369215857410143</v>
      </c>
      <c r="G12" s="17">
        <f>AVERAGE(F11,F12)</f>
        <v>2.2637891747526964</v>
      </c>
      <c r="H12" s="18"/>
      <c r="I12" s="12"/>
    </row>
    <row r="13" spans="1:19" x14ac:dyDescent="0.45">
      <c r="B13" s="6">
        <v>0</v>
      </c>
      <c r="C13" s="7">
        <v>2</v>
      </c>
      <c r="D13" s="9">
        <v>0</v>
      </c>
      <c r="E13" s="9">
        <f>20*3</f>
        <v>60</v>
      </c>
      <c r="F13" s="17">
        <f t="shared" si="1"/>
        <v>2.5563025007672873</v>
      </c>
      <c r="G13" s="17"/>
      <c r="H13" s="18"/>
      <c r="I13" s="12"/>
    </row>
    <row r="14" spans="1:19" x14ac:dyDescent="0.45">
      <c r="B14" s="6">
        <v>0</v>
      </c>
      <c r="C14" s="7">
        <v>2</v>
      </c>
      <c r="D14" s="9">
        <v>0</v>
      </c>
      <c r="E14" s="20">
        <f>15*3</f>
        <v>45</v>
      </c>
      <c r="F14" s="17">
        <f t="shared" si="1"/>
        <v>2.4313637641589874</v>
      </c>
      <c r="G14" s="17">
        <f>AVERAGE(F13,F14)</f>
        <v>2.4938331324631373</v>
      </c>
      <c r="H14" s="18"/>
      <c r="I14" s="12"/>
    </row>
    <row r="15" spans="1:19" x14ac:dyDescent="0.45">
      <c r="B15" s="6">
        <v>0</v>
      </c>
      <c r="C15" s="7">
        <v>3</v>
      </c>
      <c r="D15" s="9">
        <v>0</v>
      </c>
      <c r="E15" s="9">
        <f>24*3</f>
        <v>72</v>
      </c>
      <c r="F15" s="17">
        <f t="shared" si="1"/>
        <v>2.6354837468149119</v>
      </c>
      <c r="G15" s="17"/>
      <c r="H15" s="18"/>
      <c r="I15" s="12"/>
    </row>
    <row r="16" spans="1:19" x14ac:dyDescent="0.45">
      <c r="B16" s="6">
        <v>0</v>
      </c>
      <c r="C16" s="7">
        <v>3</v>
      </c>
      <c r="D16" s="9">
        <v>0</v>
      </c>
      <c r="E16" s="20">
        <f>18*3</f>
        <v>54</v>
      </c>
      <c r="F16" s="17">
        <f t="shared" si="1"/>
        <v>2.510545010206612</v>
      </c>
      <c r="G16" s="17">
        <f>AVERAGE(F15,F16)</f>
        <v>2.573014378510762</v>
      </c>
      <c r="H16" s="11">
        <f>AVERAGE(G12,G14,G16)</f>
        <v>2.4435455619088651</v>
      </c>
      <c r="I16" s="12">
        <f>STDEV(G12,G14,G16)</f>
        <v>0.16062903372053408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9">
        <f>23*3</f>
        <v>69</v>
      </c>
      <c r="F17" s="17">
        <f t="shared" si="1"/>
        <v>2.6170003411208991</v>
      </c>
      <c r="G17" s="17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9">
        <f>24*3</f>
        <v>72</v>
      </c>
      <c r="F18" s="17">
        <f t="shared" si="1"/>
        <v>2.6354837468149119</v>
      </c>
      <c r="G18" s="17">
        <f t="shared" ref="G18:G22" si="2">AVERAGE(F17,F18)</f>
        <v>2.6262420439679053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9">
        <f>8*3</f>
        <v>24</v>
      </c>
      <c r="F19" s="17">
        <f t="shared" si="1"/>
        <v>2.1583624920952498</v>
      </c>
      <c r="G19" s="17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20">
        <f>12*3</f>
        <v>36</v>
      </c>
      <c r="F20" s="17">
        <f t="shared" si="1"/>
        <v>2.3344537511509307</v>
      </c>
      <c r="G20" s="17">
        <f t="shared" si="2"/>
        <v>2.24640812162309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7">
        <f>16*3</f>
        <v>48</v>
      </c>
      <c r="F21" s="17">
        <f t="shared" si="1"/>
        <v>2.459392487759231</v>
      </c>
      <c r="G21" s="17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22*3</f>
        <v>66</v>
      </c>
      <c r="F22" s="17">
        <f t="shared" si="1"/>
        <v>2.5976951859255122</v>
      </c>
      <c r="G22" s="17">
        <f t="shared" si="2"/>
        <v>2.5285438368423714</v>
      </c>
      <c r="H22" s="11">
        <f t="shared" ref="H22" si="3">AVERAGE(G18,G20,G22)</f>
        <v>2.4670646674777887</v>
      </c>
      <c r="I22" s="12">
        <f t="shared" ref="I22" si="4">STDEV(G18,G20,G22)</f>
        <v>0.19723898788089808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13*3</f>
        <v>39</v>
      </c>
      <c r="F23" s="10">
        <f>LOG(E23*10^D23*(10+50)/10)</f>
        <v>2.369215857410143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14*3</f>
        <v>42</v>
      </c>
      <c r="F24" s="10">
        <f>LOG(E24*10^D24*(10+50)/10)</f>
        <v>2.4014005407815442</v>
      </c>
      <c r="G24" s="10">
        <f t="shared" ref="G24" si="5">AVERAGE(F23,F24)</f>
        <v>2.3853081990958436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10*3</f>
        <v>30</v>
      </c>
      <c r="F25" s="10">
        <f t="shared" ref="F25:F28" si="6">LOG(E25*10^D25*(10+50)/10)</f>
        <v>2.255272505103306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11*3</f>
        <v>33</v>
      </c>
      <c r="F26" s="10">
        <f t="shared" si="6"/>
        <v>2.2966651902615309</v>
      </c>
      <c r="G26" s="10">
        <f t="shared" ref="G26" si="7">AVERAGE(F25,F26)</f>
        <v>2.2759688476824183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22*3</f>
        <v>66</v>
      </c>
      <c r="F27" s="10">
        <f t="shared" si="6"/>
        <v>2.5976951859255122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15*3</f>
        <v>45</v>
      </c>
      <c r="F28" s="10">
        <f t="shared" si="6"/>
        <v>2.4313637641589874</v>
      </c>
      <c r="G28" s="10">
        <f t="shared" ref="G28" si="8">AVERAGE(F27,F28)</f>
        <v>2.5145294750422496</v>
      </c>
      <c r="H28" s="11">
        <f t="shared" ref="H28" si="9">AVERAGE(G24,G26,G28)</f>
        <v>2.3919355072735038</v>
      </c>
      <c r="I28" s="12">
        <f t="shared" ref="I28" si="10">STDEV(G24,G26,G28)</f>
        <v>0.11941831577208052</v>
      </c>
      <c r="J28" s="24"/>
      <c r="K28" s="24"/>
    </row>
    <row r="29" spans="2:11" x14ac:dyDescent="0.45">
      <c r="B29" s="6">
        <v>3</v>
      </c>
      <c r="C29" s="7">
        <v>1</v>
      </c>
      <c r="D29" s="9">
        <v>0</v>
      </c>
      <c r="E29" s="7">
        <f>17*3</f>
        <v>51</v>
      </c>
      <c r="F29" s="10">
        <f>LOG(E29*10^D29*(10+50)/10)</f>
        <v>2.4857214264815801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0</v>
      </c>
      <c r="E30" s="7">
        <f>27*3</f>
        <v>81</v>
      </c>
      <c r="F30" s="10">
        <f>LOG(E30*10^D30*(10+50)/10)</f>
        <v>2.6866362692622934</v>
      </c>
      <c r="G30" s="10">
        <f t="shared" ref="G30" si="11">AVERAGE(F29,F30)</f>
        <v>2.5861788478719365</v>
      </c>
      <c r="H30" s="11"/>
      <c r="I30" s="12"/>
    </row>
    <row r="31" spans="2:11" x14ac:dyDescent="0.45">
      <c r="B31" s="6">
        <v>3</v>
      </c>
      <c r="C31" s="7">
        <v>2</v>
      </c>
      <c r="D31" s="9">
        <v>0</v>
      </c>
      <c r="E31" s="7">
        <f>14*3</f>
        <v>42</v>
      </c>
      <c r="F31" s="10">
        <f t="shared" ref="F31:F34" si="12">LOG(E31*10^D31*(10+50)/10)</f>
        <v>2.4014005407815442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0</v>
      </c>
      <c r="E32" s="7">
        <f>11*3</f>
        <v>33</v>
      </c>
      <c r="F32" s="10">
        <f t="shared" si="12"/>
        <v>2.2966651902615309</v>
      </c>
      <c r="G32" s="10">
        <f t="shared" ref="G32" si="13">AVERAGE(F31,F32)</f>
        <v>2.3490328655215373</v>
      </c>
      <c r="H32" s="11"/>
      <c r="I32" s="12"/>
    </row>
    <row r="33" spans="2:11" x14ac:dyDescent="0.45">
      <c r="B33" s="6">
        <v>3</v>
      </c>
      <c r="C33" s="7">
        <v>3</v>
      </c>
      <c r="D33" s="9">
        <v>0</v>
      </c>
      <c r="E33" s="7">
        <f>28*3</f>
        <v>84</v>
      </c>
      <c r="F33" s="10">
        <f t="shared" si="12"/>
        <v>2.7024305364455254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0</v>
      </c>
      <c r="E34" s="7">
        <f>25*3</f>
        <v>75</v>
      </c>
      <c r="F34" s="10">
        <f t="shared" si="12"/>
        <v>2.6532125137753435</v>
      </c>
      <c r="G34" s="10">
        <f t="shared" ref="G34" si="14">AVERAGE(F33,F34)</f>
        <v>2.6778215251104345</v>
      </c>
      <c r="H34" s="11">
        <f t="shared" ref="H34" si="15">AVERAGE(G30,G32,G34)</f>
        <v>2.5376777461679692</v>
      </c>
      <c r="I34" s="12">
        <f t="shared" ref="I34" si="16">STDEV(G30,G32,G34)</f>
        <v>0.16967546469198144</v>
      </c>
      <c r="J34" s="24"/>
      <c r="K34" s="24"/>
    </row>
    <row r="35" spans="2:11" x14ac:dyDescent="0.45">
      <c r="B35" s="6">
        <v>4</v>
      </c>
      <c r="C35" s="7">
        <v>1</v>
      </c>
      <c r="D35" s="9">
        <v>0</v>
      </c>
      <c r="E35" s="7">
        <f>17*3</f>
        <v>51</v>
      </c>
      <c r="F35" s="10">
        <f>LOG(E35*10^D35*(10+50)/10)</f>
        <v>2.4857214264815801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9">
        <v>0</v>
      </c>
      <c r="E36" s="7">
        <f>23*3</f>
        <v>69</v>
      </c>
      <c r="F36" s="10">
        <f>LOG(E36*10^D36*(10+50)/10)</f>
        <v>2.6170003411208991</v>
      </c>
      <c r="G36" s="10">
        <f t="shared" ref="G36" si="17">AVERAGE(F35,F36)</f>
        <v>2.5513608838012396</v>
      </c>
      <c r="H36" s="11"/>
      <c r="I36" s="12"/>
    </row>
    <row r="37" spans="2:11" x14ac:dyDescent="0.45">
      <c r="B37" s="6">
        <v>4</v>
      </c>
      <c r="C37" s="7">
        <v>2</v>
      </c>
      <c r="D37" s="9">
        <v>0</v>
      </c>
      <c r="E37" s="7">
        <v>42</v>
      </c>
      <c r="F37" s="10">
        <f t="shared" ref="F37:F40" si="18">LOG(E37*10^D37*(10+50)/10)</f>
        <v>2.4014005407815442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9">
        <v>0</v>
      </c>
      <c r="E38" s="7">
        <v>29</v>
      </c>
      <c r="F38" s="10">
        <f t="shared" si="18"/>
        <v>2.2405492482825999</v>
      </c>
      <c r="G38" s="10">
        <f t="shared" ref="G38" si="19">AVERAGE(F37,F38)</f>
        <v>2.3209748945320721</v>
      </c>
      <c r="H38" s="11"/>
      <c r="I38" s="12"/>
    </row>
    <row r="39" spans="2:11" x14ac:dyDescent="0.45">
      <c r="B39" s="6">
        <v>4</v>
      </c>
      <c r="C39" s="7">
        <v>3</v>
      </c>
      <c r="D39" s="9">
        <v>0</v>
      </c>
      <c r="E39" s="7">
        <f>8*3</f>
        <v>24</v>
      </c>
      <c r="F39" s="10">
        <f t="shared" si="18"/>
        <v>2.1583624920952498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9">
        <v>0</v>
      </c>
      <c r="E40" s="7">
        <f>4*3</f>
        <v>12</v>
      </c>
      <c r="F40" s="10">
        <f t="shared" si="18"/>
        <v>1.8573324964312685</v>
      </c>
      <c r="G40" s="10">
        <f t="shared" ref="G40" si="20">AVERAGE(F39,F40)</f>
        <v>2.0078474942632591</v>
      </c>
      <c r="H40" s="11">
        <f t="shared" ref="H40" si="21">AVERAGE(G36,G38,G40)</f>
        <v>2.2933944241988571</v>
      </c>
      <c r="I40" s="12">
        <f t="shared" ref="I40" si="22">STDEV(G36,G38,G40)</f>
        <v>0.27280434913984997</v>
      </c>
      <c r="J40" s="24"/>
      <c r="K40" s="24"/>
    </row>
    <row r="41" spans="2:11" x14ac:dyDescent="0.45">
      <c r="B41" s="6">
        <v>5</v>
      </c>
      <c r="C41" s="7">
        <v>1</v>
      </c>
      <c r="D41" s="7">
        <v>0</v>
      </c>
      <c r="E41" s="7">
        <f>31*3</f>
        <v>93</v>
      </c>
      <c r="F41" s="10">
        <f>LOG(E41*10^D41*(10+50)/10)</f>
        <v>2.7466341989375787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7">
        <v>0</v>
      </c>
      <c r="E42" s="7">
        <f>35*3</f>
        <v>105</v>
      </c>
      <c r="F42" s="10">
        <f>LOG(E42*10^D42*(10+50)/10)</f>
        <v>2.7993405494535817</v>
      </c>
      <c r="G42" s="10">
        <f t="shared" ref="G42" si="23">AVERAGE(F41,F42)</f>
        <v>2.7729873741955799</v>
      </c>
      <c r="H42" s="11"/>
      <c r="I42" s="12"/>
    </row>
    <row r="43" spans="2:11" x14ac:dyDescent="0.45">
      <c r="B43" s="6">
        <v>5</v>
      </c>
      <c r="C43" s="7">
        <v>2</v>
      </c>
      <c r="D43" s="7">
        <v>0</v>
      </c>
      <c r="E43" s="7">
        <f>15*3</f>
        <v>45</v>
      </c>
      <c r="F43" s="10">
        <f t="shared" ref="F43:F46" si="24">LOG(E43*10^D43*(10+50)/10)</f>
        <v>2.4313637641589874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7">
        <v>0</v>
      </c>
      <c r="E44" s="7">
        <f>13*3</f>
        <v>39</v>
      </c>
      <c r="F44" s="10">
        <f t="shared" si="24"/>
        <v>2.369215857410143</v>
      </c>
      <c r="G44" s="10">
        <f t="shared" ref="G44" si="25">AVERAGE(F43,F44)</f>
        <v>2.4002898107845652</v>
      </c>
      <c r="H44" s="11"/>
      <c r="I44" s="12"/>
    </row>
    <row r="45" spans="2:11" x14ac:dyDescent="0.45">
      <c r="B45" s="6">
        <v>5</v>
      </c>
      <c r="C45" s="7">
        <v>3</v>
      </c>
      <c r="D45" s="7">
        <v>0</v>
      </c>
      <c r="E45" s="7">
        <f>21*3</f>
        <v>63</v>
      </c>
      <c r="F45" s="10">
        <f t="shared" si="24"/>
        <v>2.5774917998372255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7">
        <v>0</v>
      </c>
      <c r="E46" s="7">
        <f>22*3</f>
        <v>66</v>
      </c>
      <c r="F46" s="10">
        <f t="shared" si="24"/>
        <v>2.5976951859255122</v>
      </c>
      <c r="G46" s="10">
        <f t="shared" ref="G46" si="26">AVERAGE(F45,F46)</f>
        <v>2.5875934928813686</v>
      </c>
      <c r="H46" s="11">
        <f t="shared" ref="H46" si="27">AVERAGE(G42,G44,G46)</f>
        <v>2.5869568926205049</v>
      </c>
      <c r="I46" s="12">
        <f t="shared" ref="I46" si="28">STDEV(G42,G44,G46)</f>
        <v>0.18634959723070493</v>
      </c>
      <c r="J46" s="24"/>
      <c r="K46" s="24"/>
    </row>
    <row r="61" spans="3:3" x14ac:dyDescent="0.45">
      <c r="C61" s="5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2:S62"/>
  <sheetViews>
    <sheetView topLeftCell="A19" zoomScale="70" zoomScaleNormal="70" workbookViewId="0">
      <selection activeCell="I16" sqref="I16"/>
    </sheetView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4" width="13.33203125" style="1" bestFit="1" customWidth="1"/>
    <col min="15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16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B16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2</v>
      </c>
      <c r="E5" s="9">
        <v>18</v>
      </c>
      <c r="F5" s="17">
        <f t="shared" ref="F5:F22" si="0">LOG(E5*10^D5*(10+50)/10)</f>
        <v>4.0334237554869494</v>
      </c>
      <c r="G5" s="10"/>
      <c r="H5" s="11"/>
      <c r="I5" s="12"/>
      <c r="L5" s="28" t="s">
        <v>0</v>
      </c>
      <c r="M5" s="13">
        <f>H10</f>
        <v>4.0693181925016892</v>
      </c>
      <c r="N5" s="13">
        <f>H16</f>
        <v>3.6512202804777636</v>
      </c>
      <c r="O5" s="13">
        <f>H22</f>
        <v>3.3298571176762377</v>
      </c>
      <c r="P5" s="13">
        <f>H28</f>
        <v>3.0605066491798305</v>
      </c>
      <c r="Q5" s="13">
        <f>H34</f>
        <v>2.5421432755992925</v>
      </c>
      <c r="R5" s="13">
        <f>H40</f>
        <v>2.6016723070329273</v>
      </c>
      <c r="S5" s="13">
        <f>H46</f>
        <v>2.3325133437317107</v>
      </c>
    </row>
    <row r="6" spans="1:19" x14ac:dyDescent="0.45">
      <c r="B6" s="6" t="s">
        <v>12</v>
      </c>
      <c r="C6" s="7">
        <v>1</v>
      </c>
      <c r="D6" s="9">
        <v>2</v>
      </c>
      <c r="E6" s="9">
        <v>12</v>
      </c>
      <c r="F6" s="17">
        <f t="shared" si="0"/>
        <v>3.8573324964312685</v>
      </c>
      <c r="G6" s="10">
        <f>AVERAGE(F5,F6)</f>
        <v>3.9453781259591088</v>
      </c>
      <c r="H6" s="11"/>
      <c r="I6" s="12"/>
      <c r="L6" s="28" t="s">
        <v>1</v>
      </c>
      <c r="M6" s="13">
        <f>H16</f>
        <v>3.6512202804777636</v>
      </c>
      <c r="N6" s="13">
        <f>I16</f>
        <v>2.498745795227517E-2</v>
      </c>
      <c r="O6" s="13">
        <f>I22</f>
        <v>6.1301610208457445E-2</v>
      </c>
      <c r="P6" s="13">
        <f>I28</f>
        <v>0.13510826370365894</v>
      </c>
      <c r="Q6" s="13">
        <f>I34</f>
        <v>0.11904441398074687</v>
      </c>
      <c r="R6" s="13">
        <f>I40</f>
        <v>0.22905088496665046</v>
      </c>
      <c r="S6" s="13">
        <f>I46</f>
        <v>0.37262663058812456</v>
      </c>
    </row>
    <row r="7" spans="1:19" x14ac:dyDescent="0.45">
      <c r="B7" s="6" t="s">
        <v>12</v>
      </c>
      <c r="C7" s="7">
        <v>2</v>
      </c>
      <c r="D7" s="9">
        <v>2</v>
      </c>
      <c r="E7" s="9">
        <v>21</v>
      </c>
      <c r="F7" s="17">
        <f t="shared" si="0"/>
        <v>4.1003705451175625</v>
      </c>
      <c r="G7" s="10"/>
      <c r="H7" s="11"/>
      <c r="I7" s="12"/>
    </row>
    <row r="8" spans="1:19" x14ac:dyDescent="0.45">
      <c r="B8" s="6" t="s">
        <v>12</v>
      </c>
      <c r="C8" s="7">
        <v>2</v>
      </c>
      <c r="D8" s="9">
        <v>2</v>
      </c>
      <c r="E8" s="9">
        <v>24</v>
      </c>
      <c r="F8" s="17">
        <f t="shared" si="0"/>
        <v>4.1583624920952493</v>
      </c>
      <c r="G8" s="10">
        <f>AVERAGE(F7,F8)</f>
        <v>4.1293665186064059</v>
      </c>
      <c r="H8" s="11"/>
      <c r="I8" s="12"/>
    </row>
    <row r="9" spans="1:19" x14ac:dyDescent="0.45">
      <c r="B9" s="6" t="s">
        <v>12</v>
      </c>
      <c r="C9" s="7">
        <v>3</v>
      </c>
      <c r="D9" s="9">
        <v>2</v>
      </c>
      <c r="E9" s="9">
        <v>19</v>
      </c>
      <c r="F9" s="17">
        <f t="shared" si="0"/>
        <v>4.0569048513364727</v>
      </c>
      <c r="G9" s="10"/>
      <c r="H9" s="11"/>
      <c r="I9" s="12"/>
    </row>
    <row r="10" spans="1:19" x14ac:dyDescent="0.45">
      <c r="B10" s="6" t="s">
        <v>12</v>
      </c>
      <c r="C10" s="7">
        <v>3</v>
      </c>
      <c r="D10" s="9">
        <v>2</v>
      </c>
      <c r="E10" s="9">
        <v>27</v>
      </c>
      <c r="F10" s="17">
        <f t="shared" si="0"/>
        <v>4.2095150145426308</v>
      </c>
      <c r="G10" s="10">
        <f>AVERAGE(F9,F10)</f>
        <v>4.1332099329395522</v>
      </c>
      <c r="H10" s="11">
        <f>AVERAGE(G6,G8,G10)</f>
        <v>4.0693181925016892</v>
      </c>
      <c r="I10" s="12">
        <f>STDEV(G6,G8,G10)</f>
        <v>0.10735244771018715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9">
        <f>118*3</f>
        <v>354</v>
      </c>
      <c r="F11" s="17">
        <f t="shared" si="0"/>
        <v>3.3271545124094315</v>
      </c>
      <c r="G11" s="10"/>
      <c r="H11" s="11"/>
      <c r="I11" s="12"/>
    </row>
    <row r="12" spans="1:19" x14ac:dyDescent="0.45">
      <c r="B12" s="6">
        <v>0</v>
      </c>
      <c r="C12" s="7">
        <v>1</v>
      </c>
      <c r="D12" s="9">
        <v>0</v>
      </c>
      <c r="E12" s="9">
        <f>523*3</f>
        <v>1569</v>
      </c>
      <c r="F12" s="17">
        <f t="shared" si="0"/>
        <v>3.9737741939705802</v>
      </c>
      <c r="G12" s="10">
        <f>AVERAGE(F11,F12)</f>
        <v>3.6504643531900056</v>
      </c>
      <c r="H12" s="11"/>
      <c r="I12" s="12"/>
    </row>
    <row r="13" spans="1:19" x14ac:dyDescent="0.45">
      <c r="B13" s="6">
        <v>0</v>
      </c>
      <c r="C13" s="7">
        <v>2</v>
      </c>
      <c r="D13" s="9">
        <v>0</v>
      </c>
      <c r="E13" s="9">
        <f>192*3</f>
        <v>576</v>
      </c>
      <c r="F13" s="17">
        <f t="shared" si="0"/>
        <v>3.5385737338068557</v>
      </c>
      <c r="G13" s="10"/>
      <c r="H13" s="11"/>
      <c r="I13" s="12"/>
    </row>
    <row r="14" spans="1:19" x14ac:dyDescent="0.45">
      <c r="B14" s="6">
        <v>0</v>
      </c>
      <c r="C14" s="7">
        <v>2</v>
      </c>
      <c r="D14" s="9">
        <v>0</v>
      </c>
      <c r="E14" s="9">
        <f>288*3</f>
        <v>864</v>
      </c>
      <c r="F14" s="17">
        <f t="shared" si="0"/>
        <v>3.714664992862537</v>
      </c>
      <c r="G14" s="10">
        <f t="shared" ref="G14:G22" si="1">AVERAGE(F13,F14)</f>
        <v>3.6266193633346964</v>
      </c>
      <c r="H14" s="11"/>
      <c r="I14" s="12"/>
    </row>
    <row r="15" spans="1:19" x14ac:dyDescent="0.45">
      <c r="B15" s="6">
        <v>0</v>
      </c>
      <c r="C15" s="7">
        <v>3</v>
      </c>
      <c r="D15" s="9">
        <v>0</v>
      </c>
      <c r="E15" s="9">
        <f>348*3</f>
        <v>1044</v>
      </c>
      <c r="F15" s="17">
        <f t="shared" si="0"/>
        <v>3.7968517490498872</v>
      </c>
      <c r="G15" s="10"/>
      <c r="H15" s="11"/>
      <c r="I15" s="12"/>
    </row>
    <row r="16" spans="1:19" x14ac:dyDescent="0.45">
      <c r="B16" s="6">
        <v>0</v>
      </c>
      <c r="C16" s="7">
        <v>3</v>
      </c>
      <c r="D16" s="9">
        <v>0</v>
      </c>
      <c r="E16" s="9">
        <v>600</v>
      </c>
      <c r="F16" s="17">
        <f t="shared" si="0"/>
        <v>3.5563025007672873</v>
      </c>
      <c r="G16" s="10">
        <f t="shared" si="1"/>
        <v>3.6765771249085875</v>
      </c>
      <c r="H16" s="11">
        <f>AVERAGE(G12,G14,G16)</f>
        <v>3.6512202804777636</v>
      </c>
      <c r="I16" s="12">
        <f>STDEV(G12,G14,G16)</f>
        <v>2.498745795227517E-2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9">
        <f>118*3</f>
        <v>354</v>
      </c>
      <c r="F17" s="17">
        <f t="shared" si="0"/>
        <v>3.3271545124094315</v>
      </c>
      <c r="G17" s="10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9">
        <f>111*3</f>
        <v>333</v>
      </c>
      <c r="F18" s="17">
        <f t="shared" si="0"/>
        <v>3.3005954838899636</v>
      </c>
      <c r="G18" s="10">
        <f t="shared" si="1"/>
        <v>3.3138749981496973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9">
        <f>110*3</f>
        <v>330</v>
      </c>
      <c r="F19" s="17">
        <f t="shared" si="0"/>
        <v>3.2966651902615309</v>
      </c>
      <c r="G19" s="10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9">
        <f>101*3</f>
        <v>303</v>
      </c>
      <c r="F20" s="17">
        <f t="shared" si="0"/>
        <v>3.2595938788859486</v>
      </c>
      <c r="G20" s="10">
        <f t="shared" si="1"/>
        <v>3.2781295345737398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9">
        <f>147*3</f>
        <v>441</v>
      </c>
      <c r="F21" s="17">
        <f t="shared" si="0"/>
        <v>3.422589839851482</v>
      </c>
      <c r="G21" s="10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131*3</f>
        <v>393</v>
      </c>
      <c r="F22" s="17">
        <f t="shared" si="0"/>
        <v>3.3725438007590705</v>
      </c>
      <c r="G22" s="10">
        <f t="shared" si="1"/>
        <v>3.3975668203052765</v>
      </c>
      <c r="H22" s="11">
        <f t="shared" ref="H22" si="2">AVERAGE(G18,G20,G22)</f>
        <v>3.3298571176762377</v>
      </c>
      <c r="I22" s="12">
        <f t="shared" ref="I22" si="3">STDEV(G18,G20,G22)</f>
        <v>6.1301610208457445E-2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65*3</f>
        <v>195</v>
      </c>
      <c r="F23" s="10">
        <f>LOG(E23*10^D23*(10+50)/10)</f>
        <v>3.0681858617461617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79*3</f>
        <v>237</v>
      </c>
      <c r="F24" s="10">
        <f>LOG(E24*10^D24*(10+50)/10)</f>
        <v>3.1528995963937474</v>
      </c>
      <c r="G24" s="10">
        <f t="shared" ref="G24" si="4">AVERAGE(F23,F24)</f>
        <v>3.1105427290699543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42*3</f>
        <v>126</v>
      </c>
      <c r="F25" s="10">
        <f t="shared" ref="F25:F28" si="5">LOG(E25*10^D25*(10+50)/10)</f>
        <v>2.8785217955012063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48*3</f>
        <v>144</v>
      </c>
      <c r="F26" s="10">
        <f t="shared" si="5"/>
        <v>2.9365137424788932</v>
      </c>
      <c r="G26" s="10">
        <f t="shared" ref="G26" si="6">AVERAGE(F25,F26)</f>
        <v>2.9075177689900498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91*3</f>
        <v>273</v>
      </c>
      <c r="F27" s="10">
        <f t="shared" si="5"/>
        <v>3.2143138974243999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72*3</f>
        <v>216</v>
      </c>
      <c r="F28" s="10">
        <f t="shared" si="5"/>
        <v>3.1126050015345745</v>
      </c>
      <c r="G28" s="10">
        <f t="shared" ref="G28" si="7">AVERAGE(F27,F28)</f>
        <v>3.163459449479487</v>
      </c>
      <c r="H28" s="11">
        <f t="shared" ref="H28" si="8">AVERAGE(G24,G26,G28)</f>
        <v>3.0605066491798305</v>
      </c>
      <c r="I28" s="12">
        <f t="shared" ref="I28" si="9">STDEV(G24,G26,G28)</f>
        <v>0.13510826370365894</v>
      </c>
      <c r="J28" s="24"/>
      <c r="K28" s="24"/>
    </row>
    <row r="29" spans="2:11" x14ac:dyDescent="0.45">
      <c r="B29" s="6">
        <v>3</v>
      </c>
      <c r="C29" s="7">
        <v>1</v>
      </c>
      <c r="D29" s="9">
        <v>0</v>
      </c>
      <c r="E29" s="7">
        <f>21*3</f>
        <v>63</v>
      </c>
      <c r="F29" s="10">
        <f>LOG(E29*10^D29*(10+50)/10)</f>
        <v>2.5774917998372255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0</v>
      </c>
      <c r="E30" s="7">
        <f>14*3</f>
        <v>42</v>
      </c>
      <c r="F30" s="10">
        <f>LOG(E30*10^D30*(10+50)/10)</f>
        <v>2.4014005407815442</v>
      </c>
      <c r="G30" s="10">
        <f t="shared" ref="G30" si="10">AVERAGE(F29,F30)</f>
        <v>2.4894461703093849</v>
      </c>
      <c r="H30" s="11"/>
      <c r="I30" s="12"/>
    </row>
    <row r="31" spans="2:11" x14ac:dyDescent="0.45">
      <c r="B31" s="6">
        <v>3</v>
      </c>
      <c r="C31" s="7">
        <v>2</v>
      </c>
      <c r="D31" s="9">
        <v>0</v>
      </c>
      <c r="E31" s="7">
        <f>17*3</f>
        <v>51</v>
      </c>
      <c r="F31" s="10">
        <f t="shared" ref="F31:F34" si="11">LOG(E31*10^D31*(10+50)/10)</f>
        <v>2.4857214264815801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0</v>
      </c>
      <c r="E32" s="7">
        <f>15*3</f>
        <v>45</v>
      </c>
      <c r="F32" s="10">
        <f t="shared" si="11"/>
        <v>2.4313637641589874</v>
      </c>
      <c r="G32" s="10">
        <f t="shared" ref="G32" si="12">AVERAGE(F31,F32)</f>
        <v>2.4585425953202837</v>
      </c>
      <c r="H32" s="11"/>
      <c r="I32" s="12"/>
    </row>
    <row r="33" spans="2:11" x14ac:dyDescent="0.45">
      <c r="B33" s="6">
        <v>3</v>
      </c>
      <c r="C33" s="7">
        <v>3</v>
      </c>
      <c r="D33" s="9">
        <v>0</v>
      </c>
      <c r="E33" s="7">
        <f>27*3</f>
        <v>81</v>
      </c>
      <c r="F33" s="10">
        <f t="shared" si="11"/>
        <v>2.6866362692622934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0</v>
      </c>
      <c r="E34" s="7">
        <f>26*3</f>
        <v>78</v>
      </c>
      <c r="F34" s="10">
        <f t="shared" si="11"/>
        <v>2.6702458530741242</v>
      </c>
      <c r="G34" s="10">
        <f t="shared" ref="G34" si="13">AVERAGE(F33,F34)</f>
        <v>2.6784410611682086</v>
      </c>
      <c r="H34" s="11">
        <f t="shared" ref="H34" si="14">AVERAGE(G30,G32,G34)</f>
        <v>2.5421432755992925</v>
      </c>
      <c r="I34" s="12">
        <f t="shared" ref="I34" si="15">STDEV(G30,G32,G34)</f>
        <v>0.11904441398074687</v>
      </c>
      <c r="J34" s="24"/>
      <c r="K34" s="24"/>
    </row>
    <row r="35" spans="2:11" x14ac:dyDescent="0.45">
      <c r="B35" s="6">
        <v>4</v>
      </c>
      <c r="C35" s="7">
        <v>1</v>
      </c>
      <c r="D35" s="9">
        <v>0</v>
      </c>
      <c r="E35" s="7">
        <f>23*3</f>
        <v>69</v>
      </c>
      <c r="F35" s="10">
        <f>LOG(E35*10^D35*(10+50)/10)</f>
        <v>2.6170003411208991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9">
        <v>0</v>
      </c>
      <c r="E36" s="7">
        <f>31*3</f>
        <v>93</v>
      </c>
      <c r="F36" s="10">
        <f>LOG(E36*10^D36*(10+50)/10)</f>
        <v>2.7466341989375787</v>
      </c>
      <c r="G36" s="10">
        <f t="shared" ref="G36" si="16">AVERAGE(F35,F36)</f>
        <v>2.6818172700292386</v>
      </c>
      <c r="H36" s="11"/>
      <c r="I36" s="12"/>
    </row>
    <row r="37" spans="2:11" x14ac:dyDescent="0.45">
      <c r="B37" s="6">
        <v>4</v>
      </c>
      <c r="C37" s="7">
        <v>2</v>
      </c>
      <c r="D37" s="9">
        <v>0</v>
      </c>
      <c r="E37" s="7">
        <f>15*3</f>
        <v>45</v>
      </c>
      <c r="F37" s="10">
        <f t="shared" ref="F37:F40" si="17">LOG(E37*10^D37*(10+50)/10)</f>
        <v>2.4313637641589874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9">
        <v>0</v>
      </c>
      <c r="E38" s="7">
        <f>10*3</f>
        <v>30</v>
      </c>
      <c r="F38" s="10">
        <f t="shared" si="17"/>
        <v>2.255272505103306</v>
      </c>
      <c r="G38" s="10">
        <f t="shared" ref="G38" si="18">AVERAGE(F37,F38)</f>
        <v>2.3433181346311467</v>
      </c>
      <c r="H38" s="11"/>
      <c r="I38" s="12"/>
    </row>
    <row r="39" spans="2:11" x14ac:dyDescent="0.45">
      <c r="B39" s="6">
        <v>4</v>
      </c>
      <c r="C39" s="7">
        <v>3</v>
      </c>
      <c r="D39" s="9">
        <v>0</v>
      </c>
      <c r="E39" s="7">
        <f>32*3</f>
        <v>96</v>
      </c>
      <c r="F39" s="10">
        <f t="shared" si="17"/>
        <v>2.7604224834232118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9">
        <v>0</v>
      </c>
      <c r="E40" s="7">
        <f>35*3</f>
        <v>105</v>
      </c>
      <c r="F40" s="10">
        <f t="shared" si="17"/>
        <v>2.7993405494535817</v>
      </c>
      <c r="G40" s="10">
        <f t="shared" ref="G40" si="19">AVERAGE(F39,F40)</f>
        <v>2.7798815164383965</v>
      </c>
      <c r="H40" s="11">
        <f t="shared" ref="H40" si="20">AVERAGE(G36,G38,G40)</f>
        <v>2.6016723070329273</v>
      </c>
      <c r="I40" s="12">
        <f t="shared" ref="I40" si="21">STDEV(G36,G38,G40)</f>
        <v>0.22905088496665046</v>
      </c>
      <c r="J40" s="24"/>
      <c r="K40" s="24"/>
    </row>
    <row r="41" spans="2:11" x14ac:dyDescent="0.45">
      <c r="B41" s="6">
        <v>5</v>
      </c>
      <c r="C41" s="7">
        <v>1</v>
      </c>
      <c r="D41" s="9">
        <v>0</v>
      </c>
      <c r="E41" s="7">
        <f>25*3</f>
        <v>75</v>
      </c>
      <c r="F41" s="10">
        <f>LOG(E41*10^D41*(10+50)/10)</f>
        <v>2.6532125137753435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9">
        <v>0</v>
      </c>
      <c r="E42" s="7">
        <f>19*3</f>
        <v>57</v>
      </c>
      <c r="F42" s="10">
        <f>LOG(E42*10^D42*(10+50)/10)</f>
        <v>2.5340261060561349</v>
      </c>
      <c r="G42" s="10">
        <f t="shared" ref="G42" si="22">AVERAGE(F41,F42)</f>
        <v>2.5936193099157392</v>
      </c>
      <c r="H42" s="11"/>
      <c r="I42" s="12"/>
    </row>
    <row r="43" spans="2:11" x14ac:dyDescent="0.45">
      <c r="B43" s="6">
        <v>5</v>
      </c>
      <c r="C43" s="7">
        <v>2</v>
      </c>
      <c r="D43" s="9">
        <v>0</v>
      </c>
      <c r="E43" s="7">
        <f>17*3</f>
        <v>51</v>
      </c>
      <c r="F43" s="10">
        <f t="shared" ref="F43:F46" si="23">LOG(E43*10^D43*(10+50)/10)</f>
        <v>2.4857214264815801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9">
        <v>0</v>
      </c>
      <c r="E44" s="7">
        <f>18*3</f>
        <v>54</v>
      </c>
      <c r="F44" s="10">
        <f t="shared" si="23"/>
        <v>2.510545010206612</v>
      </c>
      <c r="G44" s="10">
        <f t="shared" ref="G44" si="24">AVERAGE(F43,F44)</f>
        <v>2.4981332183440959</v>
      </c>
      <c r="H44" s="11"/>
      <c r="I44" s="12"/>
    </row>
    <row r="45" spans="2:11" x14ac:dyDescent="0.45">
      <c r="B45" s="6">
        <v>5</v>
      </c>
      <c r="C45" s="7">
        <v>3</v>
      </c>
      <c r="D45" s="9">
        <v>0</v>
      </c>
      <c r="E45" s="7">
        <f>5*3</f>
        <v>15</v>
      </c>
      <c r="F45" s="10">
        <f t="shared" si="23"/>
        <v>1.954242509439325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9">
        <v>0</v>
      </c>
      <c r="E46" s="7">
        <f>4*3</f>
        <v>12</v>
      </c>
      <c r="F46" s="10">
        <f t="shared" si="23"/>
        <v>1.8573324964312685</v>
      </c>
      <c r="G46" s="10">
        <f t="shared" ref="G46" si="25">AVERAGE(F45,F46)</f>
        <v>1.9057875029352966</v>
      </c>
      <c r="H46" s="11">
        <f t="shared" ref="H46" si="26">AVERAGE(G42,G44,G46)</f>
        <v>2.3325133437317107</v>
      </c>
      <c r="I46" s="12">
        <f t="shared" ref="I46" si="27">STDEV(G42,G44,G46)</f>
        <v>0.37262663058812456</v>
      </c>
      <c r="J46" s="24"/>
      <c r="K46" s="24"/>
    </row>
    <row r="59" spans="3:3" x14ac:dyDescent="0.45">
      <c r="C59" s="5"/>
    </row>
    <row r="60" spans="3:3" x14ac:dyDescent="0.45">
      <c r="C60" s="5"/>
    </row>
    <row r="61" spans="3:3" x14ac:dyDescent="0.45">
      <c r="C61" s="5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2:S62"/>
  <sheetViews>
    <sheetView topLeftCell="A24" zoomScale="70" zoomScaleNormal="70" workbookViewId="0">
      <selection activeCell="I34" sqref="I34"/>
    </sheetView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3" width="13.33203125" style="1" bestFit="1" customWidth="1"/>
    <col min="14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20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B11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2</v>
      </c>
      <c r="E5" s="9">
        <v>18</v>
      </c>
      <c r="F5" s="17">
        <f t="shared" ref="F5:F10" si="0">LOG(E5*10^D5*(10+50)/10)</f>
        <v>4.0334237554869494</v>
      </c>
      <c r="G5" s="10"/>
      <c r="H5" s="11"/>
      <c r="I5" s="12"/>
      <c r="L5" s="28" t="s">
        <v>0</v>
      </c>
      <c r="M5" s="13">
        <f>H10</f>
        <v>4.0693181925016892</v>
      </c>
      <c r="N5" s="13">
        <f>H16</f>
        <v>2.6246785182302466</v>
      </c>
      <c r="O5" s="13">
        <f>H22</f>
        <v>2.5527845575370818</v>
      </c>
      <c r="P5" s="13">
        <f>H28</f>
        <v>2.3660172089383953</v>
      </c>
      <c r="Q5" s="13">
        <f>H34</f>
        <v>3.2023388075325609</v>
      </c>
      <c r="R5" s="13">
        <f>H40</f>
        <v>2.5085049885118376</v>
      </c>
      <c r="S5" s="13">
        <f>H46</f>
        <v>2.397034584851518</v>
      </c>
    </row>
    <row r="6" spans="1:19" x14ac:dyDescent="0.45">
      <c r="B6" s="6" t="s">
        <v>12</v>
      </c>
      <c r="C6" s="7">
        <v>1</v>
      </c>
      <c r="D6" s="9">
        <v>2</v>
      </c>
      <c r="E6" s="9">
        <v>12</v>
      </c>
      <c r="F6" s="17">
        <f t="shared" si="0"/>
        <v>3.8573324964312685</v>
      </c>
      <c r="G6" s="10">
        <f>AVERAGE(F5,F6)</f>
        <v>3.9453781259591088</v>
      </c>
      <c r="H6" s="11"/>
      <c r="I6" s="12"/>
      <c r="L6" s="28" t="s">
        <v>1</v>
      </c>
      <c r="M6" s="13">
        <f>I10</f>
        <v>0.10735244771018715</v>
      </c>
      <c r="N6" s="13">
        <f>I16</f>
        <v>4.2819108807544422E-2</v>
      </c>
      <c r="O6" s="13">
        <f>I22</f>
        <v>0.11496159626138397</v>
      </c>
      <c r="P6" s="13">
        <f>I28</f>
        <v>3.0651026644591503E-2</v>
      </c>
      <c r="Q6" s="13">
        <f>I34</f>
        <v>1.4922221167484322</v>
      </c>
      <c r="R6" s="13">
        <f>I40</f>
        <v>0.17537179477962814</v>
      </c>
      <c r="S6" s="13">
        <f>I46</f>
        <v>0.16661505621108305</v>
      </c>
    </row>
    <row r="7" spans="1:19" x14ac:dyDescent="0.45">
      <c r="B7" s="6" t="s">
        <v>12</v>
      </c>
      <c r="C7" s="7">
        <v>2</v>
      </c>
      <c r="D7" s="9">
        <v>2</v>
      </c>
      <c r="E7" s="9">
        <v>21</v>
      </c>
      <c r="F7" s="17">
        <f t="shared" si="0"/>
        <v>4.1003705451175625</v>
      </c>
      <c r="G7" s="10"/>
      <c r="H7" s="11"/>
      <c r="I7" s="12"/>
    </row>
    <row r="8" spans="1:19" x14ac:dyDescent="0.45">
      <c r="B8" s="6" t="s">
        <v>12</v>
      </c>
      <c r="C8" s="7">
        <v>2</v>
      </c>
      <c r="D8" s="9">
        <v>2</v>
      </c>
      <c r="E8" s="9">
        <v>24</v>
      </c>
      <c r="F8" s="17">
        <f t="shared" si="0"/>
        <v>4.1583624920952493</v>
      </c>
      <c r="G8" s="10">
        <f>AVERAGE(F7,F8)</f>
        <v>4.1293665186064059</v>
      </c>
      <c r="H8" s="11"/>
      <c r="I8" s="12"/>
    </row>
    <row r="9" spans="1:19" x14ac:dyDescent="0.45">
      <c r="B9" s="6" t="s">
        <v>12</v>
      </c>
      <c r="C9" s="7">
        <v>3</v>
      </c>
      <c r="D9" s="9">
        <v>2</v>
      </c>
      <c r="E9" s="9">
        <v>19</v>
      </c>
      <c r="F9" s="17">
        <f t="shared" si="0"/>
        <v>4.0569048513364727</v>
      </c>
      <c r="G9" s="10"/>
      <c r="H9" s="11"/>
      <c r="I9" s="12"/>
    </row>
    <row r="10" spans="1:19" x14ac:dyDescent="0.45">
      <c r="B10" s="6" t="s">
        <v>12</v>
      </c>
      <c r="C10" s="7">
        <v>3</v>
      </c>
      <c r="D10" s="9">
        <v>2</v>
      </c>
      <c r="E10" s="9">
        <v>27</v>
      </c>
      <c r="F10" s="17">
        <f t="shared" si="0"/>
        <v>4.2095150145426308</v>
      </c>
      <c r="G10" s="10">
        <f>AVERAGE(F9,F10)</f>
        <v>4.1332099329395522</v>
      </c>
      <c r="H10" s="11">
        <f>AVERAGE(G6,G8,G10)</f>
        <v>4.0693181925016892</v>
      </c>
      <c r="I10" s="12">
        <f>STDEV(G6,G8,G10)</f>
        <v>0.10735244771018715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9">
        <f>21*3</f>
        <v>63</v>
      </c>
      <c r="F11" s="17">
        <f t="shared" ref="F11:F22" si="1">LOG(E11*10^D11*(10+50)/10)</f>
        <v>2.5774917998372255</v>
      </c>
      <c r="G11" s="17"/>
      <c r="H11" s="18"/>
      <c r="I11" s="12"/>
    </row>
    <row r="12" spans="1:19" x14ac:dyDescent="0.45">
      <c r="B12" s="6">
        <v>0</v>
      </c>
      <c r="C12" s="7">
        <v>1</v>
      </c>
      <c r="D12" s="9">
        <v>0</v>
      </c>
      <c r="E12" s="9">
        <f>21*3</f>
        <v>63</v>
      </c>
      <c r="F12" s="17">
        <f t="shared" si="1"/>
        <v>2.5774917998372255</v>
      </c>
      <c r="G12" s="17">
        <f>AVERAGE(F11,F12)</f>
        <v>2.5774917998372255</v>
      </c>
      <c r="H12" s="18"/>
      <c r="I12" s="12"/>
    </row>
    <row r="13" spans="1:19" x14ac:dyDescent="0.45">
      <c r="B13" s="6">
        <v>0</v>
      </c>
      <c r="C13" s="7">
        <v>2</v>
      </c>
      <c r="D13" s="9">
        <v>0</v>
      </c>
      <c r="E13" s="9">
        <f>18*3</f>
        <v>54</v>
      </c>
      <c r="F13" s="17">
        <f t="shared" si="1"/>
        <v>2.510545010206612</v>
      </c>
      <c r="G13" s="17"/>
      <c r="H13" s="18"/>
      <c r="I13" s="12"/>
    </row>
    <row r="14" spans="1:19" x14ac:dyDescent="0.45">
      <c r="B14" s="6">
        <v>0</v>
      </c>
      <c r="C14" s="7">
        <v>2</v>
      </c>
      <c r="D14" s="9">
        <v>0</v>
      </c>
      <c r="E14" s="20">
        <f>32*3</f>
        <v>96</v>
      </c>
      <c r="F14" s="17">
        <f t="shared" si="1"/>
        <v>2.7604224834232118</v>
      </c>
      <c r="G14" s="17">
        <f>AVERAGE(F13,F14)</f>
        <v>2.6354837468149119</v>
      </c>
      <c r="H14" s="18"/>
      <c r="I14" s="12"/>
    </row>
    <row r="15" spans="1:19" x14ac:dyDescent="0.45">
      <c r="B15" s="6">
        <v>0</v>
      </c>
      <c r="C15" s="7">
        <v>3</v>
      </c>
      <c r="D15" s="9">
        <v>0</v>
      </c>
      <c r="E15" s="9">
        <f>24*3</f>
        <v>72</v>
      </c>
      <c r="F15" s="17">
        <f t="shared" si="1"/>
        <v>2.6354837468149119</v>
      </c>
      <c r="G15" s="17"/>
      <c r="H15" s="18"/>
      <c r="I15" s="12"/>
    </row>
    <row r="16" spans="1:19" x14ac:dyDescent="0.45">
      <c r="B16" s="6">
        <v>0</v>
      </c>
      <c r="C16" s="7">
        <v>3</v>
      </c>
      <c r="D16" s="9">
        <v>0</v>
      </c>
      <c r="E16" s="20">
        <f>27*3</f>
        <v>81</v>
      </c>
      <c r="F16" s="17">
        <f t="shared" si="1"/>
        <v>2.6866362692622934</v>
      </c>
      <c r="G16" s="17">
        <f>AVERAGE(F15,F16)</f>
        <v>2.6610600080386027</v>
      </c>
      <c r="H16" s="11">
        <f>AVERAGE(G12,G14,G16)</f>
        <v>2.6246785182302466</v>
      </c>
      <c r="I16" s="12">
        <f t="shared" ref="I16:I22" si="2">STDEV(G12,G14,G16)</f>
        <v>4.2819108807544422E-2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9">
        <f>28*3</f>
        <v>84</v>
      </c>
      <c r="F17" s="17">
        <f t="shared" si="1"/>
        <v>2.7024305364455254</v>
      </c>
      <c r="G17" s="17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9">
        <f>21*3</f>
        <v>63</v>
      </c>
      <c r="F18" s="17">
        <f t="shared" si="1"/>
        <v>2.5774917998372255</v>
      </c>
      <c r="G18" s="17">
        <f t="shared" ref="G18:G22" si="3">AVERAGE(F17,F18)</f>
        <v>2.6399611681413755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9">
        <f>24*3</f>
        <v>72</v>
      </c>
      <c r="F19" s="17">
        <f t="shared" si="1"/>
        <v>2.6354837468149119</v>
      </c>
      <c r="G19" s="17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20">
        <f>20*3</f>
        <v>60</v>
      </c>
      <c r="F20" s="17">
        <f t="shared" si="1"/>
        <v>2.5563025007672873</v>
      </c>
      <c r="G20" s="17">
        <f t="shared" si="3"/>
        <v>2.5958931237910994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7">
        <f>18*3</f>
        <v>54</v>
      </c>
      <c r="F21" s="17">
        <f t="shared" si="1"/>
        <v>2.510545010206612</v>
      </c>
      <c r="G21" s="17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12*3</f>
        <v>36</v>
      </c>
      <c r="F22" s="17">
        <f t="shared" si="1"/>
        <v>2.3344537511509307</v>
      </c>
      <c r="G22" s="17">
        <f t="shared" si="3"/>
        <v>2.4224993806787714</v>
      </c>
      <c r="H22" s="11">
        <f t="shared" ref="H22" si="4">AVERAGE(G18,G20,G22)</f>
        <v>2.5527845575370818</v>
      </c>
      <c r="I22" s="12">
        <f t="shared" si="2"/>
        <v>0.11496159626138397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14*3</f>
        <v>42</v>
      </c>
      <c r="F23" s="10">
        <f>LOG(E23*10^D23*(10+50)/10)</f>
        <v>2.4014005407815442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14*3</f>
        <v>42</v>
      </c>
      <c r="F24" s="10">
        <f>LOG(E24*10^D24*(10+50)/10)</f>
        <v>2.4014005407815442</v>
      </c>
      <c r="G24" s="10">
        <f t="shared" ref="G24" si="5">AVERAGE(F23,F24)</f>
        <v>2.4014005407815442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14*3</f>
        <v>42</v>
      </c>
      <c r="F25" s="10">
        <f t="shared" ref="F25:F28" si="6">LOG(E25*10^D25*(10+50)/10)</f>
        <v>2.4014005407815442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11*3</f>
        <v>33</v>
      </c>
      <c r="F26" s="10">
        <f t="shared" si="6"/>
        <v>2.2966651902615309</v>
      </c>
      <c r="G26" s="10">
        <f t="shared" ref="G26" si="7">AVERAGE(F25,F26)</f>
        <v>2.3490328655215373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9*3</f>
        <v>27</v>
      </c>
      <c r="F27" s="10">
        <f t="shared" si="6"/>
        <v>2.2095150145426308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17*3</f>
        <v>51</v>
      </c>
      <c r="F28" s="10">
        <f t="shared" si="6"/>
        <v>2.4857214264815801</v>
      </c>
      <c r="G28" s="10">
        <f t="shared" ref="G28" si="8">AVERAGE(F27,F28)</f>
        <v>2.3476182205121052</v>
      </c>
      <c r="H28" s="11">
        <f t="shared" ref="H28" si="9">AVERAGE(G24,G26,G28)</f>
        <v>2.3660172089383953</v>
      </c>
      <c r="I28" s="12">
        <f t="shared" ref="I28" si="10">STDEV(G24,G26,G28)</f>
        <v>3.0651026644591503E-2</v>
      </c>
      <c r="J28" s="24"/>
      <c r="K28" s="24"/>
    </row>
    <row r="29" spans="2:11" x14ac:dyDescent="0.45">
      <c r="B29" s="6">
        <v>3</v>
      </c>
      <c r="C29" s="7">
        <v>1</v>
      </c>
      <c r="D29" s="9">
        <v>0</v>
      </c>
      <c r="E29" s="7">
        <f>6*3</f>
        <v>18</v>
      </c>
      <c r="F29" s="10">
        <f>LOG(E29*10^D29*(10+50)/10)</f>
        <v>2.0334237554869499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0</v>
      </c>
      <c r="E30" s="7">
        <f>12*3</f>
        <v>36</v>
      </c>
      <c r="F30" s="10">
        <f>LOG(E30*10^D30*(10+50)/10)</f>
        <v>2.3344537511509307</v>
      </c>
      <c r="G30" s="10">
        <f t="shared" ref="G30" si="11">AVERAGE(F29,F30)</f>
        <v>2.1839387533189401</v>
      </c>
      <c r="H30" s="11"/>
      <c r="I30" s="12"/>
    </row>
    <row r="31" spans="2:11" x14ac:dyDescent="0.45">
      <c r="B31" s="6">
        <v>3</v>
      </c>
      <c r="C31" s="7">
        <v>2</v>
      </c>
      <c r="D31" s="9">
        <v>2</v>
      </c>
      <c r="E31" s="7">
        <f>47*4</f>
        <v>188</v>
      </c>
      <c r="F31" s="10">
        <f t="shared" ref="F31:F34" si="12">LOG(E31*10^D31*(10+50)/10)</f>
        <v>5.0523090996473234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2</v>
      </c>
      <c r="E32" s="7">
        <v>100</v>
      </c>
      <c r="F32" s="10">
        <f t="shared" si="12"/>
        <v>4.7781512503836439</v>
      </c>
      <c r="G32" s="10">
        <f t="shared" ref="G32" si="13">AVERAGE(F31,F32)</f>
        <v>4.9152301750154841</v>
      </c>
      <c r="H32" s="11"/>
      <c r="I32" s="12"/>
    </row>
    <row r="33" spans="2:11" x14ac:dyDescent="0.45">
      <c r="B33" s="6">
        <v>3</v>
      </c>
      <c r="C33" s="7">
        <v>3</v>
      </c>
      <c r="D33" s="9">
        <v>0</v>
      </c>
      <c r="E33" s="7">
        <f>16*3</f>
        <v>48</v>
      </c>
      <c r="F33" s="10">
        <f t="shared" si="12"/>
        <v>2.459392487759231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0</v>
      </c>
      <c r="E34" s="7">
        <f>20*3</f>
        <v>60</v>
      </c>
      <c r="F34" s="10">
        <f t="shared" si="12"/>
        <v>2.5563025007672873</v>
      </c>
      <c r="G34" s="10">
        <f t="shared" ref="G34" si="14">AVERAGE(F33,F34)</f>
        <v>2.5078474942632591</v>
      </c>
      <c r="H34" s="11">
        <f t="shared" ref="H34" si="15">AVERAGE(G30,G32,G34)</f>
        <v>3.2023388075325609</v>
      </c>
      <c r="I34" s="12">
        <f>STDEV(G30,G32,G34)</f>
        <v>1.4922221167484322</v>
      </c>
      <c r="J34" s="24"/>
      <c r="K34" s="24"/>
    </row>
    <row r="35" spans="2:11" x14ac:dyDescent="0.45">
      <c r="B35" s="6">
        <v>4</v>
      </c>
      <c r="C35" s="7">
        <v>1</v>
      </c>
      <c r="D35" s="9">
        <v>0</v>
      </c>
      <c r="E35" s="7">
        <f>24*3</f>
        <v>72</v>
      </c>
      <c r="F35" s="10">
        <f>LOG(E35*10^D35*(10+50)/10)</f>
        <v>2.6354837468149119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9">
        <v>0</v>
      </c>
      <c r="E36" s="7">
        <f>32*3</f>
        <v>96</v>
      </c>
      <c r="F36" s="10">
        <f>LOG(E36*10^D36*(10+50)/10)</f>
        <v>2.7604224834232118</v>
      </c>
      <c r="G36" s="10">
        <f t="shared" ref="G36" si="16">AVERAGE(F35,F36)</f>
        <v>2.6979531151190619</v>
      </c>
      <c r="H36" s="11"/>
      <c r="I36" s="12"/>
    </row>
    <row r="37" spans="2:11" x14ac:dyDescent="0.45">
      <c r="B37" s="6">
        <v>4</v>
      </c>
      <c r="C37" s="7">
        <v>2</v>
      </c>
      <c r="D37" s="9">
        <v>0</v>
      </c>
      <c r="E37" s="7">
        <f>23*3</f>
        <v>69</v>
      </c>
      <c r="F37" s="10">
        <f t="shared" ref="F37:F40" si="17">LOG(E37*10^D37*(10+50)/10)</f>
        <v>2.6170003411208991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9">
        <v>0</v>
      </c>
      <c r="E38" s="7">
        <f>12*3</f>
        <v>36</v>
      </c>
      <c r="F38" s="10">
        <f t="shared" si="17"/>
        <v>2.3344537511509307</v>
      </c>
      <c r="G38" s="10">
        <f t="shared" ref="G38" si="18">AVERAGE(F37,F38)</f>
        <v>2.4757270461359147</v>
      </c>
      <c r="H38" s="11"/>
      <c r="I38" s="12"/>
    </row>
    <row r="39" spans="2:11" x14ac:dyDescent="0.45">
      <c r="B39" s="6">
        <v>4</v>
      </c>
      <c r="C39" s="7">
        <v>3</v>
      </c>
      <c r="D39" s="9">
        <v>0</v>
      </c>
      <c r="E39" s="7">
        <f>13*3</f>
        <v>39</v>
      </c>
      <c r="F39" s="10">
        <f t="shared" si="17"/>
        <v>2.369215857410143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9">
        <v>0</v>
      </c>
      <c r="E40" s="7">
        <f>12*3</f>
        <v>36</v>
      </c>
      <c r="F40" s="10">
        <f t="shared" si="17"/>
        <v>2.3344537511509307</v>
      </c>
      <c r="G40" s="10">
        <f t="shared" ref="G40" si="19">AVERAGE(F39,F40)</f>
        <v>2.3518348042805366</v>
      </c>
      <c r="H40" s="11">
        <f t="shared" ref="H40" si="20">AVERAGE(G36,G38,G40)</f>
        <v>2.5085049885118376</v>
      </c>
      <c r="I40" s="12">
        <f t="shared" ref="I40" si="21">STDEV(G36,G38,G40)</f>
        <v>0.17537179477962814</v>
      </c>
      <c r="J40" s="24"/>
      <c r="K40" s="24"/>
    </row>
    <row r="41" spans="2:11" x14ac:dyDescent="0.45">
      <c r="B41" s="6">
        <v>5</v>
      </c>
      <c r="C41" s="7">
        <v>1</v>
      </c>
      <c r="D41" s="9">
        <v>0</v>
      </c>
      <c r="E41" s="7">
        <f>27*3</f>
        <v>81</v>
      </c>
      <c r="F41" s="10">
        <f>LOG(E41*10^D41*(10+50)/10)</f>
        <v>2.6866362692622934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9">
        <v>0</v>
      </c>
      <c r="E42" s="7">
        <f>17*3</f>
        <v>51</v>
      </c>
      <c r="F42" s="10">
        <f>LOG(E42*10^D42*(10+50)/10)</f>
        <v>2.4857214264815801</v>
      </c>
      <c r="G42" s="10">
        <f t="shared" ref="G42" si="22">AVERAGE(F41,F42)</f>
        <v>2.5861788478719365</v>
      </c>
      <c r="H42" s="11"/>
      <c r="I42" s="12"/>
    </row>
    <row r="43" spans="2:11" x14ac:dyDescent="0.45">
      <c r="B43" s="6">
        <v>5</v>
      </c>
      <c r="C43" s="7">
        <v>2</v>
      </c>
      <c r="D43" s="9">
        <v>0</v>
      </c>
      <c r="E43" s="7">
        <f>13*3</f>
        <v>39</v>
      </c>
      <c r="F43" s="10">
        <f t="shared" ref="F43:F46" si="23">LOG(E43*10^D43*(10+50)/10)</f>
        <v>2.369215857410143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9">
        <v>0</v>
      </c>
      <c r="E44" s="7">
        <f>11*3</f>
        <v>33</v>
      </c>
      <c r="F44" s="10">
        <f t="shared" si="23"/>
        <v>2.2966651902615309</v>
      </c>
      <c r="G44" s="10">
        <f t="shared" ref="G44" si="24">AVERAGE(F43,F44)</f>
        <v>2.3329405238358367</v>
      </c>
      <c r="H44" s="11"/>
      <c r="I44" s="12"/>
    </row>
    <row r="45" spans="2:11" x14ac:dyDescent="0.45">
      <c r="B45" s="6">
        <v>5</v>
      </c>
      <c r="C45" s="7">
        <v>3</v>
      </c>
      <c r="D45" s="9">
        <v>0</v>
      </c>
      <c r="E45" s="7">
        <f>9*3</f>
        <v>27</v>
      </c>
      <c r="F45" s="10">
        <f t="shared" si="23"/>
        <v>2.2095150145426308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9">
        <v>0</v>
      </c>
      <c r="E46" s="7">
        <f>12*3</f>
        <v>36</v>
      </c>
      <c r="F46" s="10">
        <f t="shared" si="23"/>
        <v>2.3344537511509307</v>
      </c>
      <c r="G46" s="10">
        <f t="shared" ref="G46" si="25">AVERAGE(F45,F46)</f>
        <v>2.2719843828467807</v>
      </c>
      <c r="H46" s="11">
        <f t="shared" ref="H46" si="26">AVERAGE(G42,G44,G46)</f>
        <v>2.397034584851518</v>
      </c>
      <c r="I46" s="12">
        <f t="shared" ref="I46" si="27">STDEV(G42,G44,G46)</f>
        <v>0.16661505621108305</v>
      </c>
      <c r="J46" s="24"/>
      <c r="K46" s="24"/>
    </row>
    <row r="59" spans="3:3" x14ac:dyDescent="0.45">
      <c r="C59" s="5"/>
    </row>
    <row r="60" spans="3:3" x14ac:dyDescent="0.45">
      <c r="C60" s="5"/>
    </row>
    <row r="61" spans="3:3" x14ac:dyDescent="0.45">
      <c r="C61" s="5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2:R62"/>
  <sheetViews>
    <sheetView topLeftCell="A14" zoomScale="70" zoomScaleNormal="70" workbookViewId="0">
      <selection activeCell="I40" sqref="I40"/>
    </sheetView>
  </sheetViews>
  <sheetFormatPr defaultRowHeight="14" x14ac:dyDescent="0.45"/>
  <cols>
    <col min="1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6384" width="8.6640625" style="1"/>
  </cols>
  <sheetData>
    <row r="2" spans="1:18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8" ht="14.5" thickBot="1" x14ac:dyDescent="0.5"/>
    <row r="4" spans="1:18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16</v>
      </c>
      <c r="I4" s="4" t="s">
        <v>1</v>
      </c>
      <c r="L4" s="27" t="str">
        <f>B4</f>
        <v>Time (w)</v>
      </c>
      <c r="M4" s="27">
        <f>B5</f>
        <v>0</v>
      </c>
      <c r="N4" s="27">
        <f>B11</f>
        <v>1</v>
      </c>
      <c r="O4" s="27">
        <f>B17</f>
        <v>2</v>
      </c>
      <c r="P4" s="27">
        <f>B23</f>
        <v>3</v>
      </c>
      <c r="Q4" s="27">
        <f>B29</f>
        <v>4</v>
      </c>
      <c r="R4" s="27">
        <f>B35</f>
        <v>5</v>
      </c>
    </row>
    <row r="5" spans="1:18" x14ac:dyDescent="0.45">
      <c r="B5" s="6">
        <v>0</v>
      </c>
      <c r="C5" s="7">
        <v>1</v>
      </c>
      <c r="D5" s="9">
        <v>0</v>
      </c>
      <c r="E5" s="9">
        <f>820*3</f>
        <v>2460</v>
      </c>
      <c r="F5" s="17">
        <f>LOG(E5*10^D5*(10+50)/10)</f>
        <v>4.1690863574870232</v>
      </c>
      <c r="G5" s="17"/>
      <c r="H5" s="18"/>
      <c r="I5" s="12"/>
      <c r="L5" s="28" t="s">
        <v>0</v>
      </c>
      <c r="M5" s="13">
        <f>H10</f>
        <v>4.1333647303400012</v>
      </c>
      <c r="N5" s="13">
        <f>H16</f>
        <v>3.9339297167051903</v>
      </c>
      <c r="O5" s="13">
        <f>H22</f>
        <v>4.1321569942695362</v>
      </c>
      <c r="P5" s="13">
        <f>H28</f>
        <v>2.7908330278661269</v>
      </c>
      <c r="Q5" s="13">
        <f>H34</f>
        <v>2.5019167408828156</v>
      </c>
      <c r="R5" s="13">
        <f>H40</f>
        <v>3.2077658024541869</v>
      </c>
    </row>
    <row r="6" spans="1:18" x14ac:dyDescent="0.45">
      <c r="B6" s="6">
        <v>0</v>
      </c>
      <c r="C6" s="7">
        <v>1</v>
      </c>
      <c r="D6" s="9">
        <v>0</v>
      </c>
      <c r="E6" s="9">
        <f>952*3</f>
        <v>2856</v>
      </c>
      <c r="F6" s="17">
        <f>LOG(E6*10^D6*(10+50)/10)</f>
        <v>4.2339094534877804</v>
      </c>
      <c r="G6" s="17">
        <f>AVERAGE(F5,F6)</f>
        <v>4.2014979054874022</v>
      </c>
      <c r="H6" s="18"/>
      <c r="I6" s="12"/>
      <c r="L6" s="28" t="s">
        <v>1</v>
      </c>
      <c r="M6" s="13">
        <f>I10</f>
        <v>0.14420874401177536</v>
      </c>
      <c r="N6" s="13">
        <f>I16</f>
        <v>0.45903542810808706</v>
      </c>
      <c r="O6" s="13">
        <f>I22</f>
        <v>0.20768088846845736</v>
      </c>
      <c r="P6" s="13">
        <f>I28</f>
        <v>0.18167016608262446</v>
      </c>
      <c r="Q6" s="13">
        <f>I34</f>
        <v>0.34228573424475783</v>
      </c>
      <c r="R6" s="13">
        <f>I40</f>
        <v>1.0314904503070073</v>
      </c>
    </row>
    <row r="7" spans="1:18" x14ac:dyDescent="0.45">
      <c r="B7" s="6">
        <v>0</v>
      </c>
      <c r="C7" s="7">
        <v>2</v>
      </c>
      <c r="D7" s="9">
        <v>0</v>
      </c>
      <c r="E7" s="9">
        <f>1064*3</f>
        <v>3192</v>
      </c>
      <c r="F7" s="17">
        <f t="shared" ref="F7:F15" si="0">LOG(E7*10^D7*(10+50)/10)</f>
        <v>4.2822141330623351</v>
      </c>
      <c r="G7" s="17"/>
      <c r="H7" s="18"/>
      <c r="I7" s="12"/>
    </row>
    <row r="8" spans="1:18" x14ac:dyDescent="0.45">
      <c r="B8" s="6">
        <v>0</v>
      </c>
      <c r="C8" s="7">
        <v>2</v>
      </c>
      <c r="D8" s="9">
        <v>0</v>
      </c>
      <c r="E8" s="9">
        <f>840*3</f>
        <v>2520</v>
      </c>
      <c r="F8" s="17">
        <f t="shared" si="0"/>
        <v>4.1795517911651876</v>
      </c>
      <c r="G8" s="17">
        <f>AVERAGE(F7,F8)</f>
        <v>4.2308829621137614</v>
      </c>
      <c r="H8" s="18"/>
      <c r="I8" s="12"/>
    </row>
    <row r="9" spans="1:18" x14ac:dyDescent="0.45">
      <c r="B9" s="6">
        <v>0</v>
      </c>
      <c r="C9" s="7">
        <v>3</v>
      </c>
      <c r="D9" s="9">
        <v>0</v>
      </c>
      <c r="E9" s="9">
        <f>532*3</f>
        <v>1596</v>
      </c>
      <c r="F9" s="17">
        <f t="shared" si="0"/>
        <v>3.9811841373983543</v>
      </c>
      <c r="G9" s="17"/>
      <c r="H9" s="18"/>
      <c r="I9" s="12"/>
    </row>
    <row r="10" spans="1:18" x14ac:dyDescent="0.45">
      <c r="B10" s="6">
        <v>0</v>
      </c>
      <c r="C10" s="7">
        <v>3</v>
      </c>
      <c r="D10" s="9">
        <v>0</v>
      </c>
      <c r="E10" s="9">
        <f>500*3</f>
        <v>1500</v>
      </c>
      <c r="F10" s="17">
        <f t="shared" si="0"/>
        <v>3.9542425094393248</v>
      </c>
      <c r="G10" s="17">
        <f>AVERAGE(F9,F10)</f>
        <v>3.9677133234188395</v>
      </c>
      <c r="H10" s="11">
        <f>AVERAGE(G6,G8,G10)</f>
        <v>4.1333647303400012</v>
      </c>
      <c r="I10" s="12">
        <f>STDEV(G6,G8,G10)</f>
        <v>0.14420874401177536</v>
      </c>
      <c r="J10" s="24"/>
      <c r="K10" s="24"/>
    </row>
    <row r="11" spans="1:18" x14ac:dyDescent="0.45">
      <c r="B11" s="6">
        <v>1</v>
      </c>
      <c r="C11" s="7">
        <v>1</v>
      </c>
      <c r="D11" s="9">
        <v>0</v>
      </c>
      <c r="E11" s="9">
        <f>238*3</f>
        <v>714</v>
      </c>
      <c r="F11" s="17">
        <f t="shared" si="0"/>
        <v>3.6318494621598179</v>
      </c>
      <c r="G11" s="17"/>
      <c r="H11" s="11"/>
      <c r="I11" s="12"/>
    </row>
    <row r="12" spans="1:18" x14ac:dyDescent="0.45">
      <c r="B12" s="6">
        <v>1</v>
      </c>
      <c r="C12" s="7">
        <v>1</v>
      </c>
      <c r="D12" s="9">
        <v>0</v>
      </c>
      <c r="E12" s="9">
        <f>114*3</f>
        <v>342</v>
      </c>
      <c r="F12" s="17">
        <f t="shared" si="0"/>
        <v>3.3121773564397787</v>
      </c>
      <c r="G12" s="17">
        <f t="shared" ref="G12:G16" si="1">AVERAGE(F11,F12)</f>
        <v>3.4720134092997981</v>
      </c>
      <c r="H12" s="11"/>
      <c r="I12" s="12"/>
    </row>
    <row r="13" spans="1:18" x14ac:dyDescent="0.45">
      <c r="B13" s="6">
        <v>1</v>
      </c>
      <c r="C13" s="7">
        <v>2</v>
      </c>
      <c r="D13" s="9">
        <v>2</v>
      </c>
      <c r="E13" s="9">
        <v>54</v>
      </c>
      <c r="F13" s="17">
        <f t="shared" si="0"/>
        <v>4.510545010206612</v>
      </c>
      <c r="G13" s="17"/>
      <c r="H13" s="11"/>
      <c r="I13" s="12"/>
    </row>
    <row r="14" spans="1:18" x14ac:dyDescent="0.45">
      <c r="B14" s="6">
        <v>1</v>
      </c>
      <c r="C14" s="7">
        <v>2</v>
      </c>
      <c r="D14" s="9">
        <v>2</v>
      </c>
      <c r="E14" s="9">
        <v>31</v>
      </c>
      <c r="F14" s="17">
        <f t="shared" si="0"/>
        <v>4.2695129442179161</v>
      </c>
      <c r="G14" s="17">
        <f t="shared" si="1"/>
        <v>4.390028977212264</v>
      </c>
      <c r="H14" s="11"/>
      <c r="I14" s="12"/>
    </row>
    <row r="15" spans="1:18" x14ac:dyDescent="0.45">
      <c r="B15" s="6">
        <v>1</v>
      </c>
      <c r="C15" s="7">
        <v>3</v>
      </c>
      <c r="D15" s="9">
        <v>0</v>
      </c>
      <c r="E15" s="9">
        <f>504*3</f>
        <v>1512</v>
      </c>
      <c r="F15" s="17">
        <f t="shared" si="0"/>
        <v>3.9577030415488315</v>
      </c>
      <c r="G15" s="17"/>
      <c r="H15" s="11"/>
      <c r="I15" s="12"/>
    </row>
    <row r="16" spans="1:18" x14ac:dyDescent="0.45">
      <c r="B16" s="6">
        <v>1</v>
      </c>
      <c r="C16" s="7">
        <v>3</v>
      </c>
      <c r="D16" s="9">
        <v>0</v>
      </c>
      <c r="E16" s="7">
        <f>464*3</f>
        <v>1392</v>
      </c>
      <c r="F16" s="17">
        <f t="shared" ref="F16" si="2">LOG(E16*10^D16*(10+50)/10)</f>
        <v>3.9217904856581871</v>
      </c>
      <c r="G16" s="17">
        <f t="shared" si="1"/>
        <v>3.9397467636035093</v>
      </c>
      <c r="H16" s="11">
        <f t="shared" ref="H16" si="3">AVERAGE(G12,G14,G16)</f>
        <v>3.9339297167051903</v>
      </c>
      <c r="I16" s="12">
        <f t="shared" ref="I16" si="4">STDEV(G12,G14,G16)</f>
        <v>0.45903542810808706</v>
      </c>
      <c r="J16" s="24"/>
      <c r="K16" s="24"/>
    </row>
    <row r="17" spans="2:11" x14ac:dyDescent="0.45">
      <c r="B17" s="6">
        <v>2</v>
      </c>
      <c r="C17" s="7">
        <v>1</v>
      </c>
      <c r="D17" s="9">
        <v>2</v>
      </c>
      <c r="E17" s="7">
        <v>20</v>
      </c>
      <c r="F17" s="10">
        <f>LOG(E17*10^D17*(10+50)/10)</f>
        <v>4.0791812460476251</v>
      </c>
      <c r="G17" s="10"/>
      <c r="H17" s="11"/>
      <c r="I17" s="12"/>
    </row>
    <row r="18" spans="2:11" x14ac:dyDescent="0.45">
      <c r="B18" s="6">
        <v>2</v>
      </c>
      <c r="C18" s="7">
        <v>1</v>
      </c>
      <c r="D18" s="9">
        <v>2</v>
      </c>
      <c r="E18" s="7">
        <v>15</v>
      </c>
      <c r="F18" s="10">
        <f>LOG(E18*10^D18*(10+50)/10)</f>
        <v>3.9542425094393248</v>
      </c>
      <c r="G18" s="10">
        <f t="shared" ref="G18" si="5">AVERAGE(F17,F18)</f>
        <v>4.0167118777434752</v>
      </c>
      <c r="H18" s="11"/>
      <c r="I18" s="12"/>
    </row>
    <row r="19" spans="2:11" x14ac:dyDescent="0.45">
      <c r="B19" s="6">
        <v>2</v>
      </c>
      <c r="C19" s="7">
        <v>2</v>
      </c>
      <c r="D19" s="9">
        <v>2</v>
      </c>
      <c r="E19" s="7">
        <v>44</v>
      </c>
      <c r="F19" s="10">
        <f t="shared" ref="F19:F22" si="6">LOG(E19*10^D19*(10+50)/10)</f>
        <v>4.4216039268698308</v>
      </c>
      <c r="G19" s="10"/>
      <c r="H19" s="11"/>
      <c r="I19" s="12"/>
    </row>
    <row r="20" spans="2:11" x14ac:dyDescent="0.45">
      <c r="B20" s="6">
        <v>2</v>
      </c>
      <c r="C20" s="7">
        <v>2</v>
      </c>
      <c r="D20" s="9">
        <v>2</v>
      </c>
      <c r="E20" s="7">
        <v>35</v>
      </c>
      <c r="F20" s="10">
        <f t="shared" si="6"/>
        <v>4.3222192947339195</v>
      </c>
      <c r="G20" s="10">
        <f t="shared" ref="G20" si="7">AVERAGE(F19,F20)</f>
        <v>4.3719116108018756</v>
      </c>
      <c r="H20" s="11"/>
      <c r="I20" s="12"/>
    </row>
    <row r="21" spans="2:11" x14ac:dyDescent="0.45">
      <c r="B21" s="6">
        <v>2</v>
      </c>
      <c r="C21" s="7">
        <v>3</v>
      </c>
      <c r="D21" s="9">
        <v>2</v>
      </c>
      <c r="E21" s="7">
        <v>18</v>
      </c>
      <c r="F21" s="10">
        <f t="shared" si="6"/>
        <v>4.0334237554869494</v>
      </c>
      <c r="G21" s="10"/>
      <c r="H21" s="11"/>
      <c r="I21" s="12"/>
    </row>
    <row r="22" spans="2:11" x14ac:dyDescent="0.45">
      <c r="B22" s="6">
        <v>2</v>
      </c>
      <c r="C22" s="7">
        <v>3</v>
      </c>
      <c r="D22" s="9">
        <v>2</v>
      </c>
      <c r="E22" s="7">
        <v>16</v>
      </c>
      <c r="F22" s="10">
        <f t="shared" si="6"/>
        <v>3.9822712330395684</v>
      </c>
      <c r="G22" s="10">
        <f t="shared" ref="G22" si="8">AVERAGE(F21,F22)</f>
        <v>4.0078474942632587</v>
      </c>
      <c r="H22" s="11">
        <f t="shared" ref="H22" si="9">AVERAGE(G18,G20,G22)</f>
        <v>4.1321569942695362</v>
      </c>
      <c r="I22" s="12">
        <f t="shared" ref="I22" si="10">STDEV(G18,G20,G22)</f>
        <v>0.20768088846845736</v>
      </c>
      <c r="J22" s="24"/>
      <c r="K22" s="24"/>
    </row>
    <row r="23" spans="2:11" x14ac:dyDescent="0.45">
      <c r="B23" s="6">
        <v>3</v>
      </c>
      <c r="C23" s="7">
        <v>1</v>
      </c>
      <c r="D23" s="9">
        <v>0</v>
      </c>
      <c r="E23" s="7">
        <f>36*3</f>
        <v>108</v>
      </c>
      <c r="F23" s="10">
        <f>LOG(E23*10^D23*(10+50)/10)</f>
        <v>2.8115750058705933</v>
      </c>
      <c r="G23" s="10"/>
      <c r="H23" s="11"/>
      <c r="I23" s="12"/>
    </row>
    <row r="24" spans="2:11" x14ac:dyDescent="0.45">
      <c r="B24" s="6">
        <v>3</v>
      </c>
      <c r="C24" s="7">
        <v>1</v>
      </c>
      <c r="D24" s="9">
        <v>0</v>
      </c>
      <c r="E24" s="7">
        <f>57*3</f>
        <v>171</v>
      </c>
      <c r="F24" s="10">
        <f>LOG(E24*10^D24*(10+50)/10)</f>
        <v>3.0111473607757975</v>
      </c>
      <c r="G24" s="10">
        <f t="shared" ref="G24" si="11">AVERAGE(F23,F24)</f>
        <v>2.9113611833231952</v>
      </c>
      <c r="H24" s="11"/>
      <c r="I24" s="12"/>
    </row>
    <row r="25" spans="2:11" x14ac:dyDescent="0.45">
      <c r="B25" s="6">
        <v>3</v>
      </c>
      <c r="C25" s="7">
        <v>2</v>
      </c>
      <c r="D25" s="9">
        <v>0</v>
      </c>
      <c r="E25" s="7">
        <f>59*3</f>
        <v>177</v>
      </c>
      <c r="F25" s="10">
        <f t="shared" ref="F25:F28" si="12">LOG(E25*10^D25*(10+50)/10)</f>
        <v>3.0261245167454502</v>
      </c>
      <c r="G25" s="10"/>
      <c r="H25" s="11"/>
      <c r="I25" s="12"/>
    </row>
    <row r="26" spans="2:11" x14ac:dyDescent="0.45">
      <c r="B26" s="6">
        <v>3</v>
      </c>
      <c r="C26" s="7">
        <v>2</v>
      </c>
      <c r="D26" s="9">
        <v>0</v>
      </c>
      <c r="E26" s="7">
        <f>30*3</f>
        <v>90</v>
      </c>
      <c r="F26" s="10">
        <f t="shared" si="12"/>
        <v>2.7323937598229686</v>
      </c>
      <c r="G26" s="10">
        <f t="shared" ref="G26" si="13">AVERAGE(F25,F26)</f>
        <v>2.8792591382842092</v>
      </c>
      <c r="H26" s="11"/>
      <c r="I26" s="12"/>
    </row>
    <row r="27" spans="2:11" x14ac:dyDescent="0.45">
      <c r="B27" s="6">
        <v>3</v>
      </c>
      <c r="C27" s="7">
        <v>3</v>
      </c>
      <c r="D27" s="9">
        <v>0</v>
      </c>
      <c r="E27" s="7">
        <f>25*3</f>
        <v>75</v>
      </c>
      <c r="F27" s="10">
        <f t="shared" si="12"/>
        <v>2.6532125137753435</v>
      </c>
      <c r="G27" s="10"/>
      <c r="H27" s="11"/>
      <c r="I27" s="12"/>
    </row>
    <row r="28" spans="2:11" x14ac:dyDescent="0.45">
      <c r="B28" s="6">
        <v>3</v>
      </c>
      <c r="C28" s="7">
        <v>3</v>
      </c>
      <c r="D28" s="9">
        <v>0</v>
      </c>
      <c r="E28" s="7">
        <f>18*3</f>
        <v>54</v>
      </c>
      <c r="F28" s="10">
        <f t="shared" si="12"/>
        <v>2.510545010206612</v>
      </c>
      <c r="G28" s="10">
        <f t="shared" ref="G28" si="14">AVERAGE(F27,F28)</f>
        <v>2.5818787619909775</v>
      </c>
      <c r="H28" s="11">
        <f t="shared" ref="H28" si="15">AVERAGE(G24,G26,G28)</f>
        <v>2.7908330278661269</v>
      </c>
      <c r="I28" s="12">
        <f t="shared" ref="I28" si="16">STDEV(G24,G26,G28)</f>
        <v>0.18167016608262446</v>
      </c>
      <c r="J28" s="24"/>
      <c r="K28" s="24"/>
    </row>
    <row r="29" spans="2:11" x14ac:dyDescent="0.45">
      <c r="B29" s="6">
        <v>4</v>
      </c>
      <c r="C29" s="7">
        <v>1</v>
      </c>
      <c r="D29" s="9">
        <v>0</v>
      </c>
      <c r="E29" s="7">
        <f>26*3</f>
        <v>78</v>
      </c>
      <c r="F29" s="10">
        <f>LOG(E29*10^D29*(10+50)/10)</f>
        <v>2.6702458530741242</v>
      </c>
      <c r="G29" s="10"/>
      <c r="H29" s="11"/>
      <c r="I29" s="12"/>
    </row>
    <row r="30" spans="2:11" x14ac:dyDescent="0.45">
      <c r="B30" s="6">
        <v>4</v>
      </c>
      <c r="C30" s="7">
        <v>1</v>
      </c>
      <c r="D30" s="9">
        <v>0</v>
      </c>
      <c r="E30" s="7">
        <f>22*3</f>
        <v>66</v>
      </c>
      <c r="F30" s="10">
        <f>LOG(E30*10^D30*(10+50)/10)</f>
        <v>2.5976951859255122</v>
      </c>
      <c r="G30" s="10">
        <f t="shared" ref="G30" si="17">AVERAGE(F29,F30)</f>
        <v>2.633970519499818</v>
      </c>
      <c r="H30" s="11"/>
      <c r="I30" s="12"/>
    </row>
    <row r="31" spans="2:11" x14ac:dyDescent="0.45">
      <c r="B31" s="6">
        <v>4</v>
      </c>
      <c r="C31" s="7">
        <v>2</v>
      </c>
      <c r="D31" s="9">
        <v>0</v>
      </c>
      <c r="E31" s="7">
        <f>29*3</f>
        <v>87</v>
      </c>
      <c r="F31" s="10">
        <f t="shared" ref="F31:F34" si="18">LOG(E31*10^D31*(10+50)/10)</f>
        <v>2.7176705030022621</v>
      </c>
      <c r="G31" s="10"/>
      <c r="H31" s="11"/>
      <c r="I31" s="12"/>
    </row>
    <row r="32" spans="2:11" x14ac:dyDescent="0.45">
      <c r="B32" s="6">
        <v>4</v>
      </c>
      <c r="C32" s="7">
        <v>2</v>
      </c>
      <c r="D32" s="9">
        <v>0</v>
      </c>
      <c r="E32" s="7">
        <f>35*3</f>
        <v>105</v>
      </c>
      <c r="F32" s="10">
        <f t="shared" si="18"/>
        <v>2.7993405494535817</v>
      </c>
      <c r="G32" s="10">
        <f t="shared" ref="G32" si="19">AVERAGE(F31,F32)</f>
        <v>2.7585055262279221</v>
      </c>
      <c r="H32" s="11"/>
      <c r="I32" s="12"/>
    </row>
    <row r="33" spans="2:11" x14ac:dyDescent="0.45">
      <c r="B33" s="6">
        <v>4</v>
      </c>
      <c r="C33" s="7">
        <v>3</v>
      </c>
      <c r="D33" s="9">
        <v>0</v>
      </c>
      <c r="E33" s="7">
        <f>4*3</f>
        <v>12</v>
      </c>
      <c r="F33" s="10">
        <f t="shared" si="18"/>
        <v>1.8573324964312685</v>
      </c>
      <c r="G33" s="10"/>
      <c r="H33" s="11"/>
      <c r="I33" s="12"/>
    </row>
    <row r="34" spans="2:11" x14ac:dyDescent="0.45">
      <c r="B34" s="6">
        <v>4</v>
      </c>
      <c r="C34" s="7">
        <v>3</v>
      </c>
      <c r="D34" s="9">
        <v>0</v>
      </c>
      <c r="E34" s="7">
        <f>13*3</f>
        <v>39</v>
      </c>
      <c r="F34" s="10">
        <f t="shared" si="18"/>
        <v>2.369215857410143</v>
      </c>
      <c r="G34" s="10">
        <f t="shared" ref="G34" si="20">AVERAGE(F33,F34)</f>
        <v>2.1132741769207057</v>
      </c>
      <c r="H34" s="11">
        <f t="shared" ref="H34" si="21">AVERAGE(G30,G32,G34)</f>
        <v>2.5019167408828156</v>
      </c>
      <c r="I34" s="12">
        <f t="shared" ref="I34" si="22">STDEV(G30,G32,G34)</f>
        <v>0.34228573424475783</v>
      </c>
      <c r="J34" s="24"/>
      <c r="K34" s="24"/>
    </row>
    <row r="35" spans="2:11" x14ac:dyDescent="0.45">
      <c r="B35" s="6">
        <v>5</v>
      </c>
      <c r="C35" s="7">
        <v>1</v>
      </c>
      <c r="D35" s="9">
        <v>0</v>
      </c>
      <c r="E35" s="7">
        <f>18*3</f>
        <v>54</v>
      </c>
      <c r="F35" s="10">
        <f>LOG(E35*10^D35*(10+50)/10)</f>
        <v>2.510545010206612</v>
      </c>
      <c r="G35" s="10"/>
      <c r="H35" s="11"/>
      <c r="I35" s="12"/>
    </row>
    <row r="36" spans="2:11" x14ac:dyDescent="0.45">
      <c r="B36" s="6">
        <v>5</v>
      </c>
      <c r="C36" s="7">
        <v>1</v>
      </c>
      <c r="D36" s="9">
        <v>0</v>
      </c>
      <c r="E36" s="7">
        <f>13*3</f>
        <v>39</v>
      </c>
      <c r="F36" s="10">
        <f>LOG(E36*10^D36*(10+50)/10)</f>
        <v>2.369215857410143</v>
      </c>
      <c r="G36" s="10">
        <f t="shared" ref="G36" si="23">AVERAGE(F35,F36)</f>
        <v>2.4398804338083773</v>
      </c>
      <c r="H36" s="11"/>
      <c r="I36" s="12"/>
    </row>
    <row r="37" spans="2:11" x14ac:dyDescent="0.45">
      <c r="B37" s="6">
        <v>5</v>
      </c>
      <c r="C37" s="7">
        <v>2</v>
      </c>
      <c r="D37" s="9">
        <v>2</v>
      </c>
      <c r="E37" s="7">
        <v>64</v>
      </c>
      <c r="F37" s="10">
        <f t="shared" ref="F37:F40" si="24">LOG(E37*10^D37*(10+50)/10)</f>
        <v>4.5843312243675305</v>
      </c>
      <c r="G37" s="10"/>
      <c r="H37" s="11"/>
      <c r="I37" s="12"/>
    </row>
    <row r="38" spans="2:11" x14ac:dyDescent="0.45">
      <c r="B38" s="6">
        <v>5</v>
      </c>
      <c r="C38" s="7">
        <v>2</v>
      </c>
      <c r="D38" s="9">
        <v>2</v>
      </c>
      <c r="E38" s="7">
        <v>25</v>
      </c>
      <c r="F38" s="10">
        <f t="shared" si="24"/>
        <v>4.1760912590556813</v>
      </c>
      <c r="G38" s="10">
        <f t="shared" ref="G38" si="25">AVERAGE(F37,F38)</f>
        <v>4.3802112417116064</v>
      </c>
      <c r="H38" s="11"/>
      <c r="I38" s="12"/>
    </row>
    <row r="39" spans="2:11" x14ac:dyDescent="0.45">
      <c r="B39" s="6">
        <v>5</v>
      </c>
      <c r="C39" s="7">
        <v>3</v>
      </c>
      <c r="D39" s="9">
        <v>0</v>
      </c>
      <c r="E39" s="7">
        <f>43*3</f>
        <v>129</v>
      </c>
      <c r="F39" s="10">
        <f t="shared" si="24"/>
        <v>2.8887409606828927</v>
      </c>
      <c r="G39" s="10"/>
      <c r="H39" s="11"/>
      <c r="I39" s="12"/>
    </row>
    <row r="40" spans="2:11" x14ac:dyDescent="0.45">
      <c r="B40" s="6">
        <v>5</v>
      </c>
      <c r="C40" s="7">
        <v>3</v>
      </c>
      <c r="D40" s="9">
        <v>0</v>
      </c>
      <c r="E40" s="7">
        <f>29*3</f>
        <v>87</v>
      </c>
      <c r="F40" s="10">
        <f t="shared" si="24"/>
        <v>2.7176705030022621</v>
      </c>
      <c r="G40" s="10">
        <f t="shared" ref="G40" si="26">AVERAGE(F39,F40)</f>
        <v>2.8032057318425774</v>
      </c>
      <c r="H40" s="11">
        <f>AVERAGE(G36,G38,G40)</f>
        <v>3.2077658024541869</v>
      </c>
      <c r="I40" s="12">
        <f>STDEV(G36,G38,G40)</f>
        <v>1.0314904503070073</v>
      </c>
      <c r="J40" s="24"/>
      <c r="K40" s="24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E3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2:S46"/>
  <sheetViews>
    <sheetView zoomScale="70" zoomScaleNormal="70" workbookViewId="0"/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3" width="13.33203125" style="1" bestFit="1" customWidth="1"/>
    <col min="14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13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B11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0</v>
      </c>
      <c r="E5" s="9">
        <f>22*3</f>
        <v>66</v>
      </c>
      <c r="F5" s="17">
        <f>LOG(E5*10^D5*(10+50)/10)</f>
        <v>2.5976951859255122</v>
      </c>
      <c r="G5" s="10"/>
      <c r="H5" s="11"/>
      <c r="I5" s="12"/>
      <c r="L5" s="28" t="s">
        <v>0</v>
      </c>
      <c r="M5" s="13">
        <f>H10</f>
        <v>2.5086932393686663</v>
      </c>
      <c r="N5" s="13">
        <f>H16</f>
        <v>2.5644050608357762</v>
      </c>
      <c r="O5" s="13">
        <f>H22</f>
        <v>2.080450610582572</v>
      </c>
      <c r="P5" s="13">
        <f>H28</f>
        <v>2.5924133540855063</v>
      </c>
      <c r="Q5" s="13">
        <f>H34</f>
        <v>5.3969575531044711</v>
      </c>
      <c r="R5" s="13">
        <f>H40</f>
        <v>5.1816264781086021</v>
      </c>
      <c r="S5" s="13">
        <f>H46</f>
        <v>5.1349820233966481</v>
      </c>
    </row>
    <row r="6" spans="1:19" x14ac:dyDescent="0.45">
      <c r="B6" s="6" t="s">
        <v>12</v>
      </c>
      <c r="C6" s="7">
        <v>1</v>
      </c>
      <c r="D6" s="9">
        <v>0</v>
      </c>
      <c r="E6" s="9">
        <f>26*3</f>
        <v>78</v>
      </c>
      <c r="F6" s="17">
        <f>LOG(E6*10^D6*(10+50)/10)</f>
        <v>2.6702458530741242</v>
      </c>
      <c r="G6" s="10">
        <f>AVERAGE(F5:F6)</f>
        <v>2.633970519499818</v>
      </c>
      <c r="H6" s="11"/>
      <c r="I6" s="12"/>
      <c r="L6" s="28" t="s">
        <v>1</v>
      </c>
      <c r="M6" s="13">
        <f>I10</f>
        <v>0.33475683434867287</v>
      </c>
      <c r="N6" s="13">
        <f>I16</f>
        <v>0.14274451630285406</v>
      </c>
      <c r="O6" s="13">
        <f>I22</f>
        <v>1.1846139435101612</v>
      </c>
      <c r="P6" s="13">
        <f>I28</f>
        <v>8.1750353224434594E-2</v>
      </c>
      <c r="Q6" s="13">
        <f>I34</f>
        <v>0.20733277256127342</v>
      </c>
      <c r="R6" s="13">
        <f>I40</f>
        <v>5.5090620559727237E-2</v>
      </c>
      <c r="S6" s="13">
        <f>I46</f>
        <v>1.7990005498671353</v>
      </c>
    </row>
    <row r="7" spans="1:19" x14ac:dyDescent="0.45">
      <c r="B7" s="6" t="s">
        <v>12</v>
      </c>
      <c r="C7" s="7">
        <v>2</v>
      </c>
      <c r="D7" s="9">
        <v>0</v>
      </c>
      <c r="E7" s="9">
        <v>24</v>
      </c>
      <c r="F7" s="17">
        <f t="shared" ref="F7:F10" si="0">LOG(E7*10^D7*(10+50)/10)</f>
        <v>2.1583624920952498</v>
      </c>
      <c r="G7" s="10"/>
      <c r="H7" s="11"/>
      <c r="I7" s="12"/>
    </row>
    <row r="8" spans="1:19" x14ac:dyDescent="0.45">
      <c r="B8" s="6" t="s">
        <v>12</v>
      </c>
      <c r="C8" s="7">
        <v>2</v>
      </c>
      <c r="D8" s="9">
        <v>0</v>
      </c>
      <c r="E8" s="9">
        <v>21</v>
      </c>
      <c r="F8" s="17">
        <f t="shared" si="0"/>
        <v>2.1003705451175629</v>
      </c>
      <c r="G8" s="10">
        <f t="shared" ref="G8:G22" si="1">AVERAGE(F7:F8)</f>
        <v>2.1293665186064064</v>
      </c>
      <c r="H8" s="11"/>
      <c r="I8" s="12"/>
    </row>
    <row r="9" spans="1:19" x14ac:dyDescent="0.45">
      <c r="B9" s="6" t="s">
        <v>12</v>
      </c>
      <c r="C9" s="7">
        <v>3</v>
      </c>
      <c r="D9" s="9">
        <v>0</v>
      </c>
      <c r="E9" s="9">
        <f>45*3</f>
        <v>135</v>
      </c>
      <c r="F9" s="17">
        <f t="shared" si="0"/>
        <v>2.90848501887865</v>
      </c>
      <c r="G9" s="10"/>
      <c r="H9" s="11"/>
      <c r="I9" s="12"/>
    </row>
    <row r="10" spans="1:19" x14ac:dyDescent="0.45">
      <c r="B10" s="6" t="s">
        <v>12</v>
      </c>
      <c r="C10" s="7">
        <v>3</v>
      </c>
      <c r="D10" s="9">
        <v>0</v>
      </c>
      <c r="E10" s="9">
        <f>23*3</f>
        <v>69</v>
      </c>
      <c r="F10" s="17">
        <f t="shared" si="0"/>
        <v>2.6170003411208991</v>
      </c>
      <c r="G10" s="10">
        <f t="shared" si="1"/>
        <v>2.7627426799997745</v>
      </c>
      <c r="H10" s="11">
        <f>AVERAGE(G6,G8,G10)</f>
        <v>2.5086932393686663</v>
      </c>
      <c r="I10" s="12">
        <f>STDEV(G6,G8,G10)</f>
        <v>0.33475683434867287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9">
        <f>14*3</f>
        <v>42</v>
      </c>
      <c r="F11" s="17">
        <f>LOG(E11*10^D11*(10+50)/10)</f>
        <v>2.4014005407815442</v>
      </c>
      <c r="G11" s="10"/>
      <c r="H11" s="11"/>
      <c r="I11" s="12"/>
    </row>
    <row r="12" spans="1:19" x14ac:dyDescent="0.45">
      <c r="B12" s="6">
        <v>0</v>
      </c>
      <c r="C12" s="7">
        <v>1</v>
      </c>
      <c r="D12" s="9">
        <v>0</v>
      </c>
      <c r="E12" s="9">
        <f>46*3</f>
        <v>138</v>
      </c>
      <c r="F12" s="19">
        <f>LOG(E12*10^D12*(10+50)/10)</f>
        <v>2.9180303367848803</v>
      </c>
      <c r="G12" s="10">
        <f t="shared" si="1"/>
        <v>2.6597154387832123</v>
      </c>
      <c r="H12" s="11"/>
      <c r="I12" s="12"/>
    </row>
    <row r="13" spans="1:19" x14ac:dyDescent="0.45">
      <c r="B13" s="6">
        <v>0</v>
      </c>
      <c r="C13" s="7">
        <v>2</v>
      </c>
      <c r="D13" s="9">
        <v>0</v>
      </c>
      <c r="E13" s="9">
        <v>45</v>
      </c>
      <c r="F13" s="17">
        <f t="shared" ref="F13:F16" si="2">LOG(E13*10^D13*(10+50)/10)</f>
        <v>2.4313637641589874</v>
      </c>
      <c r="G13" s="10"/>
      <c r="H13" s="11"/>
      <c r="I13" s="12"/>
    </row>
    <row r="14" spans="1:19" x14ac:dyDescent="0.45">
      <c r="B14" s="6">
        <v>0</v>
      </c>
      <c r="C14" s="7">
        <v>2</v>
      </c>
      <c r="D14" s="9">
        <v>0</v>
      </c>
      <c r="E14" s="9">
        <f>13*3</f>
        <v>39</v>
      </c>
      <c r="F14" s="19">
        <f t="shared" si="2"/>
        <v>2.369215857410143</v>
      </c>
      <c r="G14" s="10">
        <f t="shared" si="1"/>
        <v>2.4002898107845652</v>
      </c>
      <c r="H14" s="11"/>
      <c r="I14" s="12"/>
    </row>
    <row r="15" spans="1:19" x14ac:dyDescent="0.45">
      <c r="B15" s="6">
        <v>0</v>
      </c>
      <c r="C15" s="7">
        <v>3</v>
      </c>
      <c r="D15" s="9">
        <v>0</v>
      </c>
      <c r="E15" s="9">
        <f>19*3</f>
        <v>57</v>
      </c>
      <c r="F15" s="17">
        <f t="shared" si="2"/>
        <v>2.5340261060561349</v>
      </c>
      <c r="G15" s="10"/>
      <c r="H15" s="11"/>
      <c r="I15" s="12"/>
    </row>
    <row r="16" spans="1:19" x14ac:dyDescent="0.45">
      <c r="B16" s="6">
        <v>0</v>
      </c>
      <c r="C16" s="7">
        <v>3</v>
      </c>
      <c r="D16" s="9">
        <v>0</v>
      </c>
      <c r="E16" s="9">
        <v>90</v>
      </c>
      <c r="F16" s="19">
        <f t="shared" si="2"/>
        <v>2.7323937598229686</v>
      </c>
      <c r="G16" s="10">
        <f t="shared" si="1"/>
        <v>2.6332099329395517</v>
      </c>
      <c r="H16" s="11">
        <f>AVERAGE(G12,G14,G16)</f>
        <v>2.5644050608357762</v>
      </c>
      <c r="I16" s="12">
        <f>STDEV(G12,G14,G16)</f>
        <v>0.14274451630285406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9">
        <f>13*3</f>
        <v>39</v>
      </c>
      <c r="F17" s="17">
        <f>LOG(E17*10^D17*(10+50)/10)</f>
        <v>2.369215857410143</v>
      </c>
      <c r="G17" s="10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9">
        <f>13*3</f>
        <v>39</v>
      </c>
      <c r="F18" s="19">
        <f>LOG(E18*10^D18*(10+50)/10)</f>
        <v>2.369215857410143</v>
      </c>
      <c r="G18" s="10">
        <f t="shared" si="1"/>
        <v>2.369215857410143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9">
        <v>1</v>
      </c>
      <c r="F19" s="17">
        <f>LOG(E19*10^D19*(10+50)/10)</f>
        <v>0.77815125038364363</v>
      </c>
      <c r="G19" s="10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9">
        <v>1</v>
      </c>
      <c r="F20" s="17">
        <f>LOG(E20*10^D20*(10+50)/10)</f>
        <v>0.77815125038364363</v>
      </c>
      <c r="G20" s="10">
        <f t="shared" si="1"/>
        <v>0.77815125038364363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9">
        <f>61*3</f>
        <v>183</v>
      </c>
      <c r="F21" s="17">
        <f t="shared" ref="F21:F22" si="3">LOG(E21*10^D21*(10+50)/10)</f>
        <v>3.0406023401140732</v>
      </c>
      <c r="G21" s="10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78*3</f>
        <v>234</v>
      </c>
      <c r="F22" s="19">
        <f t="shared" si="3"/>
        <v>3.1473671077937864</v>
      </c>
      <c r="G22" s="10">
        <f t="shared" si="1"/>
        <v>3.0939847239539295</v>
      </c>
      <c r="H22" s="11">
        <f t="shared" ref="H22" si="4">AVERAGE(G18,G20,G22)</f>
        <v>2.080450610582572</v>
      </c>
      <c r="I22" s="12">
        <f t="shared" ref="I22" si="5">STDEV(G18,G20,G22)</f>
        <v>1.1846139435101612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17*3</f>
        <v>51</v>
      </c>
      <c r="F23" s="10">
        <f>LOG(E23*10^D23*(10+50)/10)</f>
        <v>2.4857214264815801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18*3</f>
        <v>54</v>
      </c>
      <c r="F24" s="10">
        <f>LOG(E24*10^D24*(10+50)/10)</f>
        <v>2.510545010206612</v>
      </c>
      <c r="G24" s="10">
        <f t="shared" ref="G24" si="6">AVERAGE(F23,F24)</f>
        <v>2.4981332183440959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16*3</f>
        <v>48</v>
      </c>
      <c r="F25" s="10">
        <f t="shared" ref="F25:F28" si="7">LOG(E25*10^D25*(10+50)/10)</f>
        <v>2.459392487759231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36*3</f>
        <v>108</v>
      </c>
      <c r="F26" s="10">
        <f t="shared" si="7"/>
        <v>2.8115750058705933</v>
      </c>
      <c r="G26" s="10">
        <f t="shared" ref="G26" si="8">AVERAGE(F25,F26)</f>
        <v>2.6354837468149119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23*3</f>
        <v>69</v>
      </c>
      <c r="F27" s="10">
        <f t="shared" si="7"/>
        <v>2.6170003411208991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26*3</f>
        <v>78</v>
      </c>
      <c r="F28" s="10">
        <f t="shared" si="7"/>
        <v>2.6702458530741242</v>
      </c>
      <c r="G28" s="10">
        <f t="shared" ref="G28" si="9">AVERAGE(F27,F28)</f>
        <v>2.6436230970975116</v>
      </c>
      <c r="H28" s="11">
        <f t="shared" ref="H28" si="10">AVERAGE(G24,G26,G28)</f>
        <v>2.5924133540855063</v>
      </c>
      <c r="I28" s="12">
        <f t="shared" ref="I28" si="11">STDEV(G24,G26,G28)</f>
        <v>8.1750353224434594E-2</v>
      </c>
      <c r="J28" s="24"/>
      <c r="K28" s="24"/>
    </row>
    <row r="29" spans="2:11" x14ac:dyDescent="0.45">
      <c r="B29" s="6">
        <v>3</v>
      </c>
      <c r="C29" s="7">
        <v>1</v>
      </c>
      <c r="D29" s="9">
        <v>2</v>
      </c>
      <c r="E29" s="7">
        <f>61*8</f>
        <v>488</v>
      </c>
      <c r="F29" s="10">
        <f>LOG(E29*10^D29*(10+50)/10)</f>
        <v>5.4665710723863539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2</v>
      </c>
      <c r="E30" s="7">
        <f>65*8</f>
        <v>520</v>
      </c>
      <c r="F30" s="10">
        <f>LOG(E30*10^D30*(10+50)/10)</f>
        <v>5.4941545940184424</v>
      </c>
      <c r="G30" s="10">
        <f t="shared" ref="G30" si="12">AVERAGE(F29,F30)</f>
        <v>5.4803628332023981</v>
      </c>
      <c r="H30" s="11"/>
      <c r="I30" s="12"/>
    </row>
    <row r="31" spans="2:11" x14ac:dyDescent="0.45">
      <c r="B31" s="6">
        <v>3</v>
      </c>
      <c r="C31" s="7">
        <v>2</v>
      </c>
      <c r="D31" s="9">
        <v>2</v>
      </c>
      <c r="E31" s="7">
        <f>155*2</f>
        <v>310</v>
      </c>
      <c r="F31" s="10">
        <f t="shared" ref="F31:F34" si="13">LOG(E31*10^D31*(10+50)/10)</f>
        <v>5.2695129442179161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2</v>
      </c>
      <c r="E32" s="7">
        <f>47*4</f>
        <v>188</v>
      </c>
      <c r="F32" s="10">
        <f t="shared" si="13"/>
        <v>5.0523090996473234</v>
      </c>
      <c r="G32" s="10">
        <f t="shared" ref="G32" si="14">AVERAGE(F31,F32)</f>
        <v>5.1609110219326197</v>
      </c>
      <c r="H32" s="11"/>
      <c r="I32" s="12"/>
    </row>
    <row r="33" spans="2:11" x14ac:dyDescent="0.45">
      <c r="B33" s="6">
        <v>3</v>
      </c>
      <c r="C33" s="7">
        <v>3</v>
      </c>
      <c r="D33" s="9">
        <v>2</v>
      </c>
      <c r="E33" s="7">
        <f>101*8</f>
        <v>808</v>
      </c>
      <c r="F33" s="10">
        <f t="shared" si="13"/>
        <v>5.6855626111582298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2</v>
      </c>
      <c r="E34" s="7">
        <f>54*8</f>
        <v>432</v>
      </c>
      <c r="F34" s="10">
        <f t="shared" si="13"/>
        <v>5.4136349971985558</v>
      </c>
      <c r="G34" s="10">
        <f t="shared" ref="G34" si="15">AVERAGE(F33,F34)</f>
        <v>5.5495988041783928</v>
      </c>
      <c r="H34" s="11">
        <f t="shared" ref="H34" si="16">AVERAGE(G30,G32,G34)</f>
        <v>5.3969575531044711</v>
      </c>
      <c r="I34" s="12">
        <f t="shared" ref="I34" si="17">STDEV(G30,G32,G34)</f>
        <v>0.20733277256127342</v>
      </c>
      <c r="J34" s="24"/>
      <c r="K34" s="24"/>
    </row>
    <row r="35" spans="2:11" x14ac:dyDescent="0.45">
      <c r="B35" s="6">
        <v>4</v>
      </c>
      <c r="C35" s="7">
        <v>1</v>
      </c>
      <c r="D35" s="7">
        <v>2</v>
      </c>
      <c r="E35" s="7">
        <f>66*4</f>
        <v>264</v>
      </c>
      <c r="F35" s="10">
        <f>LOG(E35*10^D35*(10+50)/10)</f>
        <v>5.1997551772534747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7">
        <v>2</v>
      </c>
      <c r="E36" s="7">
        <f>47*4</f>
        <v>188</v>
      </c>
      <c r="F36" s="10">
        <f>LOG(E36*10^D36*(10+50)/10)</f>
        <v>5.0523090996473234</v>
      </c>
      <c r="G36" s="10">
        <f t="shared" ref="G36" si="18">AVERAGE(F35,F36)</f>
        <v>5.1260321384503991</v>
      </c>
      <c r="H36" s="11"/>
      <c r="I36" s="12"/>
    </row>
    <row r="37" spans="2:11" x14ac:dyDescent="0.45">
      <c r="B37" s="6">
        <v>4</v>
      </c>
      <c r="C37" s="7">
        <v>2</v>
      </c>
      <c r="D37" s="7">
        <v>2</v>
      </c>
      <c r="E37" s="7">
        <f>112*2</f>
        <v>224</v>
      </c>
      <c r="F37" s="10">
        <f t="shared" ref="F37:F40" si="19">LOG(E37*10^D37*(10+50)/10)</f>
        <v>5.1283992687178062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7">
        <v>2</v>
      </c>
      <c r="E38" s="7">
        <f>92*4</f>
        <v>368</v>
      </c>
      <c r="F38" s="10">
        <f t="shared" si="19"/>
        <v>5.343999069057161</v>
      </c>
      <c r="G38" s="10">
        <f t="shared" ref="G38" si="20">AVERAGE(F37,F38)</f>
        <v>5.2361991688874836</v>
      </c>
      <c r="H38" s="11"/>
      <c r="I38" s="12"/>
    </row>
    <row r="39" spans="2:11" x14ac:dyDescent="0.45">
      <c r="B39" s="6">
        <v>4</v>
      </c>
      <c r="C39" s="7">
        <v>3</v>
      </c>
      <c r="D39" s="7">
        <v>2</v>
      </c>
      <c r="E39" s="7">
        <f>61*3</f>
        <v>183</v>
      </c>
      <c r="F39" s="10">
        <f t="shared" si="19"/>
        <v>5.0406023401140727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7">
        <v>2</v>
      </c>
      <c r="E40" s="7">
        <f>88*4</f>
        <v>352</v>
      </c>
      <c r="F40" s="10">
        <f t="shared" si="19"/>
        <v>5.3246939138617746</v>
      </c>
      <c r="G40" s="10">
        <f t="shared" ref="G40" si="21">AVERAGE(F39,F40)</f>
        <v>5.1826481269879237</v>
      </c>
      <c r="H40" s="11">
        <f t="shared" ref="H40" si="22">AVERAGE(G36,G38,G40)</f>
        <v>5.1816264781086021</v>
      </c>
      <c r="I40" s="12">
        <f t="shared" ref="I40" si="23">STDEV(G36,G38,G40)</f>
        <v>5.5090620559727237E-2</v>
      </c>
      <c r="J40" s="24"/>
      <c r="K40" s="24"/>
    </row>
    <row r="41" spans="2:11" x14ac:dyDescent="0.45">
      <c r="B41" s="6">
        <v>5</v>
      </c>
      <c r="C41" s="7">
        <v>1</v>
      </c>
      <c r="D41" s="9">
        <v>2</v>
      </c>
      <c r="E41" s="7">
        <v>540</v>
      </c>
      <c r="F41" s="10">
        <f>LOG(E41*10^D41*(10+50)/10)</f>
        <v>5.510545010206612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9">
        <v>2</v>
      </c>
      <c r="E42" s="7">
        <v>580</v>
      </c>
      <c r="F42" s="10">
        <f>LOG(E42*10^D42*(10+50)/10)</f>
        <v>5.5415792439465807</v>
      </c>
      <c r="G42" s="10">
        <f t="shared" ref="G42" si="24">AVERAGE(F41,F42)</f>
        <v>5.5260621270765959</v>
      </c>
      <c r="H42" s="11"/>
      <c r="I42" s="12"/>
    </row>
    <row r="43" spans="2:11" x14ac:dyDescent="0.45">
      <c r="B43" s="6">
        <v>5</v>
      </c>
      <c r="C43" s="7">
        <v>2</v>
      </c>
      <c r="D43" s="9">
        <v>4</v>
      </c>
      <c r="E43" s="7">
        <v>133</v>
      </c>
      <c r="F43" s="10">
        <f t="shared" ref="F43:F46" si="25">LOG(E43*10^D43*(10+50)/10)</f>
        <v>6.9020028913507296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9">
        <v>4</v>
      </c>
      <c r="E44" s="7">
        <v>54</v>
      </c>
      <c r="F44" s="10">
        <f t="shared" si="25"/>
        <v>6.510545010206612</v>
      </c>
      <c r="G44" s="10">
        <f t="shared" ref="G44" si="26">AVERAGE(F43,F44)</f>
        <v>6.7062739507786713</v>
      </c>
      <c r="H44" s="11"/>
      <c r="I44" s="12"/>
    </row>
    <row r="45" spans="2:11" x14ac:dyDescent="0.45">
      <c r="B45" s="6">
        <v>5</v>
      </c>
      <c r="C45" s="7">
        <v>3</v>
      </c>
      <c r="D45" s="9">
        <v>0</v>
      </c>
      <c r="E45" s="7">
        <f>102*3</f>
        <v>306</v>
      </c>
      <c r="F45" s="10">
        <f t="shared" si="25"/>
        <v>3.2638726768652235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9">
        <v>0</v>
      </c>
      <c r="E46" s="7">
        <f>67*3</f>
        <v>201</v>
      </c>
      <c r="F46" s="10">
        <f t="shared" si="25"/>
        <v>3.0813473078041325</v>
      </c>
      <c r="G46" s="10">
        <f t="shared" ref="G46" si="27">AVERAGE(F45,F46)</f>
        <v>3.172609992334678</v>
      </c>
      <c r="H46" s="11">
        <f t="shared" ref="H46" si="28">AVERAGE(G42,G44,G46)</f>
        <v>5.1349820233966481</v>
      </c>
      <c r="I46" s="12">
        <f t="shared" ref="I46" si="29">STDEV(G42,G44,G46)</f>
        <v>1.7990005498671353</v>
      </c>
      <c r="J46" s="24"/>
      <c r="K46" s="2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2:S62"/>
  <sheetViews>
    <sheetView zoomScale="70" zoomScaleNormal="70" workbookViewId="0"/>
  </sheetViews>
  <sheetFormatPr defaultRowHeight="14" x14ac:dyDescent="0.45"/>
  <cols>
    <col min="1" max="1" width="8.6640625" style="1"/>
    <col min="2" max="2" width="13.33203125" style="1" bestFit="1" customWidth="1"/>
    <col min="3" max="5" width="8.6640625" style="1"/>
    <col min="6" max="6" width="10.83203125" style="1" bestFit="1" customWidth="1"/>
    <col min="7" max="9" width="8.6640625" style="1"/>
    <col min="10" max="11" width="8.6640625" style="14"/>
    <col min="12" max="12" width="13.25" style="1" customWidth="1"/>
    <col min="13" max="13" width="13.33203125" style="1" bestFit="1" customWidth="1"/>
    <col min="14" max="16384" width="8.6640625" style="1"/>
  </cols>
  <sheetData>
    <row r="2" spans="1:19" x14ac:dyDescent="0.45">
      <c r="A2" s="14"/>
      <c r="B2" s="16" t="s">
        <v>2</v>
      </c>
      <c r="C2" s="15" t="s">
        <v>8</v>
      </c>
      <c r="D2" s="16" t="s">
        <v>14</v>
      </c>
      <c r="E2" s="15" t="s">
        <v>9</v>
      </c>
      <c r="F2" s="16" t="s">
        <v>3</v>
      </c>
      <c r="G2" s="15" t="s">
        <v>10</v>
      </c>
      <c r="H2" s="14" t="s">
        <v>25</v>
      </c>
      <c r="I2" s="14"/>
    </row>
    <row r="3" spans="1:19" ht="14.5" thickBot="1" x14ac:dyDescent="0.5"/>
    <row r="4" spans="1:19" x14ac:dyDescent="0.45">
      <c r="B4" s="2" t="s">
        <v>15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0</v>
      </c>
      <c r="H4" s="8" t="s">
        <v>16</v>
      </c>
      <c r="I4" s="4" t="s">
        <v>1</v>
      </c>
      <c r="L4" s="27" t="str">
        <f>B4</f>
        <v>Time (w)</v>
      </c>
      <c r="M4" s="27" t="str">
        <f>B5</f>
        <v>초고압 처리전</v>
      </c>
      <c r="N4" s="27">
        <f>B11</f>
        <v>0</v>
      </c>
      <c r="O4" s="27">
        <f>B17</f>
        <v>1</v>
      </c>
      <c r="P4" s="27">
        <f>B23</f>
        <v>2</v>
      </c>
      <c r="Q4" s="27">
        <f>B29</f>
        <v>3</v>
      </c>
      <c r="R4" s="27">
        <f>B35</f>
        <v>4</v>
      </c>
      <c r="S4" s="27">
        <f>B41</f>
        <v>5</v>
      </c>
    </row>
    <row r="5" spans="1:19" x14ac:dyDescent="0.45">
      <c r="B5" s="6" t="s">
        <v>12</v>
      </c>
      <c r="C5" s="7">
        <v>1</v>
      </c>
      <c r="D5" s="9">
        <v>0</v>
      </c>
      <c r="E5" s="9">
        <f>22*3</f>
        <v>66</v>
      </c>
      <c r="F5" s="17">
        <f>LOG(E5*10^D5*(10+50)/10)</f>
        <v>2.5976951859255122</v>
      </c>
      <c r="G5" s="10"/>
      <c r="H5" s="11"/>
      <c r="I5" s="12"/>
      <c r="L5" s="28" t="s">
        <v>0</v>
      </c>
      <c r="M5" s="13">
        <f>H10</f>
        <v>2.5086932393686663</v>
      </c>
      <c r="N5" s="13">
        <f>H16</f>
        <v>2.5710382178610542</v>
      </c>
      <c r="O5" s="13">
        <f>H22</f>
        <v>2.6433692358657734</v>
      </c>
      <c r="P5" s="13">
        <f>H28</f>
        <v>2.2175702459335049</v>
      </c>
      <c r="Q5" s="13">
        <f>H34</f>
        <v>6.1888517214954009</v>
      </c>
      <c r="R5" s="13">
        <f>H40</f>
        <v>7.0424927303995872</v>
      </c>
      <c r="S5" s="13">
        <f>H46</f>
        <v>6.6677357070438505</v>
      </c>
    </row>
    <row r="6" spans="1:19" x14ac:dyDescent="0.45">
      <c r="B6" s="6" t="s">
        <v>12</v>
      </c>
      <c r="C6" s="7">
        <v>1</v>
      </c>
      <c r="D6" s="9">
        <v>0</v>
      </c>
      <c r="E6" s="9">
        <f>26*3</f>
        <v>78</v>
      </c>
      <c r="F6" s="17">
        <f>LOG(E6*10^D6*(10+50)/10)</f>
        <v>2.6702458530741242</v>
      </c>
      <c r="G6" s="10">
        <f>AVERAGE(F5:F6)</f>
        <v>2.633970519499818</v>
      </c>
      <c r="H6" s="11"/>
      <c r="I6" s="12"/>
      <c r="L6" s="28" t="s">
        <v>1</v>
      </c>
      <c r="M6" s="13">
        <f>I10</f>
        <v>0.33475683434867287</v>
      </c>
      <c r="N6" s="13">
        <f>I16</f>
        <v>0.11886322093183595</v>
      </c>
      <c r="O6" s="13">
        <f>I22</f>
        <v>8.3120194727706959E-2</v>
      </c>
      <c r="P6" s="13">
        <f>I28</f>
        <v>0.3298723412007748</v>
      </c>
      <c r="Q6" s="13">
        <f>I34</f>
        <v>0.43480015944214268</v>
      </c>
      <c r="R6" s="13">
        <f>I40</f>
        <v>0.61411501515016886</v>
      </c>
      <c r="S6" s="13">
        <f>I46</f>
        <v>0.51516222972351378</v>
      </c>
    </row>
    <row r="7" spans="1:19" x14ac:dyDescent="0.45">
      <c r="B7" s="6" t="s">
        <v>12</v>
      </c>
      <c r="C7" s="7">
        <v>2</v>
      </c>
      <c r="D7" s="9">
        <v>0</v>
      </c>
      <c r="E7" s="9">
        <v>24</v>
      </c>
      <c r="F7" s="17">
        <f t="shared" ref="F7:F10" si="0">LOG(E7*10^D7*(10+50)/10)</f>
        <v>2.1583624920952498</v>
      </c>
      <c r="G7" s="10"/>
      <c r="H7" s="11"/>
      <c r="I7" s="12"/>
    </row>
    <row r="8" spans="1:19" x14ac:dyDescent="0.45">
      <c r="B8" s="6" t="s">
        <v>12</v>
      </c>
      <c r="C8" s="7">
        <v>2</v>
      </c>
      <c r="D8" s="9">
        <v>0</v>
      </c>
      <c r="E8" s="9">
        <v>21</v>
      </c>
      <c r="F8" s="17">
        <f t="shared" si="0"/>
        <v>2.1003705451175629</v>
      </c>
      <c r="G8" s="10">
        <f t="shared" ref="G8:G10" si="1">AVERAGE(F7:F8)</f>
        <v>2.1293665186064064</v>
      </c>
      <c r="H8" s="11"/>
      <c r="I8" s="12"/>
    </row>
    <row r="9" spans="1:19" x14ac:dyDescent="0.45">
      <c r="B9" s="6" t="s">
        <v>12</v>
      </c>
      <c r="C9" s="7">
        <v>3</v>
      </c>
      <c r="D9" s="9">
        <v>0</v>
      </c>
      <c r="E9" s="9">
        <f>45*3</f>
        <v>135</v>
      </c>
      <c r="F9" s="17">
        <f t="shared" si="0"/>
        <v>2.90848501887865</v>
      </c>
      <c r="G9" s="10"/>
      <c r="H9" s="11"/>
      <c r="I9" s="12"/>
    </row>
    <row r="10" spans="1:19" x14ac:dyDescent="0.45">
      <c r="B10" s="6" t="s">
        <v>12</v>
      </c>
      <c r="C10" s="7">
        <v>3</v>
      </c>
      <c r="D10" s="9">
        <v>0</v>
      </c>
      <c r="E10" s="9">
        <f>23*3</f>
        <v>69</v>
      </c>
      <c r="F10" s="17">
        <f t="shared" si="0"/>
        <v>2.6170003411208991</v>
      </c>
      <c r="G10" s="10">
        <f t="shared" si="1"/>
        <v>2.7627426799997745</v>
      </c>
      <c r="H10" s="11">
        <f>AVERAGE(G6,G8,G10)</f>
        <v>2.5086932393686663</v>
      </c>
      <c r="I10" s="12">
        <f>STDEV(G6,G8,G10)</f>
        <v>0.33475683434867287</v>
      </c>
      <c r="J10" s="24"/>
      <c r="K10" s="24"/>
    </row>
    <row r="11" spans="1:19" x14ac:dyDescent="0.45">
      <c r="B11" s="6">
        <v>0</v>
      </c>
      <c r="C11" s="7">
        <v>1</v>
      </c>
      <c r="D11" s="9">
        <v>0</v>
      </c>
      <c r="E11" s="9">
        <f>23*3</f>
        <v>69</v>
      </c>
      <c r="F11" s="19">
        <f>LOG(E11*10^D11*(10+50)/10)</f>
        <v>2.6170003411208991</v>
      </c>
      <c r="G11" s="17"/>
      <c r="H11" s="18"/>
      <c r="I11" s="12"/>
    </row>
    <row r="12" spans="1:19" x14ac:dyDescent="0.45">
      <c r="B12" s="6">
        <v>0</v>
      </c>
      <c r="C12" s="7">
        <v>1</v>
      </c>
      <c r="D12" s="9">
        <v>0</v>
      </c>
      <c r="E12" s="9">
        <v>30</v>
      </c>
      <c r="F12" s="19">
        <f>LOG(E12*10^D12*(10+50)/10)</f>
        <v>2.255272505103306</v>
      </c>
      <c r="G12" s="17">
        <f>AVERAGE(F11,F12)</f>
        <v>2.4361364231121025</v>
      </c>
      <c r="H12" s="18"/>
      <c r="I12" s="12"/>
    </row>
    <row r="13" spans="1:19" x14ac:dyDescent="0.45">
      <c r="B13" s="6">
        <v>0</v>
      </c>
      <c r="C13" s="7">
        <v>2</v>
      </c>
      <c r="D13" s="9">
        <v>0</v>
      </c>
      <c r="E13" s="9">
        <f>19*3</f>
        <v>57</v>
      </c>
      <c r="F13" s="19">
        <f t="shared" ref="F13:F16" si="2">LOG(E13*10^D13*(10+50)/10)</f>
        <v>2.5340261060561349</v>
      </c>
      <c r="G13" s="17"/>
      <c r="H13" s="18"/>
      <c r="I13" s="12"/>
    </row>
    <row r="14" spans="1:19" x14ac:dyDescent="0.45">
      <c r="B14" s="6">
        <v>0</v>
      </c>
      <c r="C14" s="7">
        <v>2</v>
      </c>
      <c r="D14" s="9">
        <v>0</v>
      </c>
      <c r="E14" s="9">
        <f>34*3</f>
        <v>102</v>
      </c>
      <c r="F14" s="19">
        <f t="shared" si="2"/>
        <v>2.7867514221455614</v>
      </c>
      <c r="G14" s="17">
        <f>AVERAGE(F13,F14)</f>
        <v>2.6603887641008481</v>
      </c>
      <c r="H14" s="18"/>
      <c r="I14" s="12"/>
    </row>
    <row r="15" spans="1:19" x14ac:dyDescent="0.45">
      <c r="B15" s="6">
        <v>0</v>
      </c>
      <c r="C15" s="7">
        <v>3</v>
      </c>
      <c r="D15" s="9">
        <v>0</v>
      </c>
      <c r="E15" s="9">
        <f>24*3</f>
        <v>72</v>
      </c>
      <c r="F15" s="19">
        <f t="shared" si="2"/>
        <v>2.6354837468149119</v>
      </c>
      <c r="G15" s="17"/>
      <c r="H15" s="18"/>
      <c r="I15" s="12"/>
    </row>
    <row r="16" spans="1:19" x14ac:dyDescent="0.45">
      <c r="B16" s="6">
        <v>0</v>
      </c>
      <c r="C16" s="7">
        <v>3</v>
      </c>
      <c r="D16" s="9">
        <v>0</v>
      </c>
      <c r="E16" s="9">
        <f>22*3</f>
        <v>66</v>
      </c>
      <c r="F16" s="19">
        <f t="shared" si="2"/>
        <v>2.5976951859255122</v>
      </c>
      <c r="G16" s="17">
        <f>AVERAGE(F15,F16)</f>
        <v>2.6165894663702121</v>
      </c>
      <c r="H16" s="11">
        <f>AVERAGE(G12,G14,G16)</f>
        <v>2.5710382178610542</v>
      </c>
      <c r="I16" s="12">
        <f>STDEV(G12,G14,G16)</f>
        <v>0.11886322093183595</v>
      </c>
      <c r="J16" s="24"/>
      <c r="K16" s="24"/>
    </row>
    <row r="17" spans="2:11" x14ac:dyDescent="0.45">
      <c r="B17" s="6">
        <v>1</v>
      </c>
      <c r="C17" s="7">
        <v>1</v>
      </c>
      <c r="D17" s="9">
        <v>0</v>
      </c>
      <c r="E17" s="9">
        <f>32*3</f>
        <v>96</v>
      </c>
      <c r="F17" s="19">
        <f>LOG(E17*10^D17*(10+50)/10)</f>
        <v>2.7604224834232118</v>
      </c>
      <c r="G17" s="17"/>
      <c r="H17" s="11"/>
      <c r="I17" s="12"/>
    </row>
    <row r="18" spans="2:11" x14ac:dyDescent="0.45">
      <c r="B18" s="6">
        <v>1</v>
      </c>
      <c r="C18" s="7">
        <v>1</v>
      </c>
      <c r="D18" s="9">
        <v>0</v>
      </c>
      <c r="E18" s="9">
        <f>23*3</f>
        <v>69</v>
      </c>
      <c r="F18" s="19">
        <f>LOG(E18*10^D18*(10+50)/10)</f>
        <v>2.6170003411208991</v>
      </c>
      <c r="G18" s="17">
        <f t="shared" ref="G18:G22" si="3">AVERAGE(F17,F18)</f>
        <v>2.6887114122720552</v>
      </c>
      <c r="H18" s="11"/>
      <c r="I18" s="12"/>
    </row>
    <row r="19" spans="2:11" x14ac:dyDescent="0.45">
      <c r="B19" s="6">
        <v>1</v>
      </c>
      <c r="C19" s="7">
        <v>2</v>
      </c>
      <c r="D19" s="9">
        <v>0</v>
      </c>
      <c r="E19" s="9">
        <f>26*3</f>
        <v>78</v>
      </c>
      <c r="F19" s="19">
        <f t="shared" ref="F19:F22" si="4">LOG(E19*10^D19*(10+50)/10)</f>
        <v>2.6702458530741242</v>
      </c>
      <c r="G19" s="17"/>
      <c r="H19" s="11"/>
      <c r="I19" s="12"/>
    </row>
    <row r="20" spans="2:11" x14ac:dyDescent="0.45">
      <c r="B20" s="6">
        <v>1</v>
      </c>
      <c r="C20" s="7">
        <v>2</v>
      </c>
      <c r="D20" s="9">
        <v>0</v>
      </c>
      <c r="E20" s="9">
        <f>29*3</f>
        <v>87</v>
      </c>
      <c r="F20" s="19">
        <f t="shared" si="4"/>
        <v>2.7176705030022621</v>
      </c>
      <c r="G20" s="17">
        <f t="shared" si="3"/>
        <v>2.6939581780381934</v>
      </c>
      <c r="H20" s="11"/>
      <c r="I20" s="12"/>
    </row>
    <row r="21" spans="2:11" x14ac:dyDescent="0.45">
      <c r="B21" s="6">
        <v>1</v>
      </c>
      <c r="C21" s="7">
        <v>3</v>
      </c>
      <c r="D21" s="9">
        <v>0</v>
      </c>
      <c r="E21" s="7">
        <f>24*3</f>
        <v>72</v>
      </c>
      <c r="F21" s="19">
        <f t="shared" si="4"/>
        <v>2.6354837468149119</v>
      </c>
      <c r="G21" s="17"/>
      <c r="H21" s="11"/>
      <c r="I21" s="12"/>
    </row>
    <row r="22" spans="2:11" x14ac:dyDescent="0.45">
      <c r="B22" s="6">
        <v>1</v>
      </c>
      <c r="C22" s="7">
        <v>3</v>
      </c>
      <c r="D22" s="9">
        <v>0</v>
      </c>
      <c r="E22" s="7">
        <f>16*3</f>
        <v>48</v>
      </c>
      <c r="F22" s="19">
        <f t="shared" si="4"/>
        <v>2.459392487759231</v>
      </c>
      <c r="G22" s="17">
        <f t="shared" si="3"/>
        <v>2.5474381172870713</v>
      </c>
      <c r="H22" s="11">
        <f t="shared" ref="H22" si="5">AVERAGE(G18,G20,G22)</f>
        <v>2.6433692358657734</v>
      </c>
      <c r="I22" s="12">
        <f t="shared" ref="I22" si="6">STDEV(G18,G20,G22)</f>
        <v>8.3120194727706959E-2</v>
      </c>
      <c r="J22" s="24"/>
      <c r="K22" s="24"/>
    </row>
    <row r="23" spans="2:11" x14ac:dyDescent="0.45">
      <c r="B23" s="6">
        <v>2</v>
      </c>
      <c r="C23" s="7">
        <v>1</v>
      </c>
      <c r="D23" s="9">
        <v>0</v>
      </c>
      <c r="E23" s="7">
        <f>3*3</f>
        <v>9</v>
      </c>
      <c r="F23" s="10">
        <f>LOG(E23*10^D23*(10+50)/10)</f>
        <v>1.7323937598229686</v>
      </c>
      <c r="G23" s="10"/>
      <c r="H23" s="11"/>
      <c r="I23" s="12"/>
    </row>
    <row r="24" spans="2:11" x14ac:dyDescent="0.45">
      <c r="B24" s="6">
        <v>2</v>
      </c>
      <c r="C24" s="7">
        <v>1</v>
      </c>
      <c r="D24" s="9">
        <v>0</v>
      </c>
      <c r="E24" s="7">
        <f>5*3</f>
        <v>15</v>
      </c>
      <c r="F24" s="10">
        <f>LOG(E24*10^D24*(10+50)/10)</f>
        <v>1.954242509439325</v>
      </c>
      <c r="G24" s="10">
        <f t="shared" ref="G24" si="7">AVERAGE(F23,F24)</f>
        <v>1.8433181346311467</v>
      </c>
      <c r="H24" s="11"/>
      <c r="I24" s="12"/>
    </row>
    <row r="25" spans="2:11" x14ac:dyDescent="0.45">
      <c r="B25" s="6">
        <v>2</v>
      </c>
      <c r="C25" s="7">
        <v>2</v>
      </c>
      <c r="D25" s="9">
        <v>0</v>
      </c>
      <c r="E25" s="7">
        <f>11*3</f>
        <v>33</v>
      </c>
      <c r="F25" s="10">
        <f t="shared" ref="F25:F28" si="8">LOG(E25*10^D25*(10+50)/10)</f>
        <v>2.2966651902615309</v>
      </c>
      <c r="G25" s="10"/>
      <c r="H25" s="11"/>
      <c r="I25" s="12"/>
    </row>
    <row r="26" spans="2:11" x14ac:dyDescent="0.45">
      <c r="B26" s="6">
        <v>2</v>
      </c>
      <c r="C26" s="7">
        <v>2</v>
      </c>
      <c r="D26" s="9">
        <v>0</v>
      </c>
      <c r="E26" s="7">
        <f>24*3</f>
        <v>72</v>
      </c>
      <c r="F26" s="10">
        <f t="shared" si="8"/>
        <v>2.6354837468149119</v>
      </c>
      <c r="G26" s="10">
        <f t="shared" ref="G26" si="9">AVERAGE(F25,F26)</f>
        <v>2.4660744685382214</v>
      </c>
      <c r="H26" s="11"/>
      <c r="I26" s="12"/>
    </row>
    <row r="27" spans="2:11" x14ac:dyDescent="0.45">
      <c r="B27" s="6">
        <v>2</v>
      </c>
      <c r="C27" s="7">
        <v>3</v>
      </c>
      <c r="D27" s="9">
        <v>0</v>
      </c>
      <c r="E27" s="7">
        <f>10*3</f>
        <v>30</v>
      </c>
      <c r="F27" s="10">
        <f t="shared" si="8"/>
        <v>2.255272505103306</v>
      </c>
      <c r="G27" s="10"/>
      <c r="H27" s="11"/>
      <c r="I27" s="12"/>
    </row>
    <row r="28" spans="2:11" x14ac:dyDescent="0.45">
      <c r="B28" s="6">
        <v>2</v>
      </c>
      <c r="C28" s="7">
        <v>3</v>
      </c>
      <c r="D28" s="9">
        <v>0</v>
      </c>
      <c r="E28" s="7">
        <f>15*3</f>
        <v>45</v>
      </c>
      <c r="F28" s="10">
        <f t="shared" si="8"/>
        <v>2.4313637641589874</v>
      </c>
      <c r="G28" s="10">
        <f t="shared" ref="G28" si="10">AVERAGE(F27,F28)</f>
        <v>2.3433181346311467</v>
      </c>
      <c r="H28" s="11">
        <f t="shared" ref="H28" si="11">AVERAGE(G24,G26,G28)</f>
        <v>2.2175702459335049</v>
      </c>
      <c r="I28" s="12">
        <f t="shared" ref="I28" si="12">STDEV(G24,G26,G28)</f>
        <v>0.3298723412007748</v>
      </c>
      <c r="J28" s="24"/>
      <c r="K28" s="24"/>
    </row>
    <row r="29" spans="2:11" x14ac:dyDescent="0.45">
      <c r="B29" s="6">
        <v>3</v>
      </c>
      <c r="C29" s="7">
        <v>1</v>
      </c>
      <c r="D29" s="9">
        <v>2</v>
      </c>
      <c r="E29" s="9">
        <f>77*60</f>
        <v>4620</v>
      </c>
      <c r="F29" s="10">
        <f>LOG(E29*10^D29*(10+50)/10)</f>
        <v>6.4427932259397691</v>
      </c>
      <c r="G29" s="10"/>
      <c r="H29" s="11"/>
      <c r="I29" s="12"/>
    </row>
    <row r="30" spans="2:11" x14ac:dyDescent="0.45">
      <c r="B30" s="6">
        <v>3</v>
      </c>
      <c r="C30" s="7">
        <v>1</v>
      </c>
      <c r="D30" s="9">
        <v>2</v>
      </c>
      <c r="E30" s="9">
        <f>100*60</f>
        <v>6000</v>
      </c>
      <c r="F30" s="10">
        <f>LOG(E30*10^D30*(10+50)/10)</f>
        <v>6.5563025007672868</v>
      </c>
      <c r="G30" s="10">
        <f t="shared" ref="G30" si="13">AVERAGE(F29,F30)</f>
        <v>6.499547863353528</v>
      </c>
      <c r="H30" s="11"/>
      <c r="I30" s="12"/>
    </row>
    <row r="31" spans="2:11" x14ac:dyDescent="0.45">
      <c r="B31" s="6">
        <v>3</v>
      </c>
      <c r="C31" s="7">
        <v>2</v>
      </c>
      <c r="D31" s="9">
        <v>2</v>
      </c>
      <c r="E31" s="9">
        <f>70*60</f>
        <v>4200</v>
      </c>
      <c r="F31" s="10">
        <f t="shared" ref="F31:F34" si="14">LOG(E31*10^D31*(10+50)/10)</f>
        <v>6.4014005407815437</v>
      </c>
      <c r="G31" s="10"/>
      <c r="H31" s="11"/>
      <c r="I31" s="12"/>
    </row>
    <row r="32" spans="2:11" x14ac:dyDescent="0.45">
      <c r="B32" s="6">
        <v>3</v>
      </c>
      <c r="C32" s="7">
        <v>2</v>
      </c>
      <c r="D32" s="9">
        <v>2</v>
      </c>
      <c r="E32" s="9">
        <f>62*60</f>
        <v>3720</v>
      </c>
      <c r="F32" s="10">
        <f t="shared" si="14"/>
        <v>6.3486941902655412</v>
      </c>
      <c r="G32" s="10">
        <f t="shared" ref="G32" si="15">AVERAGE(F31,F32)</f>
        <v>6.3750473655235425</v>
      </c>
      <c r="H32" s="11"/>
      <c r="I32" s="12"/>
    </row>
    <row r="33" spans="2:11" x14ac:dyDescent="0.45">
      <c r="B33" s="6">
        <v>3</v>
      </c>
      <c r="C33" s="7">
        <v>3</v>
      </c>
      <c r="D33" s="9">
        <v>2</v>
      </c>
      <c r="E33" s="9">
        <f>102*8</f>
        <v>816</v>
      </c>
      <c r="F33" s="10">
        <f t="shared" si="14"/>
        <v>5.6898414091375047</v>
      </c>
      <c r="G33" s="10"/>
      <c r="H33" s="11"/>
      <c r="I33" s="12"/>
    </row>
    <row r="34" spans="2:11" x14ac:dyDescent="0.45">
      <c r="B34" s="6">
        <v>3</v>
      </c>
      <c r="C34" s="7">
        <v>3</v>
      </c>
      <c r="D34" s="9">
        <v>2</v>
      </c>
      <c r="E34" s="7">
        <f>103*8</f>
        <v>824</v>
      </c>
      <c r="F34" s="10">
        <f t="shared" si="14"/>
        <v>5.6940784620807596</v>
      </c>
      <c r="G34" s="10">
        <f t="shared" ref="G34" si="16">AVERAGE(F33,F34)</f>
        <v>5.6919599356091322</v>
      </c>
      <c r="H34" s="11">
        <f t="shared" ref="H34" si="17">AVERAGE(G30,G32,G34)</f>
        <v>6.1888517214954009</v>
      </c>
      <c r="I34" s="12">
        <f t="shared" ref="I34" si="18">STDEV(G30,G32,G34)</f>
        <v>0.43480015944214268</v>
      </c>
      <c r="J34" s="24"/>
      <c r="K34" s="24"/>
    </row>
    <row r="35" spans="2:11" x14ac:dyDescent="0.45">
      <c r="B35" s="6">
        <v>4</v>
      </c>
      <c r="C35" s="7">
        <v>1</v>
      </c>
      <c r="D35" s="7">
        <v>4</v>
      </c>
      <c r="E35" s="7">
        <v>40</v>
      </c>
      <c r="F35" s="10">
        <f>LOG(E35*10^D35*(10+50)/10)</f>
        <v>6.3802112417116064</v>
      </c>
      <c r="G35" s="10"/>
      <c r="H35" s="11"/>
      <c r="I35" s="12"/>
    </row>
    <row r="36" spans="2:11" x14ac:dyDescent="0.45">
      <c r="B36" s="6">
        <v>4</v>
      </c>
      <c r="C36" s="7">
        <v>1</v>
      </c>
      <c r="D36" s="7">
        <v>4</v>
      </c>
      <c r="E36" s="7">
        <v>46</v>
      </c>
      <c r="F36" s="10">
        <f>LOG(E36*10^D36*(10+50)/10)</f>
        <v>6.4409090820652173</v>
      </c>
      <c r="G36" s="10">
        <f t="shared" ref="G36" si="19">AVERAGE(F35,F36)</f>
        <v>6.4105601618884123</v>
      </c>
      <c r="H36" s="11"/>
      <c r="I36" s="12"/>
    </row>
    <row r="37" spans="2:11" x14ac:dyDescent="0.45">
      <c r="B37" s="6">
        <v>4</v>
      </c>
      <c r="C37" s="7">
        <v>2</v>
      </c>
      <c r="D37" s="23">
        <v>4</v>
      </c>
      <c r="E37" s="23">
        <f>85*2</f>
        <v>170</v>
      </c>
      <c r="F37" s="10">
        <f t="shared" ref="F37:F40" si="20">LOG(E37*10^D37*(10+50)/10)</f>
        <v>7.008600171761918</v>
      </c>
      <c r="G37" s="10"/>
      <c r="H37" s="11"/>
      <c r="I37" s="12"/>
    </row>
    <row r="38" spans="2:11" x14ac:dyDescent="0.45">
      <c r="B38" s="6">
        <v>4</v>
      </c>
      <c r="C38" s="7">
        <v>2</v>
      </c>
      <c r="D38" s="23">
        <v>4</v>
      </c>
      <c r="E38" s="23">
        <f>236</f>
        <v>236</v>
      </c>
      <c r="F38" s="10">
        <f t="shared" si="20"/>
        <v>7.1510632533537501</v>
      </c>
      <c r="G38" s="10">
        <f t="shared" ref="G38" si="21">AVERAGE(F37,F38)</f>
        <v>7.0798317125578336</v>
      </c>
      <c r="H38" s="11"/>
      <c r="I38" s="12"/>
    </row>
    <row r="39" spans="2:11" x14ac:dyDescent="0.45">
      <c r="B39" s="6">
        <v>4</v>
      </c>
      <c r="C39" s="7">
        <v>3</v>
      </c>
      <c r="D39" s="7">
        <v>4</v>
      </c>
      <c r="E39" s="7">
        <f>102*8</f>
        <v>816</v>
      </c>
      <c r="F39" s="10">
        <f t="shared" si="20"/>
        <v>7.6898414091375047</v>
      </c>
      <c r="G39" s="10"/>
      <c r="H39" s="11"/>
      <c r="I39" s="12"/>
    </row>
    <row r="40" spans="2:11" x14ac:dyDescent="0.45">
      <c r="B40" s="6">
        <v>4</v>
      </c>
      <c r="C40" s="7">
        <v>3</v>
      </c>
      <c r="D40" s="9">
        <v>4</v>
      </c>
      <c r="E40" s="7">
        <f>80*8</f>
        <v>640</v>
      </c>
      <c r="F40" s="10">
        <f t="shared" si="20"/>
        <v>7.5843312243675305</v>
      </c>
      <c r="G40" s="10">
        <f t="shared" ref="G40" si="22">AVERAGE(F39,F40)</f>
        <v>7.6370863167525176</v>
      </c>
      <c r="H40" s="11">
        <f t="shared" ref="H40" si="23">AVERAGE(G36,G38,G40)</f>
        <v>7.0424927303995872</v>
      </c>
      <c r="I40" s="12">
        <f t="shared" ref="I40" si="24">STDEV(G36,G38,G40)</f>
        <v>0.61411501515016886</v>
      </c>
      <c r="J40" s="24"/>
      <c r="K40" s="24"/>
    </row>
    <row r="41" spans="2:11" x14ac:dyDescent="0.45">
      <c r="B41" s="6">
        <v>5</v>
      </c>
      <c r="C41" s="7">
        <v>1</v>
      </c>
      <c r="D41" s="9">
        <v>4</v>
      </c>
      <c r="E41" s="7">
        <v>147</v>
      </c>
      <c r="F41" s="10">
        <f>LOG(E41*10^D41*(10+50)/10)</f>
        <v>6.9454685851318194</v>
      </c>
      <c r="G41" s="10"/>
      <c r="H41" s="11"/>
      <c r="I41" s="12"/>
    </row>
    <row r="42" spans="2:11" x14ac:dyDescent="0.45">
      <c r="B42" s="6">
        <v>5</v>
      </c>
      <c r="C42" s="7">
        <v>1</v>
      </c>
      <c r="D42" s="9">
        <v>4</v>
      </c>
      <c r="E42" s="7">
        <v>142</v>
      </c>
      <c r="F42" s="10">
        <f>LOG(E42*10^D42*(10+50)/10)</f>
        <v>6.9304395947666997</v>
      </c>
      <c r="G42" s="10">
        <f t="shared" ref="G42" si="25">AVERAGE(F41,F42)</f>
        <v>6.93795408994926</v>
      </c>
      <c r="H42" s="11"/>
      <c r="I42" s="12"/>
    </row>
    <row r="43" spans="2:11" x14ac:dyDescent="0.45">
      <c r="B43" s="6">
        <v>5</v>
      </c>
      <c r="C43" s="7">
        <v>2</v>
      </c>
      <c r="D43" s="9">
        <v>4</v>
      </c>
      <c r="E43" s="7">
        <v>160</v>
      </c>
      <c r="F43" s="10">
        <f t="shared" ref="F43:F46" si="26">LOG(E43*10^D43*(10+50)/10)</f>
        <v>6.982271233039568</v>
      </c>
      <c r="G43" s="10"/>
      <c r="H43" s="11"/>
      <c r="I43" s="12"/>
    </row>
    <row r="44" spans="2:11" x14ac:dyDescent="0.45">
      <c r="B44" s="6">
        <v>5</v>
      </c>
      <c r="C44" s="7">
        <v>2</v>
      </c>
      <c r="D44" s="9">
        <v>4</v>
      </c>
      <c r="E44" s="7">
        <v>167</v>
      </c>
      <c r="F44" s="10">
        <f t="shared" si="26"/>
        <v>7.0008677215312272</v>
      </c>
      <c r="G44" s="10">
        <f t="shared" ref="G44" si="27">AVERAGE(F43,F44)</f>
        <v>6.9915694772853971</v>
      </c>
      <c r="H44" s="11"/>
      <c r="I44" s="12"/>
    </row>
    <row r="45" spans="2:11" x14ac:dyDescent="0.45">
      <c r="B45" s="6">
        <v>5</v>
      </c>
      <c r="C45" s="7">
        <v>3</v>
      </c>
      <c r="D45" s="9">
        <v>4</v>
      </c>
      <c r="E45" s="7">
        <v>26</v>
      </c>
      <c r="F45" s="10">
        <f t="shared" si="26"/>
        <v>6.1931245983544612</v>
      </c>
      <c r="G45" s="10"/>
      <c r="H45" s="11"/>
      <c r="I45" s="12"/>
    </row>
    <row r="46" spans="2:11" x14ac:dyDescent="0.45">
      <c r="B46" s="6">
        <v>5</v>
      </c>
      <c r="C46" s="7">
        <v>3</v>
      </c>
      <c r="D46" s="9">
        <v>4</v>
      </c>
      <c r="E46" s="7">
        <v>15</v>
      </c>
      <c r="F46" s="10">
        <f t="shared" si="26"/>
        <v>5.9542425094393252</v>
      </c>
      <c r="G46" s="10">
        <f t="shared" ref="G46" si="28">AVERAGE(F45,F46)</f>
        <v>6.0736835538968936</v>
      </c>
      <c r="H46" s="11">
        <f t="shared" ref="H46" si="29">AVERAGE(G42,G44,G46)</f>
        <v>6.6677357070438505</v>
      </c>
      <c r="I46" s="12">
        <f t="shared" ref="I46" si="30">STDEV(G42,G44,G46)</f>
        <v>0.51516222972351378</v>
      </c>
      <c r="J46" s="24"/>
      <c r="K46" s="24"/>
    </row>
    <row r="59" spans="3:3" x14ac:dyDescent="0.45">
      <c r="C59" s="5"/>
    </row>
    <row r="60" spans="3:3" x14ac:dyDescent="0.45">
      <c r="C60" s="5"/>
    </row>
    <row r="61" spans="3:3" x14ac:dyDescent="0.45">
      <c r="C61" s="5"/>
    </row>
    <row r="62" spans="3:3" x14ac:dyDescent="0.45">
      <c r="C62" s="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 지정된 범위</vt:lpstr>
      </vt:variant>
      <vt:variant>
        <vt:i4>1</vt:i4>
      </vt:variant>
    </vt:vector>
  </HeadingPairs>
  <TitlesOfParts>
    <vt:vector size="16" baseType="lpstr">
      <vt:lpstr>CV0</vt:lpstr>
      <vt:lpstr>HV0</vt:lpstr>
      <vt:lpstr>CV1</vt:lpstr>
      <vt:lpstr>HV1</vt:lpstr>
      <vt:lpstr>CV2</vt:lpstr>
      <vt:lpstr>HV2</vt:lpstr>
      <vt:lpstr>CVN</vt:lpstr>
      <vt:lpstr>CS0 </vt:lpstr>
      <vt:lpstr>HS0</vt:lpstr>
      <vt:lpstr>CS1</vt:lpstr>
      <vt:lpstr>HS1</vt:lpstr>
      <vt:lpstr>CS2</vt:lpstr>
      <vt:lpstr>HS2</vt:lpstr>
      <vt:lpstr>CSN</vt:lpstr>
      <vt:lpstr>Results</vt:lpstr>
      <vt:lpstr>CV0!Print_Area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USER</cp:lastModifiedBy>
  <cp:lastPrinted>2018-02-07T04:36:58Z</cp:lastPrinted>
  <dcterms:created xsi:type="dcterms:W3CDTF">2014-06-16T14:25:31Z</dcterms:created>
  <dcterms:modified xsi:type="dcterms:W3CDTF">2018-03-12T09:15:18Z</dcterms:modified>
</cp:coreProperties>
</file>