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dkeni\OneDrive\Documents\PhD\Journal Paper drafts and submission\MRes project - Energy Research and Social Science 2018\Paper drafts\Raw data\"/>
    </mc:Choice>
  </mc:AlternateContent>
  <xr:revisionPtr revIDLastSave="0" documentId="8_{11642150-637E-4AE1-ACBB-3519825DB653}" xr6:coauthVersionLast="43" xr6:coauthVersionMax="43" xr10:uidLastSave="{00000000-0000-0000-0000-000000000000}"/>
  <bookViews>
    <workbookView xWindow="47880" yWindow="-120" windowWidth="25440" windowHeight="15390" tabRatio="802" firstSheet="1" activeTab="1" xr2:uid="{00000000-000D-0000-FFFF-FFFF00000000}"/>
  </bookViews>
  <sheets>
    <sheet name="Intro" sheetId="29" r:id="rId1"/>
    <sheet name="Summary" sheetId="8" r:id="rId2"/>
    <sheet name="EEO" sheetId="33" r:id="rId3"/>
    <sheet name="Lighting" sheetId="12" r:id="rId4"/>
    <sheet name="HVAC" sheetId="24" r:id="rId5"/>
    <sheet name="ICT" sheetId="31" r:id="rId6"/>
    <sheet name="Refrigeration" sheetId="23" r:id="rId7"/>
    <sheet name="Motors &amp; Drives" sheetId="22" r:id="rId8"/>
    <sheet name="Compressed Air" sheetId="21" r:id="rId9"/>
    <sheet name="Other Electrical Equipment" sheetId="25" r:id="rId10"/>
    <sheet name="Boilers" sheetId="26" r:id="rId11"/>
    <sheet name="Other Thermal" sheetId="27" r:id="rId12"/>
    <sheet name="Fleet" sheetId="32" r:id="rId13"/>
    <sheet name="Version" sheetId="28" r:id="rId14"/>
  </sheets>
  <externalReferences>
    <externalReference r:id="rId15"/>
    <externalReference r:id="rId16"/>
  </externalReferences>
  <definedNames>
    <definedName name="CostRange">'[1]Data Inputs'!$W$5:$W$7</definedName>
    <definedName name="DataSources">OFFSET([2]Sources!$F$2,1,0,COUNTA([2]Sources!$F$2:$F$52)-COUNTBLANK([2]Sources!$F$2:$F$52)-1,1)</definedName>
    <definedName name="DieselPrice">Summary!$D$7</definedName>
    <definedName name="ElecCost">Summary!$D$5</definedName>
    <definedName name="ElecPrice">Summary!$D$5</definedName>
    <definedName name="ElecThermal">'[1]Data Inputs'!$X$5:$X$8</definedName>
    <definedName name="Energy">'[1]Data Inputs'!$V$5:$V$10</definedName>
    <definedName name="Fuel">Fleet!$AI$4:$AI$5</definedName>
    <definedName name="FuelComment">OFFSET([2]Sources!$H$2,1,0,COUNTA([2]Sources!$H$2:$H$52)-COUNTBLANK([2]Sources!$H$2:$H$52)-1,1)</definedName>
    <definedName name="FuelPrice">Summary!$D$6</definedName>
    <definedName name="Inconvenience">'[1]Data Inputs'!$AA$5:$AA$9</definedName>
    <definedName name="Other">'[1]Data Inputs'!$AB$5:$AB$9</definedName>
    <definedName name="PetrolPrice">Summary!$D$8</definedName>
    <definedName name="_xlnm.Print_Area" localSheetId="1">Summary!$A$1:$L$31,Summary!$A$41:$L$89</definedName>
    <definedName name="_xlnm.Print_Titles" localSheetId="1">Summary!$1:$2</definedName>
    <definedName name="SavingType">'[1]Data Inputs'!$Z$5:$Z$7</definedName>
    <definedName name="Status">'[1]Data Inputs'!$Y$5:$Y$9</definedName>
    <definedName name="Weight_Cost" localSheetId="12">#REF!</definedName>
    <definedName name="Weight_Cost" localSheetId="5">#REF!</definedName>
    <definedName name="Weight_Cost">#REF!</definedName>
    <definedName name="Weight_Inconvenience" localSheetId="12">#REF!</definedName>
    <definedName name="Weight_Inconvenience" localSheetId="5">#REF!</definedName>
    <definedName name="Weight_Inconvenience">#REF!</definedName>
    <definedName name="Weight_Other" localSheetId="12">#REF!</definedName>
    <definedName name="Weight_Other" localSheetId="5">#REF!</definedName>
    <definedName name="Weight_Other">#REF!</definedName>
    <definedName name="Weight_Payback" localSheetId="12">#REF!</definedName>
    <definedName name="Weight_Payback" localSheetId="5">#REF!</definedName>
    <definedName name="Weight_Payback">#REF!</definedName>
  </definedNames>
  <calcPr calcId="181029"/>
</workbook>
</file>

<file path=xl/calcChain.xml><?xml version="1.0" encoding="utf-8"?>
<calcChain xmlns="http://schemas.openxmlformats.org/spreadsheetml/2006/main">
  <c r="Q61" i="8" l="1"/>
  <c r="Q62" i="8"/>
  <c r="Q60" i="8"/>
  <c r="Q65" i="8" s="1"/>
  <c r="R68" i="8" s="1"/>
  <c r="L51" i="12" l="1"/>
  <c r="L53" i="12" s="1"/>
  <c r="I64" i="23"/>
  <c r="G10" i="23"/>
  <c r="N6" i="23"/>
  <c r="G66" i="23" s="1"/>
  <c r="G9" i="23"/>
  <c r="O50" i="23" l="1"/>
  <c r="P50" i="23" s="1"/>
  <c r="F50" i="23"/>
  <c r="O6" i="23"/>
  <c r="P6" i="23" s="1"/>
  <c r="G19" i="33"/>
  <c r="Q46" i="12"/>
  <c r="Q45" i="12"/>
  <c r="G18" i="33" s="1"/>
  <c r="I46" i="12"/>
  <c r="J46" i="12" s="1"/>
  <c r="L46" i="12" s="1"/>
  <c r="F19" i="33" s="1"/>
  <c r="I45" i="12"/>
  <c r="J45" i="12" s="1"/>
  <c r="G49" i="23"/>
  <c r="I49" i="23" s="1"/>
  <c r="G48" i="23"/>
  <c r="F49" i="23"/>
  <c r="F48" i="23"/>
  <c r="F10" i="23"/>
  <c r="Q50" i="23" l="1"/>
  <c r="L45" i="12"/>
  <c r="F18" i="33" s="1"/>
  <c r="I48" i="23"/>
  <c r="I61" i="23" s="1"/>
  <c r="D8" i="23"/>
  <c r="F8" i="25" l="1"/>
  <c r="F7" i="25"/>
  <c r="G7" i="25" s="1"/>
  <c r="H6" i="24"/>
  <c r="I6" i="24" s="1"/>
  <c r="K6" i="24" s="1"/>
  <c r="F9" i="23"/>
  <c r="F8" i="23"/>
  <c r="F6" i="23"/>
  <c r="Q6" i="23" l="1"/>
  <c r="G6" i="23" s="1"/>
  <c r="I7" i="25"/>
  <c r="I8" i="12"/>
  <c r="I7" i="12"/>
  <c r="I6" i="12"/>
  <c r="G7" i="23" l="1"/>
  <c r="I7" i="23" s="1"/>
  <c r="G50" i="23"/>
  <c r="I50" i="23" s="1"/>
  <c r="G6" i="26"/>
  <c r="B22" i="8"/>
  <c r="I10" i="23"/>
  <c r="D17" i="33" s="1"/>
  <c r="J22" i="8" l="1"/>
  <c r="I22" i="8"/>
  <c r="F15" i="33"/>
  <c r="I53" i="23"/>
  <c r="F17" i="33"/>
  <c r="H17" i="33" s="1"/>
  <c r="K13" i="29"/>
  <c r="I17" i="33" l="1"/>
  <c r="H7" i="27"/>
  <c r="H8" i="27"/>
  <c r="H9" i="27"/>
  <c r="H10" i="27"/>
  <c r="H11" i="27"/>
  <c r="H6" i="27"/>
  <c r="H12" i="27"/>
  <c r="H13" i="27"/>
  <c r="H14" i="27"/>
  <c r="H15" i="27"/>
  <c r="U15" i="8"/>
  <c r="K31" i="32"/>
  <c r="M31" i="32" s="1"/>
  <c r="K18" i="32"/>
  <c r="M18" i="32" s="1"/>
  <c r="K19" i="32"/>
  <c r="M19" i="32" s="1"/>
  <c r="K20" i="32"/>
  <c r="M20" i="32" s="1"/>
  <c r="K21" i="32"/>
  <c r="M21" i="32" s="1"/>
  <c r="K22" i="32"/>
  <c r="K23" i="32"/>
  <c r="K24" i="32"/>
  <c r="M24" i="32" s="1"/>
  <c r="K25" i="32"/>
  <c r="K17" i="32"/>
  <c r="M17" i="32" s="1"/>
  <c r="K7" i="32"/>
  <c r="K8" i="32"/>
  <c r="K9" i="32"/>
  <c r="K10" i="32"/>
  <c r="K11" i="32"/>
  <c r="K12" i="32"/>
  <c r="K13" i="32"/>
  <c r="K14" i="32"/>
  <c r="K15" i="32"/>
  <c r="K16" i="32"/>
  <c r="K6" i="32"/>
  <c r="G32" i="32"/>
  <c r="F32" i="32"/>
  <c r="H7" i="32"/>
  <c r="J7" i="32"/>
  <c r="H8" i="32"/>
  <c r="J8" i="32"/>
  <c r="H9" i="32"/>
  <c r="J9" i="32"/>
  <c r="H10" i="32"/>
  <c r="J10" i="32"/>
  <c r="H11" i="32"/>
  <c r="J11" i="32"/>
  <c r="H12" i="32"/>
  <c r="J12" i="32"/>
  <c r="H13" i="32"/>
  <c r="J13" i="32"/>
  <c r="H14" i="32"/>
  <c r="J14" i="32"/>
  <c r="H15" i="32"/>
  <c r="J15" i="32"/>
  <c r="H16" i="32"/>
  <c r="J16" i="32"/>
  <c r="J31" i="32"/>
  <c r="J32" i="32" s="1"/>
  <c r="H31" i="32"/>
  <c r="H32" i="32" s="1"/>
  <c r="H17" i="32"/>
  <c r="H18" i="32"/>
  <c r="H19" i="32"/>
  <c r="H20" i="32"/>
  <c r="H21" i="32"/>
  <c r="H22" i="32"/>
  <c r="H23" i="32"/>
  <c r="H24" i="32"/>
  <c r="H25" i="32"/>
  <c r="H6" i="32"/>
  <c r="J17" i="32"/>
  <c r="J18" i="32"/>
  <c r="J19" i="32"/>
  <c r="J20" i="32"/>
  <c r="J21" i="32"/>
  <c r="J22" i="32"/>
  <c r="J23" i="32"/>
  <c r="J24" i="32"/>
  <c r="J25" i="32"/>
  <c r="G26" i="32"/>
  <c r="J6" i="32"/>
  <c r="F26" i="32"/>
  <c r="B29" i="32"/>
  <c r="C29" i="32"/>
  <c r="A29" i="32"/>
  <c r="E39" i="31"/>
  <c r="B39" i="31"/>
  <c r="M25" i="32"/>
  <c r="M23" i="32"/>
  <c r="M22" i="32"/>
  <c r="F41" i="25"/>
  <c r="G41" i="25" s="1"/>
  <c r="I41" i="25" s="1"/>
  <c r="I42" i="25" s="1"/>
  <c r="F41" i="31"/>
  <c r="G41" i="31" s="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D21" i="26"/>
  <c r="H20" i="26"/>
  <c r="J20" i="26" s="1"/>
  <c r="J21" i="26" s="1"/>
  <c r="E42" i="12"/>
  <c r="I41" i="12"/>
  <c r="J41" i="12" s="1"/>
  <c r="L41" i="12" s="1"/>
  <c r="L42" i="12" s="1"/>
  <c r="G41" i="22"/>
  <c r="H41" i="22" s="1"/>
  <c r="J41" i="22" s="1"/>
  <c r="J42" i="22" s="1"/>
  <c r="I40" i="24"/>
  <c r="K40" i="24" s="1"/>
  <c r="K41" i="24" s="1"/>
  <c r="G42" i="23"/>
  <c r="I42" i="23" s="1"/>
  <c r="I43" i="23" s="1"/>
  <c r="D22" i="27"/>
  <c r="H21" i="27"/>
  <c r="J21" i="27" s="1"/>
  <c r="J22" i="27" s="1"/>
  <c r="D32" i="21"/>
  <c r="G31" i="21"/>
  <c r="I31" i="21" s="1"/>
  <c r="I32" i="21" s="1"/>
  <c r="I41" i="24" l="1"/>
  <c r="H21" i="26"/>
  <c r="M6" i="32"/>
  <c r="J26" i="32"/>
  <c r="H22" i="27"/>
  <c r="K26" i="32"/>
  <c r="D36" i="8" s="1"/>
  <c r="H26" i="32"/>
  <c r="K32" i="32"/>
  <c r="G42" i="31"/>
  <c r="I41" i="31"/>
  <c r="I42" i="31" s="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G36" i="31"/>
  <c r="G42" i="25"/>
  <c r="J42" i="12"/>
  <c r="H42" i="22"/>
  <c r="G43" i="23"/>
  <c r="G32" i="21"/>
  <c r="D37" i="8" l="1"/>
  <c r="V22" i="8"/>
  <c r="I25" i="32"/>
  <c r="B36" i="8"/>
  <c r="H8" i="31"/>
  <c r="B15" i="8"/>
  <c r="C15" i="8" s="1"/>
  <c r="E36" i="8"/>
  <c r="L17" i="32"/>
  <c r="M26" i="32"/>
  <c r="M8" i="32"/>
  <c r="L8" i="32"/>
  <c r="M10" i="32"/>
  <c r="L10" i="32"/>
  <c r="M12" i="32"/>
  <c r="L12" i="32"/>
  <c r="M14" i="32"/>
  <c r="L14" i="32"/>
  <c r="M16" i="32"/>
  <c r="L16" i="32"/>
  <c r="I8" i="32"/>
  <c r="I10" i="32"/>
  <c r="I12" i="32"/>
  <c r="I14" i="32"/>
  <c r="I16" i="32"/>
  <c r="M7" i="32"/>
  <c r="L7" i="32"/>
  <c r="M9" i="32"/>
  <c r="L9" i="32"/>
  <c r="M11" i="32"/>
  <c r="L11" i="32"/>
  <c r="M13" i="32"/>
  <c r="L13" i="32"/>
  <c r="M15" i="32"/>
  <c r="L15" i="32"/>
  <c r="I7" i="32"/>
  <c r="I9" i="32"/>
  <c r="I11" i="32"/>
  <c r="I13" i="32"/>
  <c r="I15" i="32"/>
  <c r="I17" i="32"/>
  <c r="I21" i="32"/>
  <c r="I18" i="32"/>
  <c r="I20" i="32"/>
  <c r="I22" i="32"/>
  <c r="I24" i="32"/>
  <c r="I19" i="32"/>
  <c r="I23" i="32"/>
  <c r="L23" i="32"/>
  <c r="L25" i="32"/>
  <c r="L19" i="32"/>
  <c r="L21" i="32"/>
  <c r="L22" i="32"/>
  <c r="I6" i="32"/>
  <c r="L18" i="32"/>
  <c r="L24" i="32"/>
  <c r="L20" i="32"/>
  <c r="L6" i="32"/>
  <c r="I36" i="31"/>
  <c r="J13" i="31" s="1"/>
  <c r="H33" i="31"/>
  <c r="H29" i="31"/>
  <c r="H25" i="31"/>
  <c r="H21" i="31"/>
  <c r="H17" i="31"/>
  <c r="H13" i="31"/>
  <c r="H9" i="31"/>
  <c r="H34" i="31"/>
  <c r="H30" i="31"/>
  <c r="H26" i="31"/>
  <c r="H22" i="31"/>
  <c r="H18" i="31"/>
  <c r="H14" i="31"/>
  <c r="H10" i="31"/>
  <c r="H6" i="31"/>
  <c r="H35" i="31"/>
  <c r="H31" i="31"/>
  <c r="H27" i="31"/>
  <c r="H23" i="31"/>
  <c r="H19" i="31"/>
  <c r="H15" i="31"/>
  <c r="H11" i="31"/>
  <c r="H7" i="31"/>
  <c r="H32" i="31"/>
  <c r="H28" i="31"/>
  <c r="H24" i="31"/>
  <c r="H20" i="31"/>
  <c r="H16" i="31"/>
  <c r="H12" i="31"/>
  <c r="B37" i="8" l="1"/>
  <c r="E37" i="8"/>
  <c r="D38" i="8"/>
  <c r="E38" i="8" s="1"/>
  <c r="J6" i="31"/>
  <c r="D15" i="8"/>
  <c r="J33" i="31"/>
  <c r="J21" i="31"/>
  <c r="J9" i="31"/>
  <c r="J17" i="31"/>
  <c r="J25" i="31"/>
  <c r="J7" i="31"/>
  <c r="J11" i="31"/>
  <c r="J15" i="31"/>
  <c r="J19" i="31"/>
  <c r="J23" i="31"/>
  <c r="J27" i="31"/>
  <c r="J29" i="31"/>
  <c r="J31" i="31"/>
  <c r="J35" i="31"/>
  <c r="J10" i="31"/>
  <c r="J18" i="31"/>
  <c r="J14" i="31"/>
  <c r="J26" i="31"/>
  <c r="J8" i="31"/>
  <c r="J12" i="31"/>
  <c r="J16" i="31"/>
  <c r="J22" i="31"/>
  <c r="J30" i="31"/>
  <c r="J20" i="31"/>
  <c r="J24" i="31"/>
  <c r="J28" i="31"/>
  <c r="J34" i="31"/>
  <c r="J32" i="31"/>
  <c r="B38" i="8" l="1"/>
  <c r="E15" i="8"/>
  <c r="V15" i="8"/>
  <c r="G12" i="23"/>
  <c r="I12" i="23" s="1"/>
  <c r="H8" i="26"/>
  <c r="J8" i="26" s="1"/>
  <c r="J7" i="27"/>
  <c r="J11" i="27"/>
  <c r="U23" i="8"/>
  <c r="H10" i="26"/>
  <c r="J10" i="26" s="1"/>
  <c r="G13" i="21"/>
  <c r="I13" i="21" s="1"/>
  <c r="G14" i="23"/>
  <c r="I13" i="24"/>
  <c r="H17" i="22"/>
  <c r="J16" i="12"/>
  <c r="L16" i="12" s="1"/>
  <c r="G16" i="25"/>
  <c r="G7" i="21"/>
  <c r="I7" i="21" s="1"/>
  <c r="G8" i="21"/>
  <c r="I8" i="21" s="1"/>
  <c r="G9" i="21"/>
  <c r="I9" i="21" s="1"/>
  <c r="G10" i="21"/>
  <c r="I10" i="21" s="1"/>
  <c r="G11" i="21"/>
  <c r="I11" i="21" s="1"/>
  <c r="G12" i="21"/>
  <c r="I12" i="21" s="1"/>
  <c r="U21" i="8"/>
  <c r="U20" i="8"/>
  <c r="U16" i="8"/>
  <c r="U14" i="8"/>
  <c r="U17" i="8"/>
  <c r="U13" i="8"/>
  <c r="U19" i="8"/>
  <c r="U18" i="8"/>
  <c r="J6" i="27"/>
  <c r="J9" i="27"/>
  <c r="J12" i="27"/>
  <c r="J14" i="27"/>
  <c r="H6" i="26"/>
  <c r="J6" i="26" s="1"/>
  <c r="H7" i="26"/>
  <c r="J7" i="26" s="1"/>
  <c r="H9" i="26"/>
  <c r="J9" i="26" s="1"/>
  <c r="H11" i="26"/>
  <c r="H12" i="26"/>
  <c r="J12" i="26" s="1"/>
  <c r="H13" i="26"/>
  <c r="J13" i="26" s="1"/>
  <c r="H14" i="26"/>
  <c r="J14" i="26" s="1"/>
  <c r="G6" i="21"/>
  <c r="I6" i="21" s="1"/>
  <c r="G14" i="21"/>
  <c r="I14" i="21" s="1"/>
  <c r="G15" i="21"/>
  <c r="I15" i="21" s="1"/>
  <c r="G16" i="21"/>
  <c r="I16" i="21" s="1"/>
  <c r="G17" i="21"/>
  <c r="I17" i="21" s="1"/>
  <c r="G18" i="21"/>
  <c r="I18" i="21" s="1"/>
  <c r="G19" i="21"/>
  <c r="I19" i="21" s="1"/>
  <c r="G20" i="21"/>
  <c r="I20" i="21" s="1"/>
  <c r="G21" i="21"/>
  <c r="I21" i="21" s="1"/>
  <c r="G22" i="21"/>
  <c r="I22" i="21" s="1"/>
  <c r="G23" i="21"/>
  <c r="I23" i="21" s="1"/>
  <c r="G24" i="21"/>
  <c r="I24" i="21" s="1"/>
  <c r="G25" i="21"/>
  <c r="I25" i="21" s="1"/>
  <c r="I6" i="23"/>
  <c r="G8" i="23"/>
  <c r="I8" i="23" s="1"/>
  <c r="G11" i="23"/>
  <c r="G13" i="23"/>
  <c r="I13" i="23" s="1"/>
  <c r="G15" i="23"/>
  <c r="G16" i="23"/>
  <c r="I16" i="23" s="1"/>
  <c r="G17" i="23"/>
  <c r="G18" i="23"/>
  <c r="I18" i="23" s="1"/>
  <c r="G19" i="23"/>
  <c r="G20" i="23"/>
  <c r="I20" i="23" s="1"/>
  <c r="G21" i="23"/>
  <c r="G22" i="23"/>
  <c r="I22" i="23" s="1"/>
  <c r="G23" i="23"/>
  <c r="I23" i="23" s="1"/>
  <c r="G24" i="23"/>
  <c r="I24" i="23" s="1"/>
  <c r="G25" i="23"/>
  <c r="I25" i="23" s="1"/>
  <c r="G26" i="23"/>
  <c r="I26" i="23" s="1"/>
  <c r="G27" i="23"/>
  <c r="I27" i="23" s="1"/>
  <c r="G28" i="23"/>
  <c r="I28" i="23" s="1"/>
  <c r="G29" i="23"/>
  <c r="I29" i="23" s="1"/>
  <c r="G30" i="23"/>
  <c r="I30" i="23" s="1"/>
  <c r="G31" i="23"/>
  <c r="I31" i="23" s="1"/>
  <c r="G32" i="23"/>
  <c r="I32" i="23" s="1"/>
  <c r="G33" i="23"/>
  <c r="I33" i="23" s="1"/>
  <c r="G34" i="23"/>
  <c r="I34" i="23" s="1"/>
  <c r="G35" i="23"/>
  <c r="I35" i="23" s="1"/>
  <c r="G36" i="23"/>
  <c r="I36" i="23" s="1"/>
  <c r="I7" i="24"/>
  <c r="K7" i="24" s="1"/>
  <c r="I8" i="24"/>
  <c r="I9" i="24"/>
  <c r="K9" i="24" s="1"/>
  <c r="I10" i="24"/>
  <c r="K10" i="24" s="1"/>
  <c r="I11" i="24"/>
  <c r="I12" i="24"/>
  <c r="K12" i="24" s="1"/>
  <c r="I14" i="24"/>
  <c r="I15" i="24"/>
  <c r="K15" i="24" s="1"/>
  <c r="I16" i="24"/>
  <c r="I17" i="24"/>
  <c r="K17" i="24" s="1"/>
  <c r="I18" i="24"/>
  <c r="I19" i="24"/>
  <c r="K19" i="24" s="1"/>
  <c r="I20" i="24"/>
  <c r="I21" i="24"/>
  <c r="K21" i="24" s="1"/>
  <c r="I22" i="24"/>
  <c r="I23" i="24"/>
  <c r="K23" i="24" s="1"/>
  <c r="I24" i="24"/>
  <c r="I25" i="24"/>
  <c r="K25" i="24" s="1"/>
  <c r="I26" i="24"/>
  <c r="I27" i="24"/>
  <c r="K27" i="24" s="1"/>
  <c r="I28" i="24"/>
  <c r="I29" i="24"/>
  <c r="K29" i="24" s="1"/>
  <c r="I30" i="24"/>
  <c r="I31" i="24"/>
  <c r="K31" i="24" s="1"/>
  <c r="I32" i="24"/>
  <c r="I33" i="24"/>
  <c r="K33" i="24" s="1"/>
  <c r="I34" i="24"/>
  <c r="H6" i="22"/>
  <c r="J6" i="22" s="1"/>
  <c r="H7" i="22"/>
  <c r="H8" i="22"/>
  <c r="J8" i="22" s="1"/>
  <c r="H9" i="22"/>
  <c r="H10" i="22"/>
  <c r="J10" i="22" s="1"/>
  <c r="H11" i="22"/>
  <c r="H12" i="22"/>
  <c r="J12" i="22" s="1"/>
  <c r="H13" i="22"/>
  <c r="H14" i="22"/>
  <c r="J14" i="22" s="1"/>
  <c r="H15" i="22"/>
  <c r="H16" i="22"/>
  <c r="J16" i="22" s="1"/>
  <c r="H18" i="22"/>
  <c r="H19" i="22"/>
  <c r="J19" i="22" s="1"/>
  <c r="H20" i="22"/>
  <c r="H21" i="22"/>
  <c r="J21" i="22" s="1"/>
  <c r="H22" i="22"/>
  <c r="H23" i="22"/>
  <c r="J23" i="22" s="1"/>
  <c r="H24" i="22"/>
  <c r="H25" i="22"/>
  <c r="J25" i="22" s="1"/>
  <c r="H26" i="22"/>
  <c r="H27" i="22"/>
  <c r="J27" i="22" s="1"/>
  <c r="H28" i="22"/>
  <c r="H29" i="22"/>
  <c r="J29" i="22" s="1"/>
  <c r="H30" i="22"/>
  <c r="H31" i="22"/>
  <c r="J31" i="22" s="1"/>
  <c r="H32" i="22"/>
  <c r="H33" i="22"/>
  <c r="J33" i="22" s="1"/>
  <c r="H34" i="22"/>
  <c r="H35" i="22"/>
  <c r="J35" i="22" s="1"/>
  <c r="J6" i="12"/>
  <c r="J7" i="12"/>
  <c r="L7" i="12" s="1"/>
  <c r="J8" i="12"/>
  <c r="L8" i="12" s="1"/>
  <c r="D19" i="33" s="1"/>
  <c r="H19" i="33" s="1"/>
  <c r="I19" i="33" s="1"/>
  <c r="J9" i="12"/>
  <c r="L9" i="12" s="1"/>
  <c r="J10" i="12"/>
  <c r="L10" i="12" s="1"/>
  <c r="J11" i="12"/>
  <c r="L11" i="12" s="1"/>
  <c r="J12" i="12"/>
  <c r="L12" i="12" s="1"/>
  <c r="J14" i="12"/>
  <c r="L14" i="12" s="1"/>
  <c r="J15" i="12"/>
  <c r="L15" i="12" s="1"/>
  <c r="J17" i="12"/>
  <c r="L17" i="12" s="1"/>
  <c r="J18" i="12"/>
  <c r="L18" i="12" s="1"/>
  <c r="J19" i="12"/>
  <c r="L19" i="12" s="1"/>
  <c r="J20" i="12"/>
  <c r="L20" i="12" s="1"/>
  <c r="J21" i="12"/>
  <c r="L21" i="12" s="1"/>
  <c r="J22" i="12"/>
  <c r="L22" i="12" s="1"/>
  <c r="J23" i="12"/>
  <c r="L23" i="12" s="1"/>
  <c r="J24" i="12"/>
  <c r="L24" i="12" s="1"/>
  <c r="J25" i="12"/>
  <c r="L25" i="12" s="1"/>
  <c r="J26" i="12"/>
  <c r="L26" i="12" s="1"/>
  <c r="J27" i="12"/>
  <c r="L27" i="12" s="1"/>
  <c r="J28" i="12"/>
  <c r="L28" i="12" s="1"/>
  <c r="J29" i="12"/>
  <c r="L29" i="12" s="1"/>
  <c r="J30" i="12"/>
  <c r="L30" i="12" s="1"/>
  <c r="J31" i="12"/>
  <c r="L31" i="12" s="1"/>
  <c r="J32" i="12"/>
  <c r="L32" i="12" s="1"/>
  <c r="J33" i="12"/>
  <c r="L33" i="12" s="1"/>
  <c r="J34" i="12"/>
  <c r="L34" i="12" s="1"/>
  <c r="J35" i="12"/>
  <c r="L35" i="12" s="1"/>
  <c r="G6" i="25"/>
  <c r="I6" i="25" s="1"/>
  <c r="G8" i="25"/>
  <c r="I8" i="25" s="1"/>
  <c r="G9" i="25"/>
  <c r="G10" i="25"/>
  <c r="I10" i="25" s="1"/>
  <c r="G11" i="25"/>
  <c r="G12" i="25"/>
  <c r="I12" i="25" s="1"/>
  <c r="G13" i="25"/>
  <c r="G14" i="25"/>
  <c r="I14" i="25" s="1"/>
  <c r="G15" i="25"/>
  <c r="G17" i="25"/>
  <c r="I17" i="25" s="1"/>
  <c r="G18" i="25"/>
  <c r="G19" i="25"/>
  <c r="I19" i="25" s="1"/>
  <c r="G20" i="25"/>
  <c r="G21" i="25"/>
  <c r="I21" i="25" s="1"/>
  <c r="G22" i="25"/>
  <c r="G23" i="25"/>
  <c r="I23" i="25" s="1"/>
  <c r="G24" i="25"/>
  <c r="G25" i="25"/>
  <c r="I25" i="25" s="1"/>
  <c r="G26" i="25"/>
  <c r="G27" i="25"/>
  <c r="I27" i="25" s="1"/>
  <c r="G28" i="25"/>
  <c r="G29" i="25"/>
  <c r="I29" i="25" s="1"/>
  <c r="G30" i="25"/>
  <c r="G31" i="25"/>
  <c r="I31" i="25" s="1"/>
  <c r="G32" i="25"/>
  <c r="G33" i="25"/>
  <c r="I33" i="25" s="1"/>
  <c r="G34" i="25"/>
  <c r="G35" i="25"/>
  <c r="I35" i="25" s="1"/>
  <c r="G26" i="21"/>
  <c r="B18" i="8" s="1"/>
  <c r="D16" i="27"/>
  <c r="D15" i="26"/>
  <c r="D26" i="21"/>
  <c r="E36" i="12"/>
  <c r="D15" i="33" l="1"/>
  <c r="H15" i="33" s="1"/>
  <c r="I15" i="33" s="1"/>
  <c r="I52" i="23"/>
  <c r="I54" i="23" s="1"/>
  <c r="I57" i="23" s="1"/>
  <c r="G36" i="25"/>
  <c r="H6" i="21"/>
  <c r="J11" i="26"/>
  <c r="I32" i="25"/>
  <c r="I28" i="25"/>
  <c r="I24" i="25"/>
  <c r="I20" i="25"/>
  <c r="I15" i="25"/>
  <c r="I13" i="25"/>
  <c r="I9" i="25"/>
  <c r="L6" i="12"/>
  <c r="D18" i="33" s="1"/>
  <c r="H18" i="33" s="1"/>
  <c r="I18" i="33" s="1"/>
  <c r="J36" i="12"/>
  <c r="J34" i="22"/>
  <c r="J32" i="22"/>
  <c r="J30" i="22"/>
  <c r="J28" i="22"/>
  <c r="J26" i="22"/>
  <c r="J24" i="22"/>
  <c r="J22" i="22"/>
  <c r="J20" i="22"/>
  <c r="J18" i="22"/>
  <c r="J15" i="22"/>
  <c r="J13" i="22"/>
  <c r="J11" i="22"/>
  <c r="J9" i="22"/>
  <c r="J7" i="22"/>
  <c r="K34" i="24"/>
  <c r="K32" i="24"/>
  <c r="K30" i="24"/>
  <c r="K28" i="24"/>
  <c r="K26" i="24"/>
  <c r="K24" i="24"/>
  <c r="K22" i="24"/>
  <c r="K20" i="24"/>
  <c r="K18" i="24"/>
  <c r="K16" i="24"/>
  <c r="K14" i="24"/>
  <c r="K11" i="24"/>
  <c r="K8" i="24"/>
  <c r="I35" i="24"/>
  <c r="I21" i="23"/>
  <c r="I19" i="23"/>
  <c r="I17" i="23"/>
  <c r="I15" i="23"/>
  <c r="I11" i="23"/>
  <c r="I9" i="23"/>
  <c r="J15" i="27"/>
  <c r="J13" i="27"/>
  <c r="K13" i="24"/>
  <c r="C18" i="8"/>
  <c r="G37" i="23"/>
  <c r="H50" i="23" s="1"/>
  <c r="H15" i="26"/>
  <c r="J10" i="27"/>
  <c r="I34" i="25"/>
  <c r="I30" i="25"/>
  <c r="I26" i="25"/>
  <c r="I22" i="25"/>
  <c r="I18" i="25"/>
  <c r="I11" i="25"/>
  <c r="I16" i="25"/>
  <c r="J17" i="22"/>
  <c r="I14" i="23"/>
  <c r="H25" i="21"/>
  <c r="H24" i="21"/>
  <c r="H23" i="21"/>
  <c r="H22" i="21"/>
  <c r="H21" i="21"/>
  <c r="H20" i="21"/>
  <c r="H19" i="21"/>
  <c r="H18" i="21"/>
  <c r="H17" i="21"/>
  <c r="H16" i="21"/>
  <c r="H15" i="21"/>
  <c r="H14" i="21"/>
  <c r="H13" i="21"/>
  <c r="H12" i="21"/>
  <c r="H11" i="21"/>
  <c r="H10" i="21"/>
  <c r="H9" i="21"/>
  <c r="H8" i="21"/>
  <c r="H7" i="21"/>
  <c r="H36" i="22"/>
  <c r="I34" i="22" s="1"/>
  <c r="I26" i="21"/>
  <c r="J8" i="27"/>
  <c r="H16" i="27"/>
  <c r="I15" i="27" s="1"/>
  <c r="D16" i="33" l="1"/>
  <c r="I60" i="23"/>
  <c r="I62" i="23" s="1"/>
  <c r="I65" i="23" s="1"/>
  <c r="F16" i="33"/>
  <c r="H16" i="33" s="1"/>
  <c r="I16" i="33" s="1"/>
  <c r="H48" i="23"/>
  <c r="H49" i="23"/>
  <c r="K35" i="12"/>
  <c r="K45" i="12"/>
  <c r="K46" i="12"/>
  <c r="H7" i="25"/>
  <c r="H7" i="23"/>
  <c r="J13" i="24"/>
  <c r="J6" i="24"/>
  <c r="B19" i="8"/>
  <c r="C19" i="8" s="1"/>
  <c r="H21" i="23"/>
  <c r="H10" i="23"/>
  <c r="H22" i="25"/>
  <c r="H24" i="25"/>
  <c r="H21" i="25"/>
  <c r="H19" i="25"/>
  <c r="H17" i="25"/>
  <c r="H28" i="25"/>
  <c r="H31" i="25"/>
  <c r="H13" i="25"/>
  <c r="H29" i="25"/>
  <c r="H12" i="25"/>
  <c r="H32" i="25"/>
  <c r="H35" i="25"/>
  <c r="H33" i="25"/>
  <c r="H16" i="25"/>
  <c r="H26" i="25"/>
  <c r="H14" i="25"/>
  <c r="H30" i="25"/>
  <c r="H27" i="25"/>
  <c r="H10" i="25"/>
  <c r="H15" i="25"/>
  <c r="H9" i="25"/>
  <c r="H11" i="25"/>
  <c r="H25" i="25"/>
  <c r="H8" i="25"/>
  <c r="H20" i="25"/>
  <c r="H18" i="25"/>
  <c r="H34" i="25"/>
  <c r="H23" i="25"/>
  <c r="H6" i="25"/>
  <c r="K29" i="12"/>
  <c r="K23" i="12"/>
  <c r="K21" i="12"/>
  <c r="K25" i="12"/>
  <c r="K27" i="12"/>
  <c r="K14" i="12"/>
  <c r="K31" i="12"/>
  <c r="J36" i="22"/>
  <c r="K17" i="22" s="1"/>
  <c r="K17" i="12"/>
  <c r="K33" i="12"/>
  <c r="K19" i="12"/>
  <c r="J16" i="27"/>
  <c r="K7" i="27" s="1"/>
  <c r="H14" i="23"/>
  <c r="I36" i="25"/>
  <c r="J17" i="25" s="1"/>
  <c r="J15" i="26"/>
  <c r="K6" i="26" s="1"/>
  <c r="D18" i="8"/>
  <c r="J6" i="21"/>
  <c r="J8" i="21"/>
  <c r="J10" i="21"/>
  <c r="J12" i="21"/>
  <c r="J14" i="21"/>
  <c r="J16" i="21"/>
  <c r="J18" i="21"/>
  <c r="J20" i="21"/>
  <c r="J22" i="21"/>
  <c r="J24" i="21"/>
  <c r="J7" i="21"/>
  <c r="J9" i="21"/>
  <c r="J11" i="21"/>
  <c r="J13" i="21"/>
  <c r="J15" i="21"/>
  <c r="J17" i="21"/>
  <c r="J19" i="21"/>
  <c r="J21" i="21"/>
  <c r="J23" i="21"/>
  <c r="J25" i="21"/>
  <c r="I7" i="26"/>
  <c r="I9" i="26"/>
  <c r="I11" i="26"/>
  <c r="I13" i="26"/>
  <c r="I8" i="26"/>
  <c r="I12" i="26"/>
  <c r="I6" i="26"/>
  <c r="I10" i="26"/>
  <c r="I14" i="26"/>
  <c r="J7" i="24"/>
  <c r="J9" i="24"/>
  <c r="J10" i="24"/>
  <c r="J12" i="24"/>
  <c r="J15" i="24"/>
  <c r="J17" i="24"/>
  <c r="J19" i="24"/>
  <c r="J21" i="24"/>
  <c r="J23" i="24"/>
  <c r="J25" i="24"/>
  <c r="J27" i="24"/>
  <c r="J29" i="24"/>
  <c r="J31" i="24"/>
  <c r="J33" i="24"/>
  <c r="B14" i="8"/>
  <c r="C14" i="8" s="1"/>
  <c r="K7" i="12"/>
  <c r="K8" i="12"/>
  <c r="K9" i="12"/>
  <c r="K10" i="12"/>
  <c r="K11" i="12"/>
  <c r="K12" i="12"/>
  <c r="K15" i="12"/>
  <c r="K16" i="12"/>
  <c r="K18" i="12"/>
  <c r="K20" i="12"/>
  <c r="K22" i="12"/>
  <c r="K24" i="12"/>
  <c r="K26" i="12"/>
  <c r="K28" i="12"/>
  <c r="K30" i="12"/>
  <c r="K32" i="12"/>
  <c r="K34" i="12"/>
  <c r="B13" i="8"/>
  <c r="C13" i="8" s="1"/>
  <c r="K6" i="12"/>
  <c r="I8" i="27"/>
  <c r="I13" i="27"/>
  <c r="H15" i="23"/>
  <c r="H17" i="23"/>
  <c r="H19" i="23"/>
  <c r="J8" i="24"/>
  <c r="J11" i="24"/>
  <c r="I18" i="22"/>
  <c r="I20" i="22"/>
  <c r="I22" i="22"/>
  <c r="I24" i="22"/>
  <c r="I26" i="22"/>
  <c r="I28" i="22"/>
  <c r="I30" i="22"/>
  <c r="I32" i="22"/>
  <c r="I6" i="27"/>
  <c r="I7" i="27"/>
  <c r="I9" i="27"/>
  <c r="I11" i="27"/>
  <c r="I12" i="27"/>
  <c r="I14" i="27"/>
  <c r="B28" i="8"/>
  <c r="I8" i="22"/>
  <c r="I10" i="22"/>
  <c r="I12" i="22"/>
  <c r="I14" i="22"/>
  <c r="I16" i="22"/>
  <c r="I19" i="22"/>
  <c r="I21" i="22"/>
  <c r="I23" i="22"/>
  <c r="I25" i="22"/>
  <c r="I27" i="22"/>
  <c r="I29" i="22"/>
  <c r="I31" i="22"/>
  <c r="I33" i="22"/>
  <c r="I35" i="22"/>
  <c r="I6" i="22"/>
  <c r="B16" i="8"/>
  <c r="H8" i="23"/>
  <c r="H12" i="23"/>
  <c r="H13" i="23"/>
  <c r="H16" i="23"/>
  <c r="H18" i="23"/>
  <c r="H20" i="23"/>
  <c r="H22" i="23"/>
  <c r="H23" i="23"/>
  <c r="H24" i="23"/>
  <c r="H25" i="23"/>
  <c r="H26" i="23"/>
  <c r="H27" i="23"/>
  <c r="H28" i="23"/>
  <c r="H29" i="23"/>
  <c r="H30" i="23"/>
  <c r="H31" i="23"/>
  <c r="H32" i="23"/>
  <c r="H33" i="23"/>
  <c r="H34" i="23"/>
  <c r="H35" i="23"/>
  <c r="H36" i="23"/>
  <c r="H6" i="23"/>
  <c r="K35" i="24"/>
  <c r="L36" i="12"/>
  <c r="I17" i="22"/>
  <c r="I10" i="27"/>
  <c r="I37" i="23"/>
  <c r="J50" i="23" s="1"/>
  <c r="H9" i="23"/>
  <c r="H11" i="23"/>
  <c r="J14" i="24"/>
  <c r="J16" i="24"/>
  <c r="J18" i="24"/>
  <c r="J20" i="24"/>
  <c r="J22" i="24"/>
  <c r="J24" i="24"/>
  <c r="J26" i="24"/>
  <c r="J28" i="24"/>
  <c r="J30" i="24"/>
  <c r="J32" i="24"/>
  <c r="J34" i="24"/>
  <c r="I7" i="22"/>
  <c r="I9" i="22"/>
  <c r="I11" i="22"/>
  <c r="I13" i="22"/>
  <c r="I15" i="22"/>
  <c r="J49" i="23" l="1"/>
  <c r="J48" i="23"/>
  <c r="M46" i="12"/>
  <c r="M45" i="12"/>
  <c r="J7" i="25"/>
  <c r="J7" i="23"/>
  <c r="L13" i="24"/>
  <c r="L6" i="24"/>
  <c r="K13" i="26"/>
  <c r="K14" i="26"/>
  <c r="K9" i="26"/>
  <c r="K12" i="26"/>
  <c r="K8" i="27"/>
  <c r="K11" i="26"/>
  <c r="K15" i="27"/>
  <c r="K13" i="27"/>
  <c r="K10" i="27"/>
  <c r="J17" i="23"/>
  <c r="J10" i="23"/>
  <c r="J8" i="25"/>
  <c r="J10" i="25"/>
  <c r="J25" i="25"/>
  <c r="J15" i="25"/>
  <c r="J23" i="25"/>
  <c r="K18" i="22"/>
  <c r="K21" i="22"/>
  <c r="J34" i="25"/>
  <c r="K11" i="22"/>
  <c r="J19" i="25"/>
  <c r="J30" i="25"/>
  <c r="K34" i="22"/>
  <c r="K8" i="22"/>
  <c r="J14" i="25"/>
  <c r="K35" i="22"/>
  <c r="K33" i="22"/>
  <c r="K7" i="22"/>
  <c r="K6" i="22"/>
  <c r="D19" i="8"/>
  <c r="E19" i="8" s="1"/>
  <c r="K26" i="22"/>
  <c r="J9" i="25"/>
  <c r="J18" i="25"/>
  <c r="K10" i="22"/>
  <c r="K27" i="22"/>
  <c r="J31" i="25"/>
  <c r="K19" i="22"/>
  <c r="K9" i="22"/>
  <c r="K30" i="22"/>
  <c r="J26" i="25"/>
  <c r="J13" i="25"/>
  <c r="J35" i="25"/>
  <c r="J22" i="25"/>
  <c r="K29" i="22"/>
  <c r="J33" i="25"/>
  <c r="K24" i="22"/>
  <c r="J24" i="25"/>
  <c r="K22" i="22"/>
  <c r="J16" i="25"/>
  <c r="K16" i="22"/>
  <c r="K25" i="22"/>
  <c r="K15" i="22"/>
  <c r="J11" i="25"/>
  <c r="J29" i="25"/>
  <c r="K32" i="22"/>
  <c r="K28" i="22"/>
  <c r="K31" i="22"/>
  <c r="J32" i="25"/>
  <c r="K14" i="22"/>
  <c r="J28" i="25"/>
  <c r="J20" i="25"/>
  <c r="K20" i="22"/>
  <c r="K12" i="22"/>
  <c r="K23" i="22"/>
  <c r="K13" i="22"/>
  <c r="J12" i="25"/>
  <c r="J27" i="25"/>
  <c r="J6" i="25"/>
  <c r="J21" i="25"/>
  <c r="D28" i="8"/>
  <c r="K10" i="26"/>
  <c r="K14" i="27"/>
  <c r="K12" i="27"/>
  <c r="K9" i="27"/>
  <c r="K6" i="27"/>
  <c r="K11" i="27"/>
  <c r="L11" i="24"/>
  <c r="K7" i="26"/>
  <c r="K8" i="26"/>
  <c r="L8" i="24"/>
  <c r="J15" i="23"/>
  <c r="J19" i="23"/>
  <c r="J21" i="23"/>
  <c r="D16" i="8"/>
  <c r="J13" i="23"/>
  <c r="J8" i="23"/>
  <c r="J18" i="23"/>
  <c r="J22" i="23"/>
  <c r="J24" i="23"/>
  <c r="J26" i="23"/>
  <c r="J28" i="23"/>
  <c r="J30" i="23"/>
  <c r="J32" i="23"/>
  <c r="J34" i="23"/>
  <c r="J36" i="23"/>
  <c r="J6" i="23"/>
  <c r="J12" i="23"/>
  <c r="J16" i="23"/>
  <c r="J20" i="23"/>
  <c r="J23" i="23"/>
  <c r="J25" i="23"/>
  <c r="J27" i="23"/>
  <c r="J29" i="23"/>
  <c r="J31" i="23"/>
  <c r="J33" i="23"/>
  <c r="J35" i="23"/>
  <c r="D13" i="8"/>
  <c r="M7" i="12"/>
  <c r="M9" i="12"/>
  <c r="M11" i="12"/>
  <c r="M15" i="12"/>
  <c r="M17" i="12"/>
  <c r="M19" i="12"/>
  <c r="M21" i="12"/>
  <c r="M23" i="12"/>
  <c r="M25" i="12"/>
  <c r="M27" i="12"/>
  <c r="M29" i="12"/>
  <c r="M31" i="12"/>
  <c r="M33" i="12"/>
  <c r="M35" i="12"/>
  <c r="M8" i="12"/>
  <c r="M10" i="12"/>
  <c r="M12" i="12"/>
  <c r="M14" i="12"/>
  <c r="M16" i="12"/>
  <c r="M18" i="12"/>
  <c r="M20" i="12"/>
  <c r="M22" i="12"/>
  <c r="M24" i="12"/>
  <c r="M26" i="12"/>
  <c r="M28" i="12"/>
  <c r="M30" i="12"/>
  <c r="M32" i="12"/>
  <c r="M34" i="12"/>
  <c r="D14" i="8"/>
  <c r="L15" i="24"/>
  <c r="L17" i="24"/>
  <c r="L19" i="24"/>
  <c r="L21" i="24"/>
  <c r="L23" i="24"/>
  <c r="L25" i="24"/>
  <c r="L27" i="24"/>
  <c r="L29" i="24"/>
  <c r="L31" i="24"/>
  <c r="L33" i="24"/>
  <c r="L9" i="24"/>
  <c r="L12" i="24"/>
  <c r="L7" i="24"/>
  <c r="L10" i="24"/>
  <c r="C16" i="8"/>
  <c r="B20" i="8"/>
  <c r="B21" i="8" s="1"/>
  <c r="E18" i="8"/>
  <c r="V18" i="8"/>
  <c r="E28" i="8"/>
  <c r="V21" i="8"/>
  <c r="L32" i="24"/>
  <c r="L28" i="24"/>
  <c r="L24" i="24"/>
  <c r="L20" i="24"/>
  <c r="L16" i="24"/>
  <c r="J11" i="23"/>
  <c r="B29" i="8"/>
  <c r="B31" i="8" s="1"/>
  <c r="C27" i="8" s="1"/>
  <c r="M6" i="12"/>
  <c r="L34" i="24"/>
  <c r="L30" i="24"/>
  <c r="L26" i="24"/>
  <c r="L22" i="24"/>
  <c r="L18" i="24"/>
  <c r="L14" i="24"/>
  <c r="J9" i="23"/>
  <c r="J14" i="23"/>
  <c r="D20" i="8" l="1"/>
  <c r="B30" i="8"/>
  <c r="C36" i="8"/>
  <c r="C37" i="8"/>
  <c r="C38" i="8"/>
  <c r="C28" i="8"/>
  <c r="V19" i="8"/>
  <c r="D21" i="8"/>
  <c r="V17" i="8"/>
  <c r="V20" i="8"/>
  <c r="E27" i="8"/>
  <c r="D29" i="8"/>
  <c r="D30" i="8" s="1"/>
  <c r="C29" i="8"/>
  <c r="C30" i="8"/>
  <c r="C21" i="8"/>
  <c r="C20" i="8"/>
  <c r="V14" i="8"/>
  <c r="E14" i="8"/>
  <c r="V13" i="8"/>
  <c r="E13" i="8"/>
  <c r="E16" i="8"/>
  <c r="V16" i="8"/>
  <c r="E20" i="8" l="1"/>
  <c r="E30" i="8"/>
  <c r="E29" i="8"/>
  <c r="E21" i="8"/>
  <c r="V2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Liam P Ó Cléirigh</author>
  </authors>
  <commentList>
    <comment ref="D5" authorId="0" shapeId="0" xr:uid="{00000000-0006-0000-0100-000001000000}">
      <text>
        <r>
          <rPr>
            <sz val="8"/>
            <color indexed="81"/>
            <rFont val="Tahoma"/>
            <family val="2"/>
          </rPr>
          <t xml:space="preserve"> Use the </t>
        </r>
        <r>
          <rPr>
            <b/>
            <sz val="8"/>
            <color indexed="81"/>
            <rFont val="Tahoma"/>
            <family val="2"/>
          </rPr>
          <t xml:space="preserve">Energy MAP Energy Bill Tracker Tool </t>
        </r>
        <r>
          <rPr>
            <sz val="8"/>
            <color indexed="81"/>
            <rFont val="Tahoma"/>
            <family val="2"/>
          </rPr>
          <t>to calculate average electricity prices</t>
        </r>
      </text>
    </comment>
    <comment ref="D6" authorId="0" shapeId="0" xr:uid="{00000000-0006-0000-0100-000002000000}">
      <text>
        <r>
          <rPr>
            <sz val="8"/>
            <color indexed="81"/>
            <rFont val="Tahoma"/>
            <family val="2"/>
          </rPr>
          <t xml:space="preserve"> Use the </t>
        </r>
        <r>
          <rPr>
            <b/>
            <sz val="8"/>
            <color indexed="81"/>
            <rFont val="Tahoma"/>
            <family val="2"/>
          </rPr>
          <t xml:space="preserve">Energy MAP Energy Bill Tracker Tool </t>
        </r>
        <r>
          <rPr>
            <sz val="8"/>
            <color indexed="81"/>
            <rFont val="Tahoma"/>
            <family val="2"/>
          </rPr>
          <t>to calculate average thermal prices</t>
        </r>
      </text>
    </comment>
    <comment ref="D7" authorId="0" shapeId="0" xr:uid="{00000000-0006-0000-0100-000003000000}">
      <text>
        <r>
          <rPr>
            <sz val="8"/>
            <color indexed="81"/>
            <rFont val="Tahoma"/>
            <family val="2"/>
          </rPr>
          <t xml:space="preserve"> Use the </t>
        </r>
        <r>
          <rPr>
            <b/>
            <sz val="8"/>
            <color indexed="81"/>
            <rFont val="Tahoma"/>
            <family val="2"/>
          </rPr>
          <t xml:space="preserve">Energy MAP Energy Bill Tracker Tool </t>
        </r>
        <r>
          <rPr>
            <sz val="8"/>
            <color indexed="81"/>
            <rFont val="Tahoma"/>
            <family val="2"/>
          </rPr>
          <t>to calculate average diesel prices</t>
        </r>
      </text>
    </comment>
    <comment ref="D8" authorId="0" shapeId="0" xr:uid="{00000000-0006-0000-0100-000004000000}">
      <text>
        <r>
          <rPr>
            <sz val="8"/>
            <color indexed="81"/>
            <rFont val="Tahoma"/>
            <family val="2"/>
          </rPr>
          <t xml:space="preserve"> Use the </t>
        </r>
        <r>
          <rPr>
            <b/>
            <sz val="8"/>
            <color indexed="81"/>
            <rFont val="Tahoma"/>
            <family val="2"/>
          </rPr>
          <t xml:space="preserve">Energy MAP Energy Bill Tracker Tool </t>
        </r>
        <r>
          <rPr>
            <sz val="8"/>
            <color indexed="81"/>
            <rFont val="Tahoma"/>
            <family val="2"/>
          </rPr>
          <t>to calculate average petrol prices</t>
        </r>
      </text>
    </comment>
    <comment ref="B22" authorId="0" shapeId="0" xr:uid="{00000000-0006-0000-0100-000005000000}">
      <text>
        <r>
          <rPr>
            <sz val="8"/>
            <color indexed="81"/>
            <rFont val="Tahoma"/>
            <family val="2"/>
          </rPr>
          <t>Enter the total amount (kWh) from the electricity bills over one year</t>
        </r>
      </text>
    </comment>
    <comment ref="D22" authorId="0" shapeId="0" xr:uid="{00000000-0006-0000-0100-000006000000}">
      <text>
        <r>
          <rPr>
            <sz val="8"/>
            <color indexed="81"/>
            <rFont val="Tahoma"/>
            <family val="2"/>
          </rPr>
          <t>Enter the total amount (€) from the electricity bills over one year</t>
        </r>
      </text>
    </comment>
    <comment ref="B31" authorId="0" shapeId="0" xr:uid="{00000000-0006-0000-0100-000007000000}">
      <text>
        <r>
          <rPr>
            <sz val="8"/>
            <color indexed="81"/>
            <rFont val="Tahoma"/>
            <family val="2"/>
          </rPr>
          <t>Enter the total amount (kWh) from the thermal energy bills over one year</t>
        </r>
      </text>
    </comment>
    <comment ref="D31" authorId="0" shapeId="0" xr:uid="{00000000-0006-0000-0100-000008000000}">
      <text>
        <r>
          <rPr>
            <sz val="8"/>
            <color indexed="81"/>
            <rFont val="Tahoma"/>
            <family val="2"/>
          </rPr>
          <t>Enter the total amount (€) from the thermal energy bills over one year</t>
        </r>
      </text>
    </comment>
    <comment ref="B39" authorId="0" shapeId="0" xr:uid="{00000000-0006-0000-0100-000009000000}">
      <text>
        <r>
          <rPr>
            <sz val="8"/>
            <color indexed="81"/>
            <rFont val="Tahoma"/>
            <family val="2"/>
          </rPr>
          <t>Enter the total amount (kWh) from the fleet fuel bills over one year</t>
        </r>
      </text>
    </comment>
    <comment ref="D39" authorId="0" shapeId="0" xr:uid="{00000000-0006-0000-0100-00000A000000}">
      <text>
        <r>
          <rPr>
            <sz val="8"/>
            <color indexed="81"/>
            <rFont val="Tahoma"/>
            <family val="2"/>
          </rPr>
          <t>Enter the total amount (€) from the fleet fuel bills over one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Kenington</author>
  </authors>
  <commentList>
    <comment ref="G15" authorId="0" shapeId="0" xr:uid="{00000000-0006-0000-0200-000001000000}">
      <text>
        <r>
          <rPr>
            <sz val="9"/>
            <color indexed="81"/>
            <rFont val="Tahoma"/>
            <family val="2"/>
          </rPr>
          <t xml:space="preserve">Need source for this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Liam P Ó Cléirigh</author>
    <author>liam p</author>
    <author>David Kenington</author>
  </authors>
  <commentList>
    <comment ref="D4" authorId="0" shapeId="0" xr:uid="{00000000-0006-0000-0300-000001000000}">
      <text>
        <r>
          <rPr>
            <sz val="8"/>
            <color indexed="81"/>
            <rFont val="Tahoma"/>
            <family val="2"/>
          </rPr>
          <t>Lighting control technology and techniques can significantly reduce lighting energy use whilst maintaining the quality of illumination.  Effective control systems can reduce lighting energy requirements by between 40% and 60% in most applications.
Examples include automatic control systems such as presence control, daylight control &amp; time control, as well as manual control approaches based on local / group swicthing.</t>
        </r>
      </text>
    </comment>
    <comment ref="H4" authorId="1" shapeId="0" xr:uid="{00000000-0006-0000-0300-000002000000}">
      <text>
        <r>
          <rPr>
            <sz val="8"/>
            <color indexed="81"/>
            <rFont val="Tahoma"/>
            <family val="2"/>
          </rPr>
          <t>Default Ballast Factors:
 - 1.15 for HID
 - 1.20 for Fluorescent (Magnetic ballast)
 - 1.05 for Fluorescent (HF electronic)
 - 1.0 for Halogen &amp; Incandescent</t>
        </r>
      </text>
    </comment>
    <comment ref="G6" authorId="2" shapeId="0" xr:uid="{00000000-0006-0000-0300-000003000000}">
      <text>
        <r>
          <rPr>
            <sz val="9"/>
            <color indexed="81"/>
            <rFont val="Tahoma"/>
            <charset val="1"/>
          </rPr>
          <t xml:space="preserve">Estimate based on visual inspection
</t>
        </r>
      </text>
    </comment>
    <comment ref="D39" authorId="0" shapeId="0" xr:uid="{00000000-0006-0000-0300-000004000000}">
      <text>
        <r>
          <rPr>
            <sz val="8"/>
            <color indexed="81"/>
            <rFont val="Tahoma"/>
            <family val="2"/>
          </rPr>
          <t>Lighting control technology and techniques can significantly reduce lighting energy use whilst maintaining the quality of illumination.  Effective control systems can reduce lighting energy requirements by between 40% and 60% in most applications.
Examples include automatic control systems such as presence control, daylight control &amp; time control, as well as manual control approaches based on local / group swicthing.</t>
        </r>
      </text>
    </comment>
    <comment ref="H39" authorId="1" shapeId="0" xr:uid="{00000000-0006-0000-0300-000005000000}">
      <text>
        <r>
          <rPr>
            <sz val="8"/>
            <color indexed="81"/>
            <rFont val="Tahoma"/>
            <family val="2"/>
          </rPr>
          <t>Default Ballast Factors:
 - 1.15 for HID
 - 1.20 for Fluorescent (Magnetic ballast)
 - 1.05 for Fluorescent (HF electronic)
 - 1.0 for Halogen &amp; Incandescent</t>
        </r>
      </text>
    </comment>
    <comment ref="G45" authorId="2" shapeId="0" xr:uid="{00000000-0006-0000-0300-000006000000}">
      <text>
        <r>
          <rPr>
            <sz val="9"/>
            <color indexed="81"/>
            <rFont val="Tahoma"/>
            <charset val="1"/>
          </rPr>
          <t xml:space="preserve">Estimate based on visual inspection
</t>
        </r>
      </text>
    </comment>
    <comment ref="R45" authorId="2" shapeId="0" xr:uid="{00000000-0006-0000-0300-000007000000}">
      <text>
        <r>
          <rPr>
            <sz val="9"/>
            <color indexed="81"/>
            <rFont val="Tahoma"/>
            <family val="2"/>
          </rPr>
          <t>good quality one</t>
        </r>
      </text>
    </comment>
    <comment ref="R46" authorId="2" shapeId="0" xr:uid="{00000000-0006-0000-0300-000008000000}">
      <text>
        <r>
          <rPr>
            <sz val="9"/>
            <color indexed="81"/>
            <rFont val="Tahoma"/>
            <family val="2"/>
          </rPr>
          <t>good quality high output from screwfix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Liam P Ó Cléirigh</author>
    <author>liam p</author>
  </authors>
  <commentList>
    <comment ref="D4" authorId="0" shapeId="0" xr:uid="{00000000-0006-0000-0400-000001000000}">
      <text>
        <r>
          <rPr>
            <sz val="8"/>
            <color indexed="81"/>
            <rFont val="Tahoma"/>
            <family val="2"/>
          </rPr>
          <t xml:space="preserve">Different HVAC control strategies can result in very different levels of energy consumption, energy performance and comfort levels
</t>
        </r>
      </text>
    </comment>
    <comment ref="G4" authorId="1" shapeId="0" xr:uid="{00000000-0006-0000-0400-000002000000}">
      <text>
        <r>
          <rPr>
            <sz val="8"/>
            <color indexed="81"/>
            <rFont val="Tahoma"/>
            <family val="2"/>
          </rPr>
          <t>Estimate of average percentage loading on equipment item, e.g. motor, heater</t>
        </r>
      </text>
    </comment>
    <comment ref="D38" authorId="0" shapeId="0" xr:uid="{00000000-0006-0000-0400-000003000000}">
      <text>
        <r>
          <rPr>
            <sz val="8"/>
            <color indexed="81"/>
            <rFont val="Tahoma"/>
            <family val="2"/>
          </rPr>
          <t xml:space="preserve">Different HVAC control strategies can result in very different levels of energy consumption, energy performance and comfort levels
</t>
        </r>
      </text>
    </comment>
    <comment ref="G38" authorId="1" shapeId="0" xr:uid="{00000000-0006-0000-0400-000004000000}">
      <text>
        <r>
          <rPr>
            <sz val="8"/>
            <color indexed="81"/>
            <rFont val="Tahoma"/>
            <family val="2"/>
          </rPr>
          <t>Estimate of average percentage loading on equipment item, e.g. motor, heater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liam p</author>
    <author>David Kenington</author>
  </authors>
  <commentList>
    <comment ref="E4" authorId="0" shapeId="0" xr:uid="{00000000-0006-0000-0600-000001000000}">
      <text>
        <r>
          <rPr>
            <sz val="8"/>
            <color indexed="81"/>
            <rFont val="Tahoma"/>
            <family val="2"/>
          </rPr>
          <t>Estimate of average percentage loading on motor (if unknown use 65%)</t>
        </r>
      </text>
    </comment>
    <comment ref="N6" authorId="1" shapeId="0" xr:uid="{00000000-0006-0000-0600-000002000000}">
      <text>
        <r>
          <rPr>
            <sz val="9"/>
            <color indexed="81"/>
            <rFont val="Tahoma"/>
            <family val="2"/>
          </rPr>
          <t>MTP 2009 scenario is 14.17 kwh/m2/day. http://efficient-products.ghkint.eu/spm/download/document/id/912.pdf So assumed 20 as these are very old</t>
        </r>
      </text>
    </comment>
    <comment ref="D9" authorId="1" shapeId="0" xr:uid="{00000000-0006-0000-0600-000003000000}">
      <text>
        <r>
          <rPr>
            <sz val="9"/>
            <color indexed="81"/>
            <rFont val="Tahoma"/>
            <family val="2"/>
          </rPr>
          <t>assumed 0.55 higher than the smaller new one in the fishmongers (probably conservative assumption)</t>
        </r>
      </text>
    </comment>
    <comment ref="G9" authorId="1" shapeId="0" xr:uid="{00000000-0006-0000-0600-000004000000}">
      <text>
        <r>
          <rPr>
            <sz val="9"/>
            <color indexed="81"/>
            <rFont val="Tahoma"/>
            <charset val="1"/>
          </rPr>
          <t>Used MTP reference scenario average kWh use/a for small freezer rooms (&lt;20m2)</t>
        </r>
      </text>
    </comment>
    <comment ref="D10" authorId="1" shapeId="0" xr:uid="{00000000-0006-0000-0600-000005000000}">
      <text>
        <r>
          <rPr>
            <sz val="9"/>
            <color indexed="81"/>
            <rFont val="Tahoma"/>
            <family val="2"/>
          </rPr>
          <t xml:space="preserve">Assumed 0.25 higher than the fishmongers - again probably a conservative assumption
</t>
        </r>
      </text>
    </comment>
    <comment ref="G10" authorId="1" shapeId="0" xr:uid="{00000000-0006-0000-0600-000006000000}">
      <text>
        <r>
          <rPr>
            <sz val="9"/>
            <color indexed="81"/>
            <rFont val="Tahoma"/>
            <charset val="1"/>
          </rPr>
          <t>Used MTP reference scenario average kWh use/a for small chiller rooms (&lt;20m2)</t>
        </r>
      </text>
    </comment>
    <comment ref="E40" authorId="0" shapeId="0" xr:uid="{00000000-0006-0000-0600-000007000000}">
      <text>
        <r>
          <rPr>
            <sz val="8"/>
            <color indexed="81"/>
            <rFont val="Tahoma"/>
            <family val="2"/>
          </rPr>
          <t>Estimate of average percentage loading on motor (if unknown use 65%)</t>
        </r>
      </text>
    </comment>
    <comment ref="D48" authorId="1" shapeId="0" xr:uid="{00000000-0006-0000-0600-000008000000}">
      <text>
        <r>
          <rPr>
            <sz val="9"/>
            <color indexed="81"/>
            <rFont val="Tahoma"/>
            <family val="2"/>
          </rPr>
          <t>assumed 0.55 higher than the smaller new one in the fishmongers (probably conservative assumption)</t>
        </r>
      </text>
    </comment>
    <comment ref="G48" authorId="1" shapeId="0" xr:uid="{00000000-0006-0000-0600-000009000000}">
      <text>
        <r>
          <rPr>
            <sz val="9"/>
            <color indexed="81"/>
            <rFont val="Tahoma"/>
            <charset val="1"/>
          </rPr>
          <t>Used MTP reference scenario average kWh use/a for small freezer rooms (&lt;20m2)</t>
        </r>
      </text>
    </comment>
    <comment ref="D49" authorId="1" shapeId="0" xr:uid="{00000000-0006-0000-0600-00000A000000}">
      <text>
        <r>
          <rPr>
            <sz val="9"/>
            <color indexed="81"/>
            <rFont val="Tahoma"/>
            <family val="2"/>
          </rPr>
          <t xml:space="preserve">Assumed 0.25 higher than the fishmongers - again probably a conservative assumption
</t>
        </r>
      </text>
    </comment>
    <comment ref="G49" authorId="1" shapeId="0" xr:uid="{00000000-0006-0000-0600-00000B000000}">
      <text>
        <r>
          <rPr>
            <sz val="9"/>
            <color indexed="81"/>
            <rFont val="Tahoma"/>
            <charset val="1"/>
          </rPr>
          <t>Used MTP reference scenario average kWh use/a for small chiller rooms (&lt;20m2)</t>
        </r>
      </text>
    </comment>
    <comment ref="N50" authorId="1" shapeId="0" xr:uid="{00000000-0006-0000-0600-00000C000000}">
      <text>
        <r>
          <rPr>
            <sz val="9"/>
            <color indexed="81"/>
            <rFont val="Tahoma"/>
            <family val="2"/>
          </rPr>
          <t xml:space="preserve">
MTP 2009 scenario is 14.17 kwh/m2/day. http://efficient-products.ghkint.eu/spm/download/document/id/912.pdf So assumed 20 as these are very old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F4" authorId="0" shapeId="0" xr:uid="{00000000-0006-0000-0700-000001000000}">
      <text>
        <r>
          <rPr>
            <sz val="8"/>
            <color indexed="81"/>
            <rFont val="Tahoma"/>
            <family val="2"/>
          </rPr>
          <t>Estimate of average percentage loading on motor</t>
        </r>
      </text>
    </comment>
    <comment ref="F39" authorId="0" shapeId="0" xr:uid="{00000000-0006-0000-0700-000002000000}">
      <text>
        <r>
          <rPr>
            <sz val="8"/>
            <color indexed="81"/>
            <rFont val="Tahoma"/>
            <family val="2"/>
          </rPr>
          <t>Estimate of average percentage loading on motor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E4" authorId="0" shapeId="0" xr:uid="{00000000-0006-0000-0800-000001000000}">
      <text>
        <r>
          <rPr>
            <sz val="8"/>
            <color indexed="81"/>
            <rFont val="Tahoma"/>
            <family val="2"/>
          </rPr>
          <t>Estimate of average percentage loading on motors (if unknown use 65%)</t>
        </r>
      </text>
    </comment>
    <comment ref="E29" authorId="0" shapeId="0" xr:uid="{00000000-0006-0000-0800-000002000000}">
      <text>
        <r>
          <rPr>
            <sz val="8"/>
            <color indexed="81"/>
            <rFont val="Tahoma"/>
            <family val="2"/>
          </rPr>
          <t>Estimate of average percentage loading on motors (if unknown use 65%)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E4" authorId="0" shapeId="0" xr:uid="{00000000-0006-0000-0A00-000001000000}">
      <text>
        <r>
          <rPr>
            <sz val="8"/>
            <color indexed="81"/>
            <rFont val="Tahoma"/>
            <family val="2"/>
          </rPr>
          <t>Estimate of average boiler efficiency (if unknown use 80%)</t>
        </r>
      </text>
    </comment>
    <comment ref="F4" authorId="0" shapeId="0" xr:uid="{00000000-0006-0000-0A00-000002000000}">
      <text>
        <r>
          <rPr>
            <sz val="8"/>
            <color indexed="81"/>
            <rFont val="Tahoma"/>
            <family val="2"/>
          </rPr>
          <t>Estimate of average percentage loading on boiler (if unknown use 55%)</t>
        </r>
      </text>
    </comment>
    <comment ref="E18" authorId="0" shapeId="0" xr:uid="{00000000-0006-0000-0A00-000003000000}">
      <text>
        <r>
          <rPr>
            <sz val="8"/>
            <color indexed="81"/>
            <rFont val="Tahoma"/>
            <family val="2"/>
          </rPr>
          <t>Estimate of average boiler efficiency (if unknown use 80%)</t>
        </r>
      </text>
    </comment>
    <comment ref="F18" authorId="0" shapeId="0" xr:uid="{00000000-0006-0000-0A00-000004000000}">
      <text>
        <r>
          <rPr>
            <sz val="8"/>
            <color indexed="81"/>
            <rFont val="Tahoma"/>
            <family val="2"/>
          </rPr>
          <t>Estimate of average percentage loading on boiler (if unknown use 55%)</t>
        </r>
      </text>
    </comment>
  </commentList>
</comments>
</file>

<file path=xl/sharedStrings.xml><?xml version="1.0" encoding="utf-8"?>
<sst xmlns="http://schemas.openxmlformats.org/spreadsheetml/2006/main" count="725" uniqueCount="275">
  <si>
    <t>[kWh]</t>
  </si>
  <si>
    <t>[€]</t>
  </si>
  <si>
    <t>[%]</t>
  </si>
  <si>
    <t>[kW]</t>
  </si>
  <si>
    <t>Total</t>
  </si>
  <si>
    <t>-</t>
  </si>
  <si>
    <t>Quantity</t>
  </si>
  <si>
    <t>Cost</t>
  </si>
  <si>
    <t>Electricity</t>
  </si>
  <si>
    <t>Fuel</t>
  </si>
  <si>
    <t>Consumption</t>
  </si>
  <si>
    <t>SAMPLE</t>
  </si>
  <si>
    <t>Lighting</t>
  </si>
  <si>
    <t>Compressed Air</t>
  </si>
  <si>
    <t>Refrigeration</t>
  </si>
  <si>
    <t>HVAC</t>
  </si>
  <si>
    <t>Lighting Type</t>
  </si>
  <si>
    <t>Location</t>
  </si>
  <si>
    <t>Watts per Lamp</t>
  </si>
  <si>
    <t>Ballast Factor</t>
  </si>
  <si>
    <t>Annual Operating Hours</t>
  </si>
  <si>
    <t>[W]</t>
  </si>
  <si>
    <t>[-]</t>
  </si>
  <si>
    <t>[h]</t>
  </si>
  <si>
    <t>Metal Halide</t>
  </si>
  <si>
    <t>Main Store</t>
  </si>
  <si>
    <t>Load Factor</t>
  </si>
  <si>
    <t>Motor Ref</t>
  </si>
  <si>
    <t>Description</t>
  </si>
  <si>
    <t>Boiler Efficiency</t>
  </si>
  <si>
    <t>Annual Electiricty Consumption</t>
  </si>
  <si>
    <t>Annual Electiricty Cost</t>
  </si>
  <si>
    <t>No. Lamps per Fixture</t>
  </si>
  <si>
    <t>No. Fixtures</t>
  </si>
  <si>
    <t>Significant Energy Users
- Lighting</t>
  </si>
  <si>
    <t>Significant Energy Users
- Compressed Air</t>
  </si>
  <si>
    <t>Main Plant Room</t>
  </si>
  <si>
    <t>12345-34</t>
  </si>
  <si>
    <t>Significant Energy Users
- Motors &amp; Drives</t>
  </si>
  <si>
    <t>SAMPLE Compressor No. 1</t>
  </si>
  <si>
    <t>SAMPLE Process water pumps</t>
  </si>
  <si>
    <t>SAMLE Ammonia Compressor</t>
  </si>
  <si>
    <t>Significant Energy Users
- Refrigeration &amp; Process Cooling</t>
  </si>
  <si>
    <t>Production Offices</t>
  </si>
  <si>
    <t>Wall mounted resistive heaters</t>
  </si>
  <si>
    <t>Equipment Ref</t>
  </si>
  <si>
    <t>Significant Energy Users
- Other Electrical Equipment</t>
  </si>
  <si>
    <t>Equipment Power Rating (each)</t>
  </si>
  <si>
    <t>Motor Power Rating</t>
  </si>
  <si>
    <t>Motor Power Rating (each)</t>
  </si>
  <si>
    <t>Significant Energy Users
- Boilers</t>
  </si>
  <si>
    <t>Boilerhouse</t>
  </si>
  <si>
    <t>Boiler Ref</t>
  </si>
  <si>
    <t>SAMPLE Boiler No. 1</t>
  </si>
  <si>
    <t>Boiler Thermal Rating</t>
  </si>
  <si>
    <t>Annual Fuel Consumption</t>
  </si>
  <si>
    <t>Annual Fuel Cost</t>
  </si>
  <si>
    <t>Equipment Description</t>
  </si>
  <si>
    <t>Thermal Rating</t>
  </si>
  <si>
    <t>Thermal Efficiency</t>
  </si>
  <si>
    <t>Hall 3</t>
  </si>
  <si>
    <t>125-86</t>
  </si>
  <si>
    <t>SAMPLE Dryer No. 2</t>
  </si>
  <si>
    <t>Significant Energy Users
- Other Thermal Equipment</t>
  </si>
  <si>
    <t>Boilers</t>
  </si>
  <si>
    <t>Other Thermal</t>
  </si>
  <si>
    <t>Opportunities for Energy Savings</t>
  </si>
  <si>
    <t>Comments / Justification for Operating Assumptions</t>
  </si>
  <si>
    <t>Operates for 250 h per month</t>
  </si>
  <si>
    <t>VSD</t>
  </si>
  <si>
    <t>Operates for 500 h per month</t>
  </si>
  <si>
    <t>Replace with electronic controls</t>
  </si>
  <si>
    <t>On when offices are occupied</t>
  </si>
  <si>
    <t>Install thermostatic controls</t>
  </si>
  <si>
    <t>Continuous operation</t>
  </si>
  <si>
    <t>Install VSD</t>
  </si>
  <si>
    <t>Install Daylight sensors</t>
  </si>
  <si>
    <t>On 10h per day</t>
  </si>
  <si>
    <t>Efficiency based on flue gas test results from last quarter</t>
  </si>
  <si>
    <t>Improve condensate return</t>
  </si>
  <si>
    <t>Operates for 100 hours per month</t>
  </si>
  <si>
    <t>Total (Significant Energy Users)</t>
  </si>
  <si>
    <t>Significant Fuel User</t>
  </si>
  <si>
    <t>Significant Electricity User</t>
  </si>
  <si>
    <t>Total Billed Amount in Year</t>
  </si>
  <si>
    <t>Unaccounted for Shortfall (Excess)</t>
  </si>
  <si>
    <t>[% of Billed Consumption]</t>
  </si>
  <si>
    <t>[% of Billed Cost]</t>
  </si>
  <si>
    <t>Energy MAP Tool Version History</t>
  </si>
  <si>
    <t>Version</t>
  </si>
  <si>
    <t>Description of Modification(s)</t>
  </si>
  <si>
    <t>By</t>
  </si>
  <si>
    <t>Date</t>
  </si>
  <si>
    <t>Additional Comments</t>
  </si>
  <si>
    <t>Addition of Version History Worksheet
Correction of labelling error on Summary sheet</t>
  </si>
  <si>
    <t xml:space="preserve">     Significant Energy Users
       - Summary</t>
  </si>
  <si>
    <t>MC</t>
  </si>
  <si>
    <t>Change Logos from SEI to SEAI</t>
  </si>
  <si>
    <t>Energy MAP</t>
  </si>
  <si>
    <t>Layout of this Tool</t>
  </si>
  <si>
    <t>Using this Tool</t>
  </si>
  <si>
    <t>Additional Information &amp; Support</t>
  </si>
  <si>
    <t xml:space="preserve"> - There is extensive guidance on all twenty Energy MAP steps at www.seai.ie/energymap (click here)</t>
  </si>
  <si>
    <t xml:space="preserve"> - Click here to see SEAI's suite of supports to help public bodies reach their 33% energy-efficiency targets by 2020</t>
  </si>
  <si>
    <t xml:space="preserve"> - Click here to see SEAI's supports for SMEs and Large Industry</t>
  </si>
  <si>
    <t>Significant Energy Users</t>
  </si>
  <si>
    <t>Use this sheet to calculate the electricity consumed by all compressors, fans and other motors in your Compressed Air system(s)</t>
  </si>
  <si>
    <t>EXAMPLE</t>
  </si>
  <si>
    <t>BÓC</t>
  </si>
  <si>
    <t>Use this sheet to calculate or estimate the fuel consumption of other (non boiler) equipment such as fired dryers, direct-fired heaters, thermal oxidisers, gas cookers etc.</t>
  </si>
  <si>
    <t>Use this sheet to calculate the electricity consumed by all motors on refrigeration compressors, condensers and evaporators</t>
  </si>
  <si>
    <t>Use this sheet to calculate the electricity consumed by all Motors &amp; Drives (that are NOT counted in Compressed Air, Refrigeration or HVAC worksheets)</t>
  </si>
  <si>
    <t>This worksheet is a summary sheet only - use the other worksheets to enter data on the Significant Energy Users</t>
  </si>
  <si>
    <t>ICT Equipment Ref</t>
  </si>
  <si>
    <t>ICT Equipment Power Rating (each)</t>
  </si>
  <si>
    <t>Use this sheet to calculate the electricity consumed by all ICT equipment</t>
  </si>
  <si>
    <t>Significant Energy Users
- ICT Equipment</t>
  </si>
  <si>
    <t>Offices XYZ</t>
  </si>
  <si>
    <t>Desktop PCs</t>
  </si>
  <si>
    <t>Enable low power mode</t>
  </si>
  <si>
    <t>On 9/day for 5 days/week</t>
  </si>
  <si>
    <t>Production Machine ABC</t>
  </si>
  <si>
    <t>On 12h/day for 5 days/week</t>
  </si>
  <si>
    <t>Use this sheet to calculate the electricity consumed by all other electrical equipment</t>
  </si>
  <si>
    <t>Vehicle Ref</t>
  </si>
  <si>
    <t>Vehicle Base Location</t>
  </si>
  <si>
    <t>Vehicle Description</t>
  </si>
  <si>
    <t>Significant Energy Users
- Fleet (Vehicles)</t>
  </si>
  <si>
    <t>Use this sheet to calculate or estimate the fuel consumption of vehicles</t>
  </si>
  <si>
    <t>L/100km</t>
  </si>
  <si>
    <t>Engine Size</t>
  </si>
  <si>
    <t>[L]</t>
  </si>
  <si>
    <t>Fuel Type</t>
  </si>
  <si>
    <t>Diesel</t>
  </si>
  <si>
    <t>Petrol</t>
  </si>
  <si>
    <t>Distance Travelled (in Year)</t>
  </si>
  <si>
    <t>[km]</t>
  </si>
  <si>
    <t>NCV</t>
  </si>
  <si>
    <t>Main Depot</t>
  </si>
  <si>
    <t>XYZ</t>
  </si>
  <si>
    <t>2009 Brand X, Model Y</t>
  </si>
  <si>
    <t>€/100km</t>
  </si>
  <si>
    <t>per kWh</t>
  </si>
  <si>
    <t>per Litre</t>
  </si>
  <si>
    <t>Average Electricity Price</t>
  </si>
  <si>
    <t>Average Thermal Energy (gas/LPG/oil) Price</t>
  </si>
  <si>
    <t>Average Fleet Diesel Price</t>
  </si>
  <si>
    <t>Average Fleet Petrol Price</t>
  </si>
  <si>
    <t>Energy Type</t>
  </si>
  <si>
    <t>Unit</t>
  </si>
  <si>
    <t>Significant Energy Users
- Heating, Ventilation &amp; Air Conditioning (HVAC)</t>
  </si>
  <si>
    <t>ICT</t>
  </si>
  <si>
    <t>Other Electrical Equipment</t>
  </si>
  <si>
    <t>Thermal Energy</t>
  </si>
  <si>
    <t>Fleet</t>
  </si>
  <si>
    <t>DO NOT EDIT!</t>
  </si>
  <si>
    <t xml:space="preserve">  -  </t>
  </si>
  <si>
    <t>Enter data in the green cells only</t>
  </si>
  <si>
    <t>Review a summary of the data you have entered and a graphical breakdown of consumption and energy spend in the 'Summary' worksheet</t>
  </si>
  <si>
    <t>Enter the average unit prices paid for different energy types in the 'Summary' worksheet</t>
  </si>
  <si>
    <t>Thermal Energy:  Boilers, Other Thermal Equipment</t>
  </si>
  <si>
    <t>List the main energy users in each category in the relevant worksheet.  Remember that not all worksheets are relevant for all organisations.</t>
  </si>
  <si>
    <t>Electricity:  Lighting, Heating Ventilation &amp; Air Conditioning (HVAC), ICT, Refrigeration, Motors &amp; Drives, Compressed Air and Other Electrical Equipment</t>
  </si>
  <si>
    <t>Use this sheet to calculate the fuel (gas, oil etc.) consumed by all boilers (steam and hot water) - include pumps &amp; fans in HVAC or Motors &amp; Drives worksheets</t>
  </si>
  <si>
    <t>Use the fields to calculate or estimate the consumption for each main user - there is an example in each worksheet</t>
  </si>
  <si>
    <t>2012 Review of Energy MAP 'Family'
Issued for internal review</t>
  </si>
  <si>
    <t>Addition of ICT &amp; Fleet worksheets
Re-ordering of worksheets
Addition of Intro Sheet</t>
  </si>
  <si>
    <t>Green worksheets:  this is where you enter data.</t>
  </si>
  <si>
    <t>Blue worksheets:  summary or example data</t>
  </si>
  <si>
    <t>Red worksheets: For SEAI use only</t>
  </si>
  <si>
    <t>This tool has separate worksheets for different types of significant energy user:</t>
  </si>
  <si>
    <t>The organisation should know and understand where energy is being used.  To achieve this, the organisation must identify what its Significant Energy Users are and how much energy is being used by each.  It should aim to account for about 70-90% of consumption in this way.  This exercise helps highlight the key areas for attention and identify potential energy saving opportunities.  It should be reviewed on an annual basis.</t>
  </si>
  <si>
    <r>
      <t xml:space="preserve">This </t>
    </r>
    <r>
      <rPr>
        <u/>
        <sz val="11"/>
        <color theme="0"/>
        <rFont val="Calibri"/>
        <family val="2"/>
      </rPr>
      <t>Significant Energy Users</t>
    </r>
    <r>
      <rPr>
        <b/>
        <sz val="11"/>
        <color theme="0"/>
        <rFont val="Calibri"/>
        <family val="2"/>
      </rPr>
      <t xml:space="preserve"> </t>
    </r>
    <r>
      <rPr>
        <sz val="11"/>
        <color theme="0"/>
        <rFont val="Calibri"/>
        <family val="2"/>
      </rPr>
      <t xml:space="preserve">tool is for quantifying and analysing the energy consumption of the main energy-using plant, equipment, fixtures and fittings within the facilities.
</t>
    </r>
    <r>
      <rPr>
        <i/>
        <sz val="11"/>
        <color theme="0"/>
        <rFont val="Calibri"/>
        <family val="2"/>
      </rPr>
      <t>There is also a simplified version of this tool (entitled the Significant Energy Users - Office Version tool) available from the SEAI website that only includes worksheets for energy-using equipment found in typical office buildings.</t>
    </r>
  </si>
  <si>
    <t>HVAC Equipment Ref</t>
  </si>
  <si>
    <t>Unit Power Rating (each)</t>
  </si>
  <si>
    <t>Text edits</t>
  </si>
  <si>
    <t>Lighting Controls</t>
  </si>
  <si>
    <t>Control Strategy</t>
  </si>
  <si>
    <t>None (switched on/off as required)</t>
  </si>
  <si>
    <t>Issued for publication on SEAI website</t>
  </si>
  <si>
    <t>Time control</t>
  </si>
  <si>
    <t>Use this sheet to calculate the electricity consumed by Electrical Heaters, Air Conditioning Units, Ventilation Fans, Cooling Systems for Server Rooms and AHU Fan Motors</t>
  </si>
  <si>
    <t>Use this sheet to calculate the electricity consumed by all lighting (including external and public lighting)</t>
  </si>
  <si>
    <t>Shop floor</t>
  </si>
  <si>
    <t>On 8 hours per day</t>
  </si>
  <si>
    <t>Manual</t>
  </si>
  <si>
    <t>[£]</t>
  </si>
  <si>
    <t>None</t>
  </si>
  <si>
    <t>T8</t>
  </si>
  <si>
    <t>T8 flourescent tubes (4ft)</t>
  </si>
  <si>
    <t>shop floor</t>
  </si>
  <si>
    <t>LED downlighter</t>
  </si>
  <si>
    <t>11x LED down lighters put in two years ago</t>
  </si>
  <si>
    <t>shop front</t>
  </si>
  <si>
    <t>Halogen downlights</t>
  </si>
  <si>
    <t>6x GU10</t>
  </si>
  <si>
    <t>Shop floor and back room</t>
  </si>
  <si>
    <t>2x fly killers.  Ecolab insecto cut</t>
  </si>
  <si>
    <t>2x display chest freexers.  20 years old, only used for 2 hours each Saturday</t>
  </si>
  <si>
    <t>Shop floor (internal area)</t>
  </si>
  <si>
    <t>Window display - 1x 12ftx3ft counter display.  Also 30 years old, but only used on saturdays</t>
  </si>
  <si>
    <t>Back room</t>
  </si>
  <si>
    <t>Only used as chilled displays - by turning them on at the start of the day</t>
  </si>
  <si>
    <t xml:space="preserve">30 years of age.  Motors have been repaired and serviced when needed, but not replaced.  </t>
  </si>
  <si>
    <t>Replacement of the units for more efficient ones</t>
  </si>
  <si>
    <t xml:space="preserve">Replacement of the motors.  Review insulation and replace as necessary. Assess door, including seals and replace as necessary. </t>
  </si>
  <si>
    <t xml:space="preserve">Kept at -14-20C.  Was installed over 20 years ago. Previous energy audit two years ago recommended replacement of the motors to improve efficiency (was too expensive to justify).  </t>
  </si>
  <si>
    <t xml:space="preserve">Kept at (28F, -2C).  Installed aroudn 30 years ago. </t>
  </si>
  <si>
    <t>Ham cooker</t>
  </si>
  <si>
    <t>Replace ham cooker</t>
  </si>
  <si>
    <t>Used for 8 hrs one day per week to cook the hams and other cook meat items.  Cooker is 30 years old</t>
  </si>
  <si>
    <t>All electric - no gas on site</t>
  </si>
  <si>
    <t>Air conditioner unit</t>
  </si>
  <si>
    <t>Replace the air con unit</t>
  </si>
  <si>
    <t xml:space="preserve">Manual </t>
  </si>
  <si>
    <t>Notes</t>
  </si>
  <si>
    <t>Used to have 3x air con units, but they turned two off as the bills got too high</t>
  </si>
  <si>
    <t xml:space="preserve">Only in summer, and then about 5 hours per day.  Assumed summer period of 20 weeks.  Unsure of kw rating of unit, but was installed in 1990.  Situated above the main counter blowing cold air down onto the staff.  In summer they often close the door in order to keep the cool in.  They say the system doesnt work that well anymore, but it does keep them a bit cool. </t>
  </si>
  <si>
    <t xml:space="preserve">No computer on-site.  Tend to do things manually. </t>
  </si>
  <si>
    <t>Sausage filler</t>
  </si>
  <si>
    <t>Bacon slicer</t>
  </si>
  <si>
    <t>3hrs per week</t>
  </si>
  <si>
    <t>1 hr per week</t>
  </si>
  <si>
    <t>Mincer</t>
  </si>
  <si>
    <t>Shop not heated - no gas boiler</t>
  </si>
  <si>
    <t>Replace flourescents with LEDs</t>
  </si>
  <si>
    <t>Replace with LED downlighters</t>
  </si>
  <si>
    <t>Replacement of the unit for more efficient one (or not use it at all, they don’t seem to much</t>
  </si>
  <si>
    <t>Freezer room 4mx 4m (16M2)</t>
  </si>
  <si>
    <t>Chiller room 3m x 3m</t>
  </si>
  <si>
    <t>Energy efficiency opportunities</t>
  </si>
  <si>
    <t>Location/opportunity type</t>
  </si>
  <si>
    <t>Current equipment</t>
  </si>
  <si>
    <t>Proposed replacement</t>
  </si>
  <si>
    <t>New annual energy cost</t>
  </si>
  <si>
    <t>Yearly energy savings</t>
  </si>
  <si>
    <t>Investment break even (years)</t>
  </si>
  <si>
    <t> </t>
  </si>
  <si>
    <t>20+ year old freezer room approx 16m2</t>
  </si>
  <si>
    <t>Current annual energy cost</t>
  </si>
  <si>
    <t>Most efficient current freezer froom</t>
  </si>
  <si>
    <t>Replacement cost (£ Inc VAT)</t>
  </si>
  <si>
    <t>20+ year old chiller room approx 12m2</t>
  </si>
  <si>
    <t>Energy Efficiency Opportunities</t>
  </si>
  <si>
    <t>Cost per bulb</t>
  </si>
  <si>
    <t>Total replacement cost</t>
  </si>
  <si>
    <t>Replacement source</t>
  </si>
  <si>
    <t>http://www.screwfix.com/p/philips-gu10-led-warmglow-glass-reflector-light-bulb-240lm-650cd-3-5w/3754p</t>
  </si>
  <si>
    <t>http://www.ledkia.com/uk/buy-t8-led-tubes/1355-1500mm-5ft-24w-t8-led-tube-with-one-side-power.html?gclid=CjwKCAjwtdbLBRALEiwAm8pA5RLG14qNk-xUOj84tUyES5gL01Q3jXYJ11pxH1JSLiTXwKXtnVj96hoCiAYQAvD_BwE</t>
  </si>
  <si>
    <t>Back room/ Refrigeration</t>
  </si>
  <si>
    <t>6x G10 Halogen display downlighters (shop window)</t>
  </si>
  <si>
    <t>16x T8 (4ft) flourescent tubes (approx 50-70w)</t>
  </si>
  <si>
    <t>LED T8 tubes (22w)</t>
  </si>
  <si>
    <t>LED downlighters 35w equivalent</t>
  </si>
  <si>
    <t>2x over counter chilled meat displays.  Each 5m wide x 1.2m depth and 1.2m high.  Open to the back.  Also 2m by 1m in front window</t>
  </si>
  <si>
    <t>Over counter displays</t>
  </si>
  <si>
    <t>20+ yearl old over-counter chillers (approx 16m2)</t>
  </si>
  <si>
    <t>Replace with efficient new displays</t>
  </si>
  <si>
    <t>According to MTP - the optimum scenario for replacing stock cold rooms is 51% enery efficiency improvement.  Cost of the measure is £11,350 inc VAT for the most efficient cold room</t>
  </si>
  <si>
    <t>new annual energy cost</t>
  </si>
  <si>
    <t>Old cold rooms annual energy cost</t>
  </si>
  <si>
    <t>annual saving</t>
  </si>
  <si>
    <t>Replacement cost</t>
  </si>
  <si>
    <t>ROI</t>
  </si>
  <si>
    <t>current annual lighting cost</t>
  </si>
  <si>
    <t>new annual lighting cost (LED)</t>
  </si>
  <si>
    <t>£ (figures rounded)</t>
  </si>
  <si>
    <t>replacement cost</t>
  </si>
  <si>
    <t>annual energy saving</t>
  </si>
  <si>
    <t>Old displays annual energy cost</t>
  </si>
  <si>
    <t>Freezer room 3mx 3m (12M2)</t>
  </si>
  <si>
    <t>m2</t>
  </si>
  <si>
    <t>m2 shop floor</t>
  </si>
  <si>
    <t>kWh/m2 (total area)</t>
  </si>
  <si>
    <t>kWh/m2 (shop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</si>
</sst>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164" formatCode="&quot;€&quot;#,##0"/>
    <numFmt numFmtId="165" formatCode="0.0"/>
    <numFmt numFmtId="166" formatCode="#,##0.0"/>
    <numFmt numFmtId="167" formatCode="&quot;€&quot;#,##0.0000"/>
    <numFmt numFmtId="168" formatCode="[$-409]dd\-mmm\-yy;@"/>
    <numFmt numFmtId="169" formatCode="&quot;€&quot;#,##0.00"/>
    <numFmt numFmtId="170" formatCode="_-[$£-809]* #,##0.00_-;\-[$£-809]* #,##0.00_-;_-[$£-809]* &quot;-&quot;??_-;_-@_-"/>
    <numFmt numFmtId="171" formatCode="_-[$£-809]* #,##0_-;\-[$£-809]* #,##0_-;_-[$£-809]* &quot;-&quot;??_-;_-@_-"/>
  </numFmts>
  <fonts count="50" x14ac:knownFonts="1">
    <font>
      <sz val="10"/>
      <name val="Arial"/>
    </font>
    <font>
      <sz val="8"/>
      <name val="Arial"/>
      <family val="2"/>
    </font>
    <font>
      <u/>
      <sz val="10"/>
      <color indexed="12"/>
      <name val="Arial"/>
      <family val="2"/>
    </font>
    <font>
      <sz val="8"/>
      <color indexed="81"/>
      <name val="Tahoma"/>
      <family val="2"/>
    </font>
    <font>
      <sz val="10"/>
      <name val="Arial"/>
      <family val="2"/>
    </font>
    <font>
      <sz val="9"/>
      <name val="Times New Roman"/>
      <family val="1"/>
    </font>
    <font>
      <sz val="11"/>
      <color theme="0"/>
      <name val="Calibri"/>
      <family val="2"/>
      <scheme val="minor"/>
    </font>
    <font>
      <b/>
      <sz val="16"/>
      <color theme="3"/>
      <name val="Calibri"/>
      <family val="2"/>
      <scheme val="minor"/>
    </font>
    <font>
      <sz val="11"/>
      <color theme="0"/>
      <name val="Calibri"/>
      <family val="2"/>
    </font>
    <font>
      <b/>
      <sz val="11"/>
      <color theme="0"/>
      <name val="Calibri"/>
      <family val="2"/>
    </font>
    <font>
      <b/>
      <u/>
      <sz val="11"/>
      <color theme="0"/>
      <name val="Calibri"/>
      <family val="2"/>
      <scheme val="minor"/>
    </font>
    <font>
      <sz val="11"/>
      <color rgb="FFFFFFFF"/>
      <name val="Calibri"/>
      <family val="2"/>
      <scheme val="minor"/>
    </font>
    <font>
      <sz val="10"/>
      <color theme="1"/>
      <name val="Calibri"/>
      <family val="2"/>
      <scheme val="minor"/>
    </font>
    <font>
      <sz val="11"/>
      <color rgb="FFC00000"/>
      <name val="Calibri"/>
      <family val="2"/>
      <scheme val="minor"/>
    </font>
    <font>
      <b/>
      <sz val="14"/>
      <color theme="3"/>
      <name val="Calibri"/>
      <family val="2"/>
      <scheme val="minor"/>
    </font>
    <font>
      <sz val="14"/>
      <color theme="3"/>
      <name val="Calibri"/>
      <family val="2"/>
      <scheme val="minor"/>
    </font>
    <font>
      <sz val="8"/>
      <name val="Calibri"/>
      <family val="2"/>
      <scheme val="minor"/>
    </font>
    <font>
      <sz val="8"/>
      <color indexed="10"/>
      <name val="Calibri"/>
      <family val="2"/>
      <scheme val="minor"/>
    </font>
    <font>
      <sz val="10"/>
      <name val="Calibri"/>
      <family val="2"/>
      <scheme val="minor"/>
    </font>
    <font>
      <sz val="8"/>
      <color indexed="55"/>
      <name val="Calibri"/>
      <family val="2"/>
      <scheme val="minor"/>
    </font>
    <font>
      <sz val="10"/>
      <color indexed="55"/>
      <name val="Calibri"/>
      <family val="2"/>
      <scheme val="minor"/>
    </font>
    <font>
      <b/>
      <sz val="8"/>
      <name val="Calibri"/>
      <family val="2"/>
      <scheme val="minor"/>
    </font>
    <font>
      <sz val="24"/>
      <color rgb="FFFF0000"/>
      <name val="Calibri"/>
      <family val="2"/>
      <scheme val="minor"/>
    </font>
    <font>
      <i/>
      <sz val="9"/>
      <color indexed="10"/>
      <name val="Calibri"/>
      <family val="2"/>
      <scheme val="minor"/>
    </font>
    <font>
      <sz val="9"/>
      <color indexed="10"/>
      <name val="Calibri"/>
      <family val="2"/>
      <scheme val="minor"/>
    </font>
    <font>
      <sz val="9"/>
      <name val="Calibri"/>
      <family val="2"/>
      <scheme val="minor"/>
    </font>
    <font>
      <b/>
      <sz val="9"/>
      <color indexed="9"/>
      <name val="Calibri"/>
      <family val="2"/>
      <scheme val="minor"/>
    </font>
    <font>
      <sz val="9"/>
      <color indexed="9"/>
      <name val="Calibri"/>
      <family val="2"/>
      <scheme val="minor"/>
    </font>
    <font>
      <i/>
      <sz val="9"/>
      <name val="Calibri"/>
      <family val="2"/>
      <scheme val="minor"/>
    </font>
    <font>
      <i/>
      <sz val="9"/>
      <color indexed="9"/>
      <name val="Calibri"/>
      <family val="2"/>
      <scheme val="minor"/>
    </font>
    <font>
      <b/>
      <sz val="9"/>
      <name val="Calibri"/>
      <family val="2"/>
      <scheme val="minor"/>
    </font>
    <font>
      <sz val="9"/>
      <color indexed="55"/>
      <name val="Calibri"/>
      <family val="2"/>
      <scheme val="minor"/>
    </font>
    <font>
      <b/>
      <u/>
      <sz val="9"/>
      <color indexed="21"/>
      <name val="Calibri"/>
      <family val="2"/>
      <scheme val="minor"/>
    </font>
    <font>
      <sz val="9"/>
      <color indexed="21"/>
      <name val="Calibri"/>
      <family val="2"/>
      <scheme val="minor"/>
    </font>
    <font>
      <i/>
      <sz val="9"/>
      <color rgb="FFFF0000"/>
      <name val="Calibri"/>
      <family val="2"/>
      <scheme val="minor"/>
    </font>
    <font>
      <sz val="9"/>
      <color theme="0"/>
      <name val="Calibri"/>
      <family val="2"/>
      <scheme val="minor"/>
    </font>
    <font>
      <sz val="9"/>
      <color rgb="FFFF0000"/>
      <name val="Calibri"/>
      <family val="2"/>
      <scheme val="minor"/>
    </font>
    <font>
      <b/>
      <sz val="9"/>
      <color theme="0"/>
      <name val="Calibri"/>
      <family val="2"/>
      <scheme val="minor"/>
    </font>
    <font>
      <b/>
      <sz val="9"/>
      <color rgb="FFFF0000"/>
      <name val="Calibri"/>
      <family val="2"/>
      <scheme val="minor"/>
    </font>
    <font>
      <b/>
      <u/>
      <sz val="9"/>
      <color theme="0"/>
      <name val="Calibri"/>
      <family val="2"/>
      <scheme val="minor"/>
    </font>
    <font>
      <i/>
      <sz val="11"/>
      <color theme="0"/>
      <name val="Calibri"/>
      <family val="2"/>
    </font>
    <font>
      <sz val="9"/>
      <color theme="3"/>
      <name val="Calibri"/>
      <family val="2"/>
      <scheme val="minor"/>
    </font>
    <font>
      <u/>
      <sz val="11"/>
      <color theme="0"/>
      <name val="Calibri"/>
      <family val="2"/>
    </font>
    <font>
      <i/>
      <sz val="9"/>
      <color theme="3"/>
      <name val="Calibri"/>
      <family val="2"/>
      <scheme val="minor"/>
    </font>
    <font>
      <b/>
      <sz val="8"/>
      <color indexed="81"/>
      <name val="Tahoma"/>
      <family val="2"/>
    </font>
    <font>
      <sz val="9"/>
      <color indexed="81"/>
      <name val="Tahoma"/>
      <charset val="1"/>
    </font>
    <font>
      <sz val="9"/>
      <color indexed="81"/>
      <name val="Tahoma"/>
      <family val="2"/>
    </font>
    <font>
      <sz val="10"/>
      <name val="Arial"/>
    </font>
    <font>
      <sz val="11"/>
      <name val="Arial"/>
      <family val="2"/>
    </font>
    <font>
      <b/>
      <sz val="10"/>
      <name val="Arial"/>
      <family val="2"/>
    </font>
  </fonts>
  <fills count="7">
    <fill>
      <patternFill patternType="none"/>
    </fill>
    <fill>
      <patternFill patternType="gray125"/>
    </fill>
    <fill>
      <patternFill patternType="solid">
        <fgColor indexed="21"/>
        <bgColor indexed="64"/>
      </patternFill>
    </fill>
    <fill>
      <patternFill patternType="solid">
        <fgColor theme="3"/>
        <bgColor indexed="64"/>
      </patternFill>
    </fill>
    <fill>
      <patternFill patternType="solid">
        <fgColor theme="6" tint="0.59999389629810485"/>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ck">
        <color theme="3" tint="-0.24994659260841701"/>
      </left>
      <right/>
      <top/>
      <bottom style="thick">
        <color theme="3" tint="-0.24994659260841701"/>
      </bottom>
      <diagonal/>
    </border>
    <border>
      <left/>
      <right/>
      <top/>
      <bottom style="thick">
        <color theme="3" tint="-0.24994659260841701"/>
      </bottom>
      <diagonal/>
    </border>
    <border>
      <left/>
      <right style="thick">
        <color theme="3" tint="-0.24994659260841701"/>
      </right>
      <top/>
      <bottom style="thick">
        <color theme="3" tint="-0.24994659260841701"/>
      </bottom>
      <diagonal/>
    </border>
    <border>
      <left style="medium">
        <color theme="3"/>
      </left>
      <right style="thin">
        <color indexed="55"/>
      </right>
      <top style="medium">
        <color theme="3"/>
      </top>
      <bottom/>
      <diagonal/>
    </border>
    <border>
      <left style="thin">
        <color indexed="55"/>
      </left>
      <right style="thin">
        <color indexed="55"/>
      </right>
      <top style="medium">
        <color theme="3"/>
      </top>
      <bottom/>
      <diagonal/>
    </border>
    <border>
      <left style="thin">
        <color indexed="55"/>
      </left>
      <right style="thin">
        <color indexed="55"/>
      </right>
      <top style="medium">
        <color theme="3"/>
      </top>
      <bottom style="thin">
        <color indexed="55"/>
      </bottom>
      <diagonal/>
    </border>
    <border>
      <left style="thin">
        <color indexed="55"/>
      </left>
      <right/>
      <top style="medium">
        <color theme="3"/>
      </top>
      <bottom style="thin">
        <color indexed="55"/>
      </bottom>
      <diagonal/>
    </border>
    <border>
      <left style="thin">
        <color indexed="55"/>
      </left>
      <right style="medium">
        <color theme="3"/>
      </right>
      <top style="medium">
        <color theme="3"/>
      </top>
      <bottom style="thin">
        <color indexed="55"/>
      </bottom>
      <diagonal/>
    </border>
    <border>
      <left style="medium">
        <color theme="3"/>
      </left>
      <right style="thin">
        <color indexed="55"/>
      </right>
      <top/>
      <bottom style="thin">
        <color indexed="55"/>
      </bottom>
      <diagonal/>
    </border>
    <border>
      <left style="thin">
        <color indexed="55"/>
      </left>
      <right style="medium">
        <color theme="3"/>
      </right>
      <top style="thin">
        <color indexed="55"/>
      </top>
      <bottom style="thin">
        <color indexed="55"/>
      </bottom>
      <diagonal/>
    </border>
    <border>
      <left style="medium">
        <color theme="3"/>
      </left>
      <right style="thin">
        <color indexed="55"/>
      </right>
      <top style="thin">
        <color indexed="55"/>
      </top>
      <bottom style="thin">
        <color indexed="55"/>
      </bottom>
      <diagonal/>
    </border>
    <border>
      <left style="medium">
        <color theme="3"/>
      </left>
      <right style="thin">
        <color indexed="55"/>
      </right>
      <top style="thin">
        <color indexed="55"/>
      </top>
      <bottom style="medium">
        <color theme="3"/>
      </bottom>
      <diagonal/>
    </border>
    <border>
      <left/>
      <right style="thin">
        <color indexed="55"/>
      </right>
      <top style="thin">
        <color indexed="55"/>
      </top>
      <bottom style="medium">
        <color theme="3"/>
      </bottom>
      <diagonal/>
    </border>
    <border>
      <left style="thin">
        <color indexed="55"/>
      </left>
      <right style="thin">
        <color indexed="55"/>
      </right>
      <top style="thin">
        <color indexed="55"/>
      </top>
      <bottom style="medium">
        <color theme="3"/>
      </bottom>
      <diagonal/>
    </border>
    <border>
      <left style="thin">
        <color indexed="55"/>
      </left>
      <right style="medium">
        <color theme="3"/>
      </right>
      <top style="thin">
        <color indexed="55"/>
      </top>
      <bottom style="medium">
        <color theme="3"/>
      </bottom>
      <diagonal/>
    </border>
    <border>
      <left style="medium">
        <color theme="3"/>
      </left>
      <right style="thin">
        <color indexed="55"/>
      </right>
      <top style="medium">
        <color theme="3"/>
      </top>
      <bottom style="thin">
        <color indexed="55"/>
      </bottom>
      <diagonal/>
    </border>
    <border>
      <left style="medium">
        <color theme="3"/>
      </left>
      <right style="thin">
        <color indexed="55"/>
      </right>
      <top style="thin">
        <color indexed="55"/>
      </top>
      <bottom/>
      <diagonal/>
    </border>
    <border>
      <left/>
      <right/>
      <top style="medium">
        <color theme="3"/>
      </top>
      <bottom style="thin">
        <color indexed="55"/>
      </bottom>
      <diagonal/>
    </border>
    <border>
      <left/>
      <right style="thin">
        <color indexed="55"/>
      </right>
      <top style="medium">
        <color theme="3"/>
      </top>
      <bottom style="thin">
        <color indexed="55"/>
      </bottom>
      <diagonal/>
    </border>
    <border>
      <left style="medium">
        <color theme="3"/>
      </left>
      <right/>
      <top style="thin">
        <color indexed="55"/>
      </top>
      <bottom style="medium">
        <color theme="3"/>
      </bottom>
      <diagonal/>
    </border>
    <border>
      <left/>
      <right/>
      <top style="thin">
        <color indexed="55"/>
      </top>
      <bottom style="medium">
        <color theme="3"/>
      </bottom>
      <diagonal/>
    </border>
    <border>
      <left/>
      <right style="medium">
        <color theme="3"/>
      </right>
      <top style="thin">
        <color indexed="55"/>
      </top>
      <bottom style="medium">
        <color theme="3"/>
      </bottom>
      <diagonal/>
    </border>
    <border>
      <left/>
      <right/>
      <top style="thin">
        <color indexed="55"/>
      </top>
      <bottom style="thin">
        <color indexed="55"/>
      </bottom>
      <diagonal/>
    </border>
    <border>
      <left style="medium">
        <color theme="3"/>
      </left>
      <right/>
      <top style="thin">
        <color indexed="55"/>
      </top>
      <bottom style="thin">
        <color indexed="55"/>
      </bottom>
      <diagonal/>
    </border>
    <border>
      <left/>
      <right style="medium">
        <color theme="3"/>
      </right>
      <top style="thin">
        <color indexed="55"/>
      </top>
      <bottom style="thin">
        <color indexed="55"/>
      </bottom>
      <diagonal/>
    </border>
    <border>
      <left/>
      <right style="medium">
        <color theme="3"/>
      </right>
      <top/>
      <bottom style="thin">
        <color indexed="55"/>
      </bottom>
      <diagonal/>
    </border>
    <border>
      <left/>
      <right/>
      <top/>
      <bottom style="thin">
        <color indexed="64"/>
      </bottom>
      <diagonal/>
    </border>
    <border>
      <left/>
      <right/>
      <top style="double">
        <color rgb="FFFF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9" fontId="5" fillId="0" borderId="1" applyNumberFormat="0" applyFont="0" applyFill="0" applyBorder="0" applyProtection="0">
      <alignment horizontal="left" vertical="center" indent="2"/>
    </xf>
    <xf numFmtId="0" fontId="2" fillId="0" borderId="0" applyNumberFormat="0" applyFill="0" applyBorder="0" applyAlignment="0" applyProtection="0">
      <alignment vertical="top"/>
      <protection locked="0"/>
    </xf>
    <xf numFmtId="0" fontId="4" fillId="0" borderId="0"/>
    <xf numFmtId="44" fontId="47" fillId="0" borderId="0" applyFont="0" applyFill="0" applyBorder="0" applyAlignment="0" applyProtection="0"/>
  </cellStyleXfs>
  <cellXfs count="255">
    <xf numFmtId="0" fontId="0" fillId="0" borderId="0" xfId="0"/>
    <xf numFmtId="0" fontId="4" fillId="0" borderId="0" xfId="3"/>
    <xf numFmtId="0" fontId="4" fillId="0" borderId="7" xfId="3" applyBorder="1"/>
    <xf numFmtId="0" fontId="4" fillId="0" borderId="8" xfId="3" applyBorder="1"/>
    <xf numFmtId="0" fontId="4" fillId="0" borderId="9" xfId="3" applyBorder="1"/>
    <xf numFmtId="0" fontId="4" fillId="0" borderId="10" xfId="3" applyBorder="1"/>
    <xf numFmtId="0" fontId="4" fillId="0" borderId="0" xfId="3" applyBorder="1"/>
    <xf numFmtId="0" fontId="4" fillId="0" borderId="11" xfId="3" applyBorder="1"/>
    <xf numFmtId="0" fontId="4" fillId="0" borderId="10" xfId="3" applyBorder="1" applyAlignment="1">
      <alignment vertical="center"/>
    </xf>
    <xf numFmtId="0" fontId="4" fillId="0" borderId="11" xfId="3" applyBorder="1" applyAlignment="1">
      <alignment vertical="center"/>
    </xf>
    <xf numFmtId="0" fontId="4" fillId="0" borderId="0" xfId="3" applyAlignment="1">
      <alignment vertical="center"/>
    </xf>
    <xf numFmtId="0" fontId="10" fillId="3" borderId="0" xfId="3" applyFont="1" applyFill="1" applyBorder="1" applyAlignment="1">
      <alignment vertical="center"/>
    </xf>
    <xf numFmtId="0" fontId="6" fillId="3" borderId="0" xfId="3" applyFont="1" applyFill="1" applyBorder="1" applyAlignment="1">
      <alignment vertical="center"/>
    </xf>
    <xf numFmtId="0" fontId="4" fillId="0" borderId="12" xfId="3" applyBorder="1"/>
    <xf numFmtId="0" fontId="12" fillId="0" borderId="13" xfId="3" applyFont="1" applyBorder="1"/>
    <xf numFmtId="0" fontId="4" fillId="0" borderId="13" xfId="3" applyBorder="1"/>
    <xf numFmtId="0" fontId="4" fillId="0" borderId="14" xfId="3" applyBorder="1"/>
    <xf numFmtId="0" fontId="13" fillId="0" borderId="0" xfId="3" applyFont="1"/>
    <xf numFmtId="0" fontId="16" fillId="0" borderId="0" xfId="0" applyFont="1" applyFill="1"/>
    <xf numFmtId="0" fontId="17" fillId="0" borderId="0" xfId="0" applyFont="1" applyAlignment="1"/>
    <xf numFmtId="0" fontId="18" fillId="0" borderId="0" xfId="0" applyFont="1" applyFill="1"/>
    <xf numFmtId="0" fontId="19" fillId="0" borderId="0" xfId="0" applyFont="1" applyFill="1"/>
    <xf numFmtId="0" fontId="20" fillId="0" borderId="0" xfId="0" applyFont="1" applyFill="1"/>
    <xf numFmtId="0" fontId="16" fillId="0" borderId="0" xfId="0" applyFont="1"/>
    <xf numFmtId="0" fontId="18" fillId="0" borderId="0" xfId="0" applyFont="1" applyAlignment="1"/>
    <xf numFmtId="0" fontId="21" fillId="0" borderId="0" xfId="0" applyFont="1" applyAlignment="1">
      <alignment horizontal="center" vertical="center" wrapText="1"/>
    </xf>
    <xf numFmtId="0" fontId="26" fillId="3" borderId="17" xfId="0" applyFont="1" applyFill="1" applyBorder="1" applyAlignment="1">
      <alignment horizontal="center" vertical="center" wrapText="1"/>
    </xf>
    <xf numFmtId="0" fontId="26" fillId="3" borderId="17" xfId="0" applyFont="1" applyFill="1" applyBorder="1" applyAlignment="1">
      <alignment horizontal="centerContinuous" vertical="center" wrapText="1"/>
    </xf>
    <xf numFmtId="0" fontId="26" fillId="3" borderId="18" xfId="0" applyFont="1" applyFill="1" applyBorder="1" applyAlignment="1">
      <alignment horizontal="centerContinuous" vertical="center" wrapText="1"/>
    </xf>
    <xf numFmtId="0" fontId="25" fillId="0" borderId="0" xfId="0" applyFont="1"/>
    <xf numFmtId="0" fontId="27" fillId="2" borderId="0" xfId="0" applyFont="1" applyFill="1"/>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3" fontId="23" fillId="0" borderId="2" xfId="0" applyNumberFormat="1" applyFont="1" applyFill="1" applyBorder="1" applyAlignment="1">
      <alignment vertical="center" wrapText="1"/>
    </xf>
    <xf numFmtId="9" fontId="23" fillId="0" borderId="2" xfId="0" applyNumberFormat="1" applyFont="1" applyFill="1" applyBorder="1" applyAlignment="1">
      <alignment vertical="center" wrapText="1"/>
    </xf>
    <xf numFmtId="164" fontId="23" fillId="0" borderId="2" xfId="0" applyNumberFormat="1" applyFont="1" applyFill="1" applyBorder="1" applyAlignment="1">
      <alignment vertical="center" wrapText="1"/>
    </xf>
    <xf numFmtId="0" fontId="28" fillId="0" borderId="0" xfId="0" applyFont="1" applyAlignment="1">
      <alignment vertical="center" wrapText="1"/>
    </xf>
    <xf numFmtId="0" fontId="25" fillId="0" borderId="0" xfId="0" applyFont="1" applyAlignment="1">
      <alignment vertical="center" wrapText="1"/>
    </xf>
    <xf numFmtId="0" fontId="29" fillId="2" borderId="0" xfId="0" applyFont="1" applyFill="1" applyAlignment="1">
      <alignment vertical="center" wrapText="1"/>
    </xf>
    <xf numFmtId="3" fontId="25" fillId="4" borderId="22" xfId="0" applyNumberFormat="1" applyFont="1" applyFill="1" applyBorder="1" applyAlignment="1" applyProtection="1">
      <alignment vertical="center" wrapText="1"/>
      <protection locked="0"/>
    </xf>
    <xf numFmtId="1" fontId="25" fillId="4" borderId="4" xfId="0" applyNumberFormat="1" applyFont="1" applyFill="1" applyBorder="1" applyAlignment="1" applyProtection="1">
      <alignment horizontal="center" vertical="center" wrapText="1"/>
      <protection locked="0"/>
    </xf>
    <xf numFmtId="3" fontId="25" fillId="4" borderId="2" xfId="0" applyNumberFormat="1" applyFont="1" applyFill="1" applyBorder="1" applyAlignment="1" applyProtection="1">
      <alignment vertical="center" wrapText="1"/>
      <protection locked="0"/>
    </xf>
    <xf numFmtId="9" fontId="25" fillId="4" borderId="2" xfId="0" applyNumberFormat="1" applyFont="1" applyFill="1" applyBorder="1" applyAlignment="1" applyProtection="1">
      <alignment vertical="center" wrapText="1"/>
      <protection locked="0"/>
    </xf>
    <xf numFmtId="3" fontId="25" fillId="0" borderId="2" xfId="0" applyNumberFormat="1" applyFont="1" applyBorder="1" applyAlignment="1">
      <alignment vertical="center" wrapText="1"/>
    </xf>
    <xf numFmtId="9" fontId="25" fillId="0" borderId="2" xfId="0" applyNumberFormat="1" applyFont="1" applyBorder="1" applyAlignment="1">
      <alignment vertical="center" wrapText="1"/>
    </xf>
    <xf numFmtId="164" fontId="25" fillId="0" borderId="2" xfId="0" applyNumberFormat="1" applyFont="1" applyBorder="1" applyAlignment="1">
      <alignment vertical="center" wrapText="1"/>
    </xf>
    <xf numFmtId="3" fontId="25" fillId="4" borderId="21" xfId="0" applyNumberFormat="1" applyFont="1" applyFill="1" applyBorder="1" applyAlignment="1" applyProtection="1">
      <alignment vertical="center" wrapText="1"/>
      <protection locked="0"/>
    </xf>
    <xf numFmtId="3" fontId="30" fillId="0" borderId="23" xfId="0" applyNumberFormat="1" applyFont="1" applyFill="1" applyBorder="1" applyProtection="1">
      <protection locked="0"/>
    </xf>
    <xf numFmtId="3" fontId="30" fillId="0" borderId="24" xfId="0" applyNumberFormat="1" applyFont="1" applyFill="1" applyBorder="1" applyProtection="1">
      <protection locked="0"/>
    </xf>
    <xf numFmtId="3" fontId="30" fillId="0" borderId="25" xfId="0" applyNumberFormat="1" applyFont="1" applyFill="1" applyBorder="1" applyProtection="1">
      <protection locked="0"/>
    </xf>
    <xf numFmtId="9" fontId="30" fillId="0" borderId="25" xfId="0" applyNumberFormat="1" applyFont="1" applyFill="1" applyBorder="1"/>
    <xf numFmtId="164" fontId="30" fillId="0" borderId="25" xfId="0" applyNumberFormat="1" applyFont="1" applyFill="1" applyBorder="1" applyProtection="1">
      <protection locked="0"/>
    </xf>
    <xf numFmtId="3" fontId="30" fillId="0" borderId="26" xfId="0" applyNumberFormat="1" applyFont="1" applyFill="1" applyBorder="1" applyProtection="1">
      <protection locked="0"/>
    </xf>
    <xf numFmtId="3" fontId="23" fillId="4" borderId="22" xfId="0" applyNumberFormat="1" applyFont="1" applyFill="1" applyBorder="1" applyAlignment="1" applyProtection="1">
      <alignment vertical="center" wrapText="1"/>
      <protection locked="0"/>
    </xf>
    <xf numFmtId="1" fontId="23" fillId="4" borderId="4" xfId="0" applyNumberFormat="1" applyFont="1" applyFill="1" applyBorder="1" applyAlignment="1" applyProtection="1">
      <alignment horizontal="center" vertical="center" wrapText="1"/>
      <protection locked="0"/>
    </xf>
    <xf numFmtId="3" fontId="23" fillId="4" borderId="2" xfId="0" applyNumberFormat="1" applyFont="1" applyFill="1" applyBorder="1" applyAlignment="1" applyProtection="1">
      <alignment vertical="center" wrapText="1"/>
      <protection locked="0"/>
    </xf>
    <xf numFmtId="9" fontId="23" fillId="4" borderId="2" xfId="0" applyNumberFormat="1" applyFont="1" applyFill="1" applyBorder="1" applyAlignment="1" applyProtection="1">
      <alignment vertical="center" wrapText="1"/>
      <protection locked="0"/>
    </xf>
    <xf numFmtId="3" fontId="23" fillId="4" borderId="21" xfId="0" applyNumberFormat="1" applyFont="1" applyFill="1" applyBorder="1" applyAlignment="1" applyProtection="1">
      <alignment vertical="center" wrapText="1"/>
      <protection locked="0"/>
    </xf>
    <xf numFmtId="0" fontId="25" fillId="0" borderId="0" xfId="0" applyFont="1" applyAlignment="1">
      <alignment horizontal="center" vertical="top"/>
    </xf>
    <xf numFmtId="0" fontId="25" fillId="0" borderId="0" xfId="0" applyFont="1" applyAlignment="1">
      <alignment vertical="top"/>
    </xf>
    <xf numFmtId="0" fontId="25" fillId="0" borderId="0" xfId="0" applyFont="1" applyFill="1"/>
    <xf numFmtId="0" fontId="24" fillId="0" borderId="0" xfId="0" applyFont="1" applyAlignment="1"/>
    <xf numFmtId="0" fontId="31" fillId="0" borderId="0" xfId="0" applyFont="1" applyFill="1"/>
    <xf numFmtId="0" fontId="25" fillId="0" borderId="0" xfId="0" applyFont="1" applyAlignment="1"/>
    <xf numFmtId="0" fontId="30" fillId="0" borderId="0" xfId="0" applyFont="1" applyAlignment="1">
      <alignment horizontal="center" vertical="center" wrapText="1"/>
    </xf>
    <xf numFmtId="0" fontId="25" fillId="0" borderId="0" xfId="0" applyFont="1" applyFill="1" applyAlignment="1"/>
    <xf numFmtId="0" fontId="24" fillId="0" borderId="0" xfId="0" applyFont="1" applyAlignment="1">
      <alignment vertical="center"/>
    </xf>
    <xf numFmtId="0" fontId="26" fillId="3" borderId="2" xfId="0" applyFont="1" applyFill="1" applyBorder="1" applyAlignment="1">
      <alignment horizontal="centerContinuous" vertical="center"/>
    </xf>
    <xf numFmtId="0" fontId="25" fillId="0" borderId="0" xfId="0" applyFont="1" applyAlignment="1">
      <alignment vertical="center"/>
    </xf>
    <xf numFmtId="168" fontId="25" fillId="0" borderId="0" xfId="0" applyNumberFormat="1" applyFont="1" applyAlignment="1">
      <alignment horizontal="center" vertical="top"/>
    </xf>
    <xf numFmtId="0" fontId="25" fillId="0" borderId="0" xfId="0" applyFont="1" applyAlignment="1">
      <alignment vertical="top" wrapText="1"/>
    </xf>
    <xf numFmtId="166" fontId="25" fillId="4" borderId="2" xfId="0" applyNumberFormat="1" applyFont="1" applyFill="1" applyBorder="1" applyAlignment="1" applyProtection="1">
      <alignment vertical="center" wrapText="1"/>
      <protection locked="0"/>
    </xf>
    <xf numFmtId="4" fontId="25" fillId="4" borderId="2" xfId="0" applyNumberFormat="1" applyFont="1" applyFill="1" applyBorder="1" applyAlignment="1" applyProtection="1">
      <alignment vertical="center" wrapText="1"/>
      <protection locked="0"/>
    </xf>
    <xf numFmtId="3" fontId="30" fillId="4" borderId="25" xfId="0" applyNumberFormat="1" applyFont="1" applyFill="1" applyBorder="1" applyProtection="1">
      <protection locked="0"/>
    </xf>
    <xf numFmtId="3" fontId="30" fillId="4" borderId="26" xfId="0" applyNumberFormat="1" applyFont="1" applyFill="1" applyBorder="1" applyProtection="1">
      <protection locked="0"/>
    </xf>
    <xf numFmtId="166" fontId="23" fillId="4" borderId="2" xfId="0" applyNumberFormat="1" applyFont="1" applyFill="1" applyBorder="1" applyAlignment="1" applyProtection="1">
      <alignment vertical="center" wrapText="1"/>
      <protection locked="0"/>
    </xf>
    <xf numFmtId="4" fontId="30" fillId="0" borderId="25" xfId="0" applyNumberFormat="1" applyFont="1" applyFill="1" applyBorder="1" applyProtection="1">
      <protection locked="0"/>
    </xf>
    <xf numFmtId="4" fontId="23" fillId="4" borderId="2" xfId="0" applyNumberFormat="1" applyFont="1" applyFill="1" applyBorder="1" applyAlignment="1" applyProtection="1">
      <alignment vertical="center" wrapText="1"/>
      <protection locked="0"/>
    </xf>
    <xf numFmtId="0" fontId="30" fillId="0" borderId="0" xfId="0" applyFont="1" applyAlignment="1" applyProtection="1">
      <alignment horizontal="center"/>
    </xf>
    <xf numFmtId="0" fontId="25" fillId="0" borderId="0" xfId="0" applyFont="1" applyAlignment="1" applyProtection="1"/>
    <xf numFmtId="0" fontId="32" fillId="0" borderId="0" xfId="2" applyFont="1" applyAlignment="1" applyProtection="1">
      <alignment horizontal="left"/>
    </xf>
    <xf numFmtId="0" fontId="32" fillId="0" borderId="0" xfId="2" applyFont="1" applyAlignment="1" applyProtection="1">
      <alignment horizontal="right"/>
    </xf>
    <xf numFmtId="0" fontId="25" fillId="0" borderId="0" xfId="0" applyFont="1" applyProtection="1"/>
    <xf numFmtId="0" fontId="25" fillId="0" borderId="0" xfId="0" applyFont="1" applyAlignment="1" applyProtection="1">
      <alignment vertical="top" wrapText="1"/>
    </xf>
    <xf numFmtId="167" fontId="25" fillId="4" borderId="2" xfId="0" applyNumberFormat="1" applyFont="1" applyFill="1" applyBorder="1" applyAlignment="1" applyProtection="1">
      <alignment vertical="center"/>
      <protection locked="0"/>
    </xf>
    <xf numFmtId="0" fontId="24" fillId="0" borderId="0" xfId="0" applyFont="1" applyAlignment="1" applyProtection="1">
      <alignment horizontal="left"/>
    </xf>
    <xf numFmtId="0" fontId="25" fillId="0" borderId="0" xfId="0" applyFont="1" applyAlignment="1" applyProtection="1">
      <alignment horizontal="left"/>
    </xf>
    <xf numFmtId="0" fontId="33" fillId="0" borderId="0" xfId="0" applyFont="1" applyAlignment="1" applyProtection="1">
      <alignment horizontal="right"/>
    </xf>
    <xf numFmtId="0" fontId="26" fillId="3" borderId="27" xfId="0" applyFont="1" applyFill="1" applyBorder="1" applyAlignment="1" applyProtection="1">
      <alignment horizontal="centerContinuous" vertical="center"/>
    </xf>
    <xf numFmtId="0" fontId="26" fillId="3" borderId="17" xfId="0" applyFont="1" applyFill="1" applyBorder="1" applyAlignment="1" applyProtection="1">
      <alignment horizontal="centerContinuous" vertical="center" wrapText="1"/>
    </xf>
    <xf numFmtId="0" fontId="26" fillId="3" borderId="17" xfId="0" applyFont="1" applyFill="1" applyBorder="1" applyAlignment="1" applyProtection="1">
      <alignment horizontal="centerContinuous" vertical="center"/>
    </xf>
    <xf numFmtId="0" fontId="26" fillId="3" borderId="19" xfId="0" applyFont="1" applyFill="1" applyBorder="1" applyAlignment="1" applyProtection="1">
      <alignment horizontal="centerContinuous" vertical="center"/>
    </xf>
    <xf numFmtId="0" fontId="30" fillId="0" borderId="0" xfId="0" applyFont="1" applyAlignment="1" applyProtection="1">
      <alignment vertical="center"/>
    </xf>
    <xf numFmtId="0" fontId="26" fillId="3" borderId="2" xfId="0" applyFont="1" applyFill="1" applyBorder="1" applyAlignment="1" applyProtection="1">
      <alignment horizontal="centerContinuous" vertical="center"/>
    </xf>
    <xf numFmtId="0" fontId="26" fillId="3" borderId="2" xfId="0" applyFont="1" applyFill="1" applyBorder="1" applyAlignment="1" applyProtection="1">
      <alignment horizontal="centerContinuous" vertical="center" wrapText="1"/>
    </xf>
    <xf numFmtId="0" fontId="26" fillId="3" borderId="21" xfId="0" applyFont="1" applyFill="1" applyBorder="1" applyAlignment="1" applyProtection="1">
      <alignment horizontal="centerContinuous" vertical="center" wrapText="1"/>
    </xf>
    <xf numFmtId="0" fontId="30" fillId="0" borderId="0" xfId="0" applyFont="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3" borderId="21" xfId="0" applyFont="1" applyFill="1" applyBorder="1" applyAlignment="1" applyProtection="1">
      <alignment horizontal="center" vertical="center" wrapText="1"/>
    </xf>
    <xf numFmtId="0" fontId="25" fillId="0" borderId="0" xfId="0" applyFont="1" applyAlignment="1" applyProtection="1">
      <alignment vertical="center" wrapText="1"/>
    </xf>
    <xf numFmtId="3" fontId="25" fillId="0" borderId="22" xfId="0" applyNumberFormat="1" applyFont="1" applyFill="1" applyBorder="1" applyProtection="1"/>
    <xf numFmtId="3" fontId="25" fillId="0" borderId="2" xfId="0" applyNumberFormat="1" applyFont="1" applyFill="1" applyBorder="1" applyProtection="1"/>
    <xf numFmtId="9" fontId="25" fillId="0" borderId="2" xfId="0" applyNumberFormat="1" applyFont="1" applyFill="1" applyBorder="1" applyProtection="1"/>
    <xf numFmtId="164" fontId="25" fillId="0" borderId="2" xfId="0" applyNumberFormat="1" applyFont="1" applyBorder="1" applyAlignment="1" applyProtection="1">
      <alignment horizontal="right"/>
    </xf>
    <xf numFmtId="9" fontId="25" fillId="0" borderId="21" xfId="0" applyNumberFormat="1" applyFont="1" applyFill="1" applyBorder="1" applyProtection="1"/>
    <xf numFmtId="3" fontId="30" fillId="0" borderId="28" xfId="0" applyNumberFormat="1" applyFont="1" applyFill="1" applyBorder="1" applyProtection="1"/>
    <xf numFmtId="3" fontId="30" fillId="0" borderId="5" xfId="0" applyNumberFormat="1" applyFont="1" applyFill="1" applyBorder="1" applyProtection="1"/>
    <xf numFmtId="9" fontId="30" fillId="0" borderId="2" xfId="0" applyNumberFormat="1" applyFont="1" applyFill="1" applyBorder="1" applyProtection="1"/>
    <xf numFmtId="164" fontId="30" fillId="0" borderId="5" xfId="0" applyNumberFormat="1" applyFont="1" applyBorder="1" applyAlignment="1" applyProtection="1">
      <alignment horizontal="right"/>
    </xf>
    <xf numFmtId="9" fontId="30" fillId="0" borderId="21" xfId="0" applyNumberFormat="1" applyFont="1" applyFill="1" applyBorder="1" applyProtection="1"/>
    <xf numFmtId="3" fontId="25" fillId="0" borderId="28" xfId="0" applyNumberFormat="1" applyFont="1" applyFill="1" applyBorder="1" applyProtection="1"/>
    <xf numFmtId="3" fontId="25" fillId="0" borderId="5" xfId="0" applyNumberFormat="1" applyFont="1" applyFill="1" applyBorder="1" applyProtection="1"/>
    <xf numFmtId="3" fontId="30" fillId="0" borderId="23" xfId="0" applyNumberFormat="1" applyFont="1" applyFill="1" applyBorder="1" applyProtection="1"/>
    <xf numFmtId="9" fontId="30" fillId="0" borderId="25" xfId="0" applyNumberFormat="1" applyFont="1" applyFill="1" applyBorder="1" applyAlignment="1" applyProtection="1">
      <alignment horizontal="right"/>
    </xf>
    <xf numFmtId="9" fontId="25" fillId="0" borderId="26" xfId="0" applyNumberFormat="1" applyFont="1" applyFill="1" applyBorder="1" applyAlignment="1" applyProtection="1">
      <alignment horizontal="right"/>
    </xf>
    <xf numFmtId="3" fontId="30" fillId="0" borderId="0" xfId="0" applyNumberFormat="1" applyFont="1" applyFill="1" applyBorder="1" applyProtection="1"/>
    <xf numFmtId="164" fontId="30" fillId="0" borderId="0" xfId="0" applyNumberFormat="1" applyFont="1" applyBorder="1" applyAlignment="1" applyProtection="1">
      <alignment horizontal="right"/>
    </xf>
    <xf numFmtId="0" fontId="24" fillId="0" borderId="0" xfId="0" applyFont="1" applyProtection="1"/>
    <xf numFmtId="0" fontId="30" fillId="0" borderId="0" xfId="0" applyFont="1" applyProtection="1"/>
    <xf numFmtId="0" fontId="30" fillId="0" borderId="0" xfId="0" applyFont="1" applyAlignment="1" applyProtection="1">
      <alignment horizontal="right"/>
    </xf>
    <xf numFmtId="3" fontId="23" fillId="4" borderId="2" xfId="0" applyNumberFormat="1" applyFont="1" applyFill="1" applyBorder="1" applyAlignment="1">
      <alignment vertical="center" wrapText="1"/>
    </xf>
    <xf numFmtId="9" fontId="25" fillId="4" borderId="2" xfId="0" applyNumberFormat="1" applyFont="1" applyFill="1" applyBorder="1" applyAlignment="1" applyProtection="1">
      <alignment horizontal="center" vertical="center" wrapText="1"/>
      <protection locked="0"/>
    </xf>
    <xf numFmtId="165" fontId="25" fillId="0" borderId="2" xfId="0" applyNumberFormat="1" applyFont="1" applyBorder="1" applyAlignment="1">
      <alignment vertical="center" wrapText="1"/>
    </xf>
    <xf numFmtId="0" fontId="37" fillId="5" borderId="0" xfId="0" applyFont="1" applyFill="1" applyAlignment="1">
      <alignment horizontal="center"/>
    </xf>
    <xf numFmtId="0" fontId="35" fillId="5" borderId="0" xfId="0" applyFont="1" applyFill="1" applyAlignment="1">
      <alignment vertical="center"/>
    </xf>
    <xf numFmtId="3" fontId="25" fillId="0" borderId="2" xfId="0" applyNumberFormat="1" applyFont="1" applyFill="1" applyBorder="1" applyAlignment="1">
      <alignment vertical="center" wrapText="1"/>
    </xf>
    <xf numFmtId="3" fontId="34" fillId="4" borderId="22" xfId="0" applyNumberFormat="1" applyFont="1" applyFill="1" applyBorder="1" applyAlignment="1" applyProtection="1">
      <alignment vertical="center" wrapText="1"/>
      <protection locked="0"/>
    </xf>
    <xf numFmtId="1" fontId="34" fillId="4" borderId="4" xfId="0" applyNumberFormat="1" applyFont="1" applyFill="1" applyBorder="1" applyAlignment="1" applyProtection="1">
      <alignment horizontal="center" vertical="center" wrapText="1"/>
      <protection locked="0"/>
    </xf>
    <xf numFmtId="3" fontId="34" fillId="4" borderId="2" xfId="0" applyNumberFormat="1" applyFont="1" applyFill="1" applyBorder="1" applyAlignment="1" applyProtection="1">
      <alignment vertical="center" wrapText="1"/>
      <protection locked="0"/>
    </xf>
    <xf numFmtId="9" fontId="34" fillId="0" borderId="2" xfId="0" applyNumberFormat="1" applyFont="1" applyFill="1" applyBorder="1" applyAlignment="1">
      <alignment vertical="center" wrapText="1"/>
    </xf>
    <xf numFmtId="3" fontId="34" fillId="4" borderId="21" xfId="0" applyNumberFormat="1" applyFont="1" applyFill="1" applyBorder="1" applyAlignment="1" applyProtection="1">
      <alignment vertical="center" wrapText="1"/>
      <protection locked="0"/>
    </xf>
    <xf numFmtId="0" fontId="34" fillId="0" borderId="0" xfId="0" applyFont="1" applyAlignment="1">
      <alignment vertical="center" wrapText="1"/>
    </xf>
    <xf numFmtId="0" fontId="34" fillId="2" borderId="0" xfId="0" applyFont="1" applyFill="1" applyAlignment="1">
      <alignment vertical="center" wrapText="1"/>
    </xf>
    <xf numFmtId="9" fontId="34" fillId="4" borderId="2" xfId="0" applyNumberFormat="1" applyFont="1" applyFill="1" applyBorder="1" applyAlignment="1" applyProtection="1">
      <alignment horizontal="center" vertical="center" wrapText="1"/>
      <protection locked="0"/>
    </xf>
    <xf numFmtId="166" fontId="34" fillId="4" borderId="2" xfId="0" applyNumberFormat="1" applyFont="1" applyFill="1" applyBorder="1" applyAlignment="1" applyProtection="1">
      <alignment vertical="center" wrapText="1"/>
      <protection locked="0"/>
    </xf>
    <xf numFmtId="3" fontId="34" fillId="0" borderId="2" xfId="0" applyNumberFormat="1" applyFont="1" applyFill="1" applyBorder="1" applyAlignment="1">
      <alignment vertical="center" wrapText="1"/>
    </xf>
    <xf numFmtId="9" fontId="34" fillId="0" borderId="2" xfId="0" applyNumberFormat="1" applyFont="1" applyBorder="1" applyAlignment="1">
      <alignment vertical="center" wrapText="1"/>
    </xf>
    <xf numFmtId="165" fontId="34" fillId="0" borderId="2" xfId="0" applyNumberFormat="1" applyFont="1" applyBorder="1" applyAlignment="1">
      <alignment vertical="center" wrapText="1"/>
    </xf>
    <xf numFmtId="169" fontId="25" fillId="0" borderId="2" xfId="0" applyNumberFormat="1" applyFont="1" applyBorder="1" applyAlignment="1">
      <alignment vertical="center" wrapText="1"/>
    </xf>
    <xf numFmtId="165" fontId="30" fillId="0" borderId="25" xfId="0" applyNumberFormat="1" applyFont="1" applyBorder="1" applyAlignment="1">
      <alignment vertical="center" wrapText="1"/>
    </xf>
    <xf numFmtId="169" fontId="30" fillId="0" borderId="25" xfId="0" applyNumberFormat="1" applyFont="1" applyBorder="1" applyAlignment="1">
      <alignment vertical="center" wrapText="1"/>
    </xf>
    <xf numFmtId="3" fontId="27" fillId="5" borderId="0" xfId="0" applyNumberFormat="1" applyFont="1" applyFill="1" applyProtection="1"/>
    <xf numFmtId="164" fontId="34" fillId="0" borderId="2" xfId="0" applyNumberFormat="1" applyFont="1" applyBorder="1" applyAlignment="1">
      <alignment vertical="center" wrapText="1"/>
    </xf>
    <xf numFmtId="169" fontId="34" fillId="0" borderId="2" xfId="0" applyNumberFormat="1" applyFont="1" applyBorder="1" applyAlignment="1">
      <alignment vertical="center" wrapText="1"/>
    </xf>
    <xf numFmtId="3" fontId="38" fillId="0" borderId="25" xfId="0" applyNumberFormat="1" applyFont="1" applyFill="1" applyBorder="1" applyProtection="1">
      <protection locked="0"/>
    </xf>
    <xf numFmtId="9" fontId="38" fillId="0" borderId="25" xfId="0" applyNumberFormat="1" applyFont="1" applyFill="1" applyBorder="1"/>
    <xf numFmtId="165" fontId="38" fillId="0" borderId="25" xfId="0" applyNumberFormat="1" applyFont="1" applyBorder="1" applyAlignment="1">
      <alignment vertical="center" wrapText="1"/>
    </xf>
    <xf numFmtId="164" fontId="38" fillId="0" borderId="25" xfId="0" applyNumberFormat="1" applyFont="1" applyFill="1" applyBorder="1" applyProtection="1">
      <protection locked="0"/>
    </xf>
    <xf numFmtId="169" fontId="38" fillId="0" borderId="25" xfId="0" applyNumberFormat="1" applyFont="1" applyBorder="1" applyAlignment="1">
      <alignment vertical="center" wrapText="1"/>
    </xf>
    <xf numFmtId="3" fontId="38" fillId="0" borderId="26" xfId="0" applyNumberFormat="1" applyFont="1" applyFill="1" applyBorder="1" applyProtection="1">
      <protection locked="0"/>
    </xf>
    <xf numFmtId="0" fontId="36" fillId="0" borderId="0" xfId="0" applyFont="1"/>
    <xf numFmtId="3" fontId="38" fillId="0" borderId="23" xfId="0" applyNumberFormat="1" applyFont="1" applyFill="1" applyBorder="1" applyProtection="1">
      <protection locked="0"/>
    </xf>
    <xf numFmtId="3" fontId="38" fillId="0" borderId="24" xfId="0" applyNumberFormat="1" applyFont="1" applyFill="1" applyBorder="1" applyProtection="1">
      <protection locked="0"/>
    </xf>
    <xf numFmtId="3" fontId="38" fillId="4" borderId="25" xfId="0" applyNumberFormat="1" applyFont="1" applyFill="1" applyBorder="1" applyProtection="1">
      <protection locked="0"/>
    </xf>
    <xf numFmtId="3" fontId="38" fillId="4" borderId="26" xfId="0" applyNumberFormat="1" applyFont="1" applyFill="1" applyBorder="1" applyProtection="1">
      <protection locked="0"/>
    </xf>
    <xf numFmtId="4" fontId="38" fillId="0" borderId="25" xfId="0" applyNumberFormat="1" applyFont="1" applyFill="1" applyBorder="1" applyProtection="1">
      <protection locked="0"/>
    </xf>
    <xf numFmtId="0" fontId="30" fillId="0" borderId="34" xfId="0" applyFont="1" applyBorder="1" applyAlignment="1" applyProtection="1">
      <alignment horizontal="center"/>
    </xf>
    <xf numFmtId="0" fontId="25" fillId="0" borderId="34" xfId="0" applyFont="1" applyBorder="1" applyAlignment="1" applyProtection="1">
      <alignment horizontal="right"/>
    </xf>
    <xf numFmtId="0" fontId="26" fillId="3" borderId="17" xfId="0" applyFont="1" applyFill="1" applyBorder="1" applyAlignment="1" applyProtection="1">
      <alignment horizontal="center" vertical="center" wrapText="1"/>
    </xf>
    <xf numFmtId="0" fontId="26" fillId="3" borderId="19" xfId="0" applyFont="1" applyFill="1" applyBorder="1" applyAlignment="1" applyProtection="1">
      <alignment horizontal="center" vertical="center" wrapText="1"/>
    </xf>
    <xf numFmtId="0" fontId="30" fillId="0" borderId="32" xfId="0" applyFont="1" applyBorder="1" applyAlignment="1" applyProtection="1">
      <alignment horizontal="center"/>
    </xf>
    <xf numFmtId="0" fontId="25" fillId="0" borderId="32" xfId="0" applyFont="1" applyBorder="1" applyAlignment="1" applyProtection="1">
      <alignment horizontal="right"/>
    </xf>
    <xf numFmtId="0" fontId="25" fillId="0" borderId="35" xfId="0" applyFont="1" applyBorder="1" applyAlignment="1" applyProtection="1">
      <alignment horizontal="left"/>
    </xf>
    <xf numFmtId="0" fontId="25" fillId="0" borderId="31" xfId="0" applyFont="1" applyBorder="1" applyAlignment="1" applyProtection="1">
      <alignment horizontal="left"/>
    </xf>
    <xf numFmtId="0" fontId="25" fillId="0" borderId="36" xfId="0" applyFont="1" applyBorder="1" applyAlignment="1" applyProtection="1">
      <alignment horizontal="left" vertical="center"/>
    </xf>
    <xf numFmtId="0" fontId="25" fillId="0" borderId="37" xfId="0" applyFont="1" applyBorder="1" applyAlignment="1" applyProtection="1">
      <alignment horizontal="left" vertical="center"/>
    </xf>
    <xf numFmtId="0" fontId="25" fillId="0" borderId="33" xfId="0" applyFont="1" applyBorder="1" applyAlignment="1" applyProtection="1">
      <alignment horizontal="left" vertical="center"/>
    </xf>
    <xf numFmtId="0" fontId="11" fillId="3" borderId="0" xfId="3" applyFont="1" applyFill="1" applyBorder="1" applyAlignment="1">
      <alignment horizontal="center" vertical="center" wrapText="1"/>
    </xf>
    <xf numFmtId="0" fontId="11" fillId="3" borderId="0" xfId="3" applyFont="1" applyFill="1" applyBorder="1" applyAlignment="1">
      <alignment vertical="center" wrapText="1"/>
    </xf>
    <xf numFmtId="0" fontId="11" fillId="3" borderId="0" xfId="3" applyFont="1" applyFill="1" applyBorder="1" applyAlignment="1">
      <alignment horizontal="center" vertical="top" wrapText="1"/>
    </xf>
    <xf numFmtId="165" fontId="41" fillId="0" borderId="6" xfId="0" applyNumberFormat="1" applyFont="1" applyFill="1" applyBorder="1" applyAlignment="1">
      <alignment horizontal="center" vertical="center" wrapText="1"/>
    </xf>
    <xf numFmtId="0" fontId="41" fillId="0" borderId="6" xfId="0" applyFont="1" applyFill="1" applyBorder="1" applyAlignment="1">
      <alignment vertical="center" wrapText="1"/>
    </xf>
    <xf numFmtId="0" fontId="41" fillId="0" borderId="6" xfId="0" applyFont="1" applyFill="1" applyBorder="1" applyAlignment="1">
      <alignment horizontal="center" vertical="center" wrapText="1"/>
    </xf>
    <xf numFmtId="0" fontId="41" fillId="0" borderId="6" xfId="0" applyNumberFormat="1" applyFont="1" applyFill="1" applyBorder="1" applyAlignment="1">
      <alignment horizontal="center" vertical="center" wrapText="1"/>
    </xf>
    <xf numFmtId="0" fontId="41" fillId="0" borderId="0" xfId="0" applyFont="1" applyAlignment="1">
      <alignment vertical="top"/>
    </xf>
    <xf numFmtId="14" fontId="41" fillId="0" borderId="6" xfId="0" applyNumberFormat="1" applyFont="1" applyFill="1" applyBorder="1" applyAlignment="1">
      <alignment horizontal="center" vertical="center" wrapText="1"/>
    </xf>
    <xf numFmtId="165" fontId="41" fillId="0" borderId="2" xfId="0" applyNumberFormat="1" applyFont="1" applyFill="1" applyBorder="1" applyAlignment="1">
      <alignment horizontal="center" vertical="center" wrapText="1"/>
    </xf>
    <xf numFmtId="0" fontId="41" fillId="0" borderId="2" xfId="0" applyFont="1" applyFill="1" applyBorder="1" applyAlignment="1">
      <alignment vertical="center" wrapText="1"/>
    </xf>
    <xf numFmtId="14" fontId="41"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43" fillId="0" borderId="0" xfId="3" applyFont="1" applyBorder="1" applyAlignment="1">
      <alignment horizontal="right"/>
    </xf>
    <xf numFmtId="0" fontId="23" fillId="0" borderId="0" xfId="0" applyFont="1" applyFill="1" applyAlignment="1">
      <alignment vertical="center" wrapText="1"/>
    </xf>
    <xf numFmtId="0" fontId="23" fillId="0" borderId="0" xfId="0" applyFont="1" applyAlignment="1">
      <alignment vertical="center"/>
    </xf>
    <xf numFmtId="0" fontId="24" fillId="0" borderId="0" xfId="0" applyFont="1" applyAlignment="1"/>
    <xf numFmtId="0" fontId="25" fillId="0" borderId="0" xfId="0" applyFont="1" applyAlignment="1"/>
    <xf numFmtId="0" fontId="43" fillId="0" borderId="0" xfId="0" applyFont="1" applyBorder="1" applyAlignment="1" applyProtection="1">
      <alignment horizontal="left" vertical="center"/>
    </xf>
    <xf numFmtId="0" fontId="43" fillId="0" borderId="0" xfId="0" applyFont="1" applyProtection="1"/>
    <xf numFmtId="0" fontId="43" fillId="0" borderId="0" xfId="0" applyFont="1" applyAlignment="1" applyProtection="1">
      <alignment horizontal="left" vertical="center"/>
    </xf>
    <xf numFmtId="0" fontId="22" fillId="0" borderId="39" xfId="0" applyFont="1" applyBorder="1"/>
    <xf numFmtId="0" fontId="16" fillId="0" borderId="39" xfId="0" applyFont="1" applyBorder="1"/>
    <xf numFmtId="167" fontId="25" fillId="4" borderId="25" xfId="0" applyNumberFormat="1" applyFont="1" applyFill="1" applyBorder="1" applyAlignment="1" applyProtection="1">
      <alignment vertical="center"/>
      <protection locked="0"/>
    </xf>
    <xf numFmtId="164" fontId="30" fillId="4" borderId="25" xfId="0" applyNumberFormat="1" applyFont="1" applyFill="1" applyBorder="1" applyProtection="1">
      <protection locked="0"/>
    </xf>
    <xf numFmtId="0" fontId="26" fillId="3" borderId="17" xfId="0" applyFont="1" applyFill="1" applyBorder="1" applyAlignment="1">
      <alignment horizontal="center" vertical="center" wrapText="1"/>
    </xf>
    <xf numFmtId="170" fontId="25" fillId="0" borderId="2" xfId="0" applyNumberFormat="1" applyFont="1" applyBorder="1" applyAlignment="1">
      <alignment vertical="center" wrapText="1"/>
    </xf>
    <xf numFmtId="170" fontId="30" fillId="0" borderId="25" xfId="0" applyNumberFormat="1" applyFont="1" applyFill="1" applyBorder="1" applyProtection="1">
      <protection locked="0"/>
    </xf>
    <xf numFmtId="170" fontId="25" fillId="0" borderId="2" xfId="0" applyNumberFormat="1" applyFont="1" applyBorder="1" applyAlignment="1" applyProtection="1">
      <alignment horizontal="right"/>
    </xf>
    <xf numFmtId="170" fontId="30" fillId="0" borderId="5" xfId="0" applyNumberFormat="1" applyFont="1" applyBorder="1" applyAlignment="1" applyProtection="1">
      <alignment horizontal="right"/>
    </xf>
    <xf numFmtId="170" fontId="30" fillId="4" borderId="25" xfId="0" applyNumberFormat="1" applyFont="1" applyFill="1" applyBorder="1" applyProtection="1">
      <protection locked="0"/>
    </xf>
    <xf numFmtId="170" fontId="25" fillId="4" borderId="2" xfId="0" applyNumberFormat="1" applyFont="1" applyFill="1" applyBorder="1" applyAlignment="1" applyProtection="1">
      <alignment vertical="center"/>
      <protection locked="0"/>
    </xf>
    <xf numFmtId="4" fontId="25" fillId="6" borderId="2" xfId="0" applyNumberFormat="1" applyFont="1" applyFill="1" applyBorder="1" applyAlignment="1" applyProtection="1">
      <alignment vertical="center" wrapText="1"/>
      <protection locked="0"/>
    </xf>
    <xf numFmtId="0" fontId="0" fillId="0" borderId="41" xfId="0" applyBorder="1" applyAlignment="1">
      <alignment wrapText="1"/>
    </xf>
    <xf numFmtId="0" fontId="48" fillId="0" borderId="41" xfId="0" applyFont="1" applyBorder="1" applyAlignment="1">
      <alignment wrapText="1"/>
    </xf>
    <xf numFmtId="0" fontId="30" fillId="0" borderId="0" xfId="0" applyFont="1"/>
    <xf numFmtId="0" fontId="4" fillId="0" borderId="41" xfId="0" applyFont="1" applyBorder="1" applyAlignment="1">
      <alignment wrapText="1"/>
    </xf>
    <xf numFmtId="0" fontId="4" fillId="0" borderId="42" xfId="0" applyFont="1" applyBorder="1" applyAlignment="1">
      <alignment wrapText="1"/>
    </xf>
    <xf numFmtId="0" fontId="49" fillId="0" borderId="40" xfId="0" applyFont="1" applyBorder="1" applyAlignment="1">
      <alignment wrapText="1"/>
    </xf>
    <xf numFmtId="44" fontId="4" fillId="0" borderId="41" xfId="4" applyFont="1" applyBorder="1" applyAlignment="1">
      <alignment wrapText="1"/>
    </xf>
    <xf numFmtId="44" fontId="49" fillId="0" borderId="41" xfId="4" applyFont="1" applyBorder="1" applyAlignment="1">
      <alignment wrapText="1"/>
    </xf>
    <xf numFmtId="1" fontId="4" fillId="0" borderId="41" xfId="0" applyNumberFormat="1" applyFont="1" applyBorder="1" applyAlignment="1">
      <alignment wrapText="1"/>
    </xf>
    <xf numFmtId="0" fontId="4" fillId="0" borderId="40" xfId="0" applyFont="1" applyBorder="1" applyAlignment="1">
      <alignment wrapText="1"/>
    </xf>
    <xf numFmtId="44" fontId="4" fillId="0" borderId="40" xfId="4" applyFont="1" applyBorder="1" applyAlignment="1">
      <alignment wrapText="1"/>
    </xf>
    <xf numFmtId="165" fontId="4" fillId="0" borderId="41" xfId="0" applyNumberFormat="1" applyFont="1" applyBorder="1" applyAlignment="1">
      <alignment wrapText="1"/>
    </xf>
    <xf numFmtId="44" fontId="4" fillId="0" borderId="42" xfId="4" applyFont="1" applyBorder="1" applyAlignment="1">
      <alignment wrapText="1"/>
    </xf>
    <xf numFmtId="10" fontId="25" fillId="0" borderId="2" xfId="0" applyNumberFormat="1" applyFont="1" applyBorder="1" applyAlignment="1">
      <alignment vertical="center" wrapText="1"/>
    </xf>
    <xf numFmtId="6" fontId="4" fillId="0" borderId="42" xfId="0" applyNumberFormat="1" applyFont="1" applyBorder="1" applyAlignment="1">
      <alignment wrapText="1"/>
    </xf>
    <xf numFmtId="0" fontId="2" fillId="0" borderId="0" xfId="2" applyAlignment="1" applyProtection="1">
      <alignment vertical="center"/>
    </xf>
    <xf numFmtId="171" fontId="27" fillId="5" borderId="0" xfId="0" applyNumberFormat="1" applyFont="1" applyFill="1" applyProtection="1"/>
    <xf numFmtId="170" fontId="25" fillId="0" borderId="0" xfId="0" applyNumberFormat="1" applyFont="1"/>
    <xf numFmtId="0" fontId="25" fillId="0" borderId="0" xfId="0" applyFont="1" applyAlignment="1">
      <alignment horizontal="right"/>
    </xf>
    <xf numFmtId="0" fontId="11" fillId="3" borderId="0" xfId="3" applyFont="1" applyFill="1" applyBorder="1" applyAlignment="1">
      <alignment horizontal="left" vertical="center" wrapText="1"/>
    </xf>
    <xf numFmtId="0" fontId="6" fillId="3" borderId="0" xfId="2" applyFont="1" applyFill="1" applyBorder="1" applyAlignment="1" applyProtection="1">
      <alignment horizontal="left" vertical="center" wrapText="1"/>
    </xf>
    <xf numFmtId="0" fontId="7" fillId="0" borderId="0" xfId="3" applyFont="1" applyBorder="1" applyAlignment="1">
      <alignment horizontal="center"/>
    </xf>
    <xf numFmtId="0" fontId="8" fillId="3" borderId="0" xfId="2" applyFont="1" applyFill="1" applyBorder="1" applyAlignment="1" applyProtection="1">
      <alignment horizontal="left" vertical="center" wrapText="1"/>
    </xf>
    <xf numFmtId="0" fontId="8" fillId="3" borderId="0" xfId="2" applyFont="1" applyFill="1" applyBorder="1" applyAlignment="1" applyProtection="1">
      <alignment horizontal="left" vertical="center"/>
    </xf>
    <xf numFmtId="0" fontId="26" fillId="3" borderId="22" xfId="0" applyFont="1" applyFill="1" applyBorder="1" applyAlignment="1" applyProtection="1">
      <alignment horizontal="center" vertical="center" wrapText="1"/>
    </xf>
    <xf numFmtId="0" fontId="25" fillId="3" borderId="22" xfId="0" applyFont="1" applyFill="1" applyBorder="1" applyAlignment="1" applyProtection="1">
      <alignment horizontal="center"/>
    </xf>
    <xf numFmtId="0" fontId="39" fillId="5" borderId="38" xfId="0"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15" fillId="0" borderId="0" xfId="0" applyFont="1" applyAlignment="1" applyProtection="1"/>
    <xf numFmtId="0" fontId="43" fillId="0" borderId="0" xfId="0" applyFont="1" applyAlignment="1" applyProtection="1">
      <alignment horizontal="left" vertical="center" wrapText="1"/>
    </xf>
    <xf numFmtId="0" fontId="26" fillId="3" borderId="17"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14" fillId="0" borderId="0" xfId="0" applyFont="1" applyFill="1" applyAlignment="1">
      <alignment vertical="center" wrapText="1"/>
    </xf>
    <xf numFmtId="0" fontId="15" fillId="0" borderId="0" xfId="0" applyFont="1" applyAlignment="1"/>
    <xf numFmtId="0" fontId="26" fillId="3" borderId="15"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Alignment="1">
      <alignment vertical="center"/>
    </xf>
    <xf numFmtId="0" fontId="26" fillId="3" borderId="6"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Alignment="1">
      <alignment horizontal="left" vertical="center"/>
    </xf>
    <xf numFmtId="3" fontId="30" fillId="0" borderId="31" xfId="0" applyNumberFormat="1" applyFont="1" applyFill="1" applyBorder="1" applyAlignment="1" applyProtection="1">
      <alignment horizontal="left"/>
      <protection locked="0"/>
    </xf>
    <xf numFmtId="3" fontId="30" fillId="0" borderId="32" xfId="0" applyNumberFormat="1" applyFont="1" applyFill="1" applyBorder="1" applyAlignment="1" applyProtection="1">
      <alignment horizontal="left"/>
      <protection locked="0"/>
    </xf>
    <xf numFmtId="3" fontId="30" fillId="0" borderId="24" xfId="0" applyNumberFormat="1" applyFont="1" applyFill="1" applyBorder="1" applyAlignment="1" applyProtection="1">
      <alignment horizontal="left"/>
      <protection locked="0"/>
    </xf>
    <xf numFmtId="3" fontId="38" fillId="0" borderId="31" xfId="0" applyNumberFormat="1" applyFont="1" applyFill="1" applyBorder="1" applyAlignment="1" applyProtection="1">
      <alignment horizontal="left"/>
      <protection locked="0"/>
    </xf>
    <xf numFmtId="3" fontId="38" fillId="0" borderId="32" xfId="0" applyNumberFormat="1" applyFont="1" applyFill="1" applyBorder="1" applyAlignment="1" applyProtection="1">
      <alignment horizontal="left"/>
      <protection locked="0"/>
    </xf>
    <xf numFmtId="3" fontId="38" fillId="0" borderId="24" xfId="0" applyNumberFormat="1" applyFont="1" applyFill="1" applyBorder="1" applyAlignment="1" applyProtection="1">
      <alignment horizontal="left"/>
      <protection locked="0"/>
    </xf>
    <xf numFmtId="0" fontId="26" fillId="3" borderId="18"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6" fillId="3" borderId="30" xfId="0" applyFont="1" applyFill="1" applyBorder="1" applyAlignment="1">
      <alignment horizontal="center" vertical="center" wrapText="1"/>
    </xf>
  </cellXfs>
  <cellStyles count="5">
    <cellStyle name="2x indented GHG Textfiels" xfId="1" xr:uid="{00000000-0005-0000-0000-000000000000}"/>
    <cellStyle name="Currency" xfId="4" builtinId="4"/>
    <cellStyle name="Hyperlink" xfId="2" builtinId="8"/>
    <cellStyle name="Normal" xfId="0" builtinId="0"/>
    <cellStyle name="Normal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IE"/>
              <a:t>Energy Cost Breakdown</a:t>
            </a:r>
          </a:p>
        </c:rich>
      </c:tx>
      <c:layout>
        <c:manualLayout>
          <c:xMode val="edge"/>
          <c:yMode val="edge"/>
          <c:x val="0.28839872140165562"/>
          <c:y val="3.0232591296458309E-2"/>
        </c:manualLayout>
      </c:layout>
      <c:overlay val="0"/>
      <c:spPr>
        <a:noFill/>
        <a:ln w="25400">
          <a:noFill/>
        </a:ln>
      </c:spPr>
    </c:title>
    <c:autoTitleDeleted val="0"/>
    <c:plotArea>
      <c:layout>
        <c:manualLayout>
          <c:layoutTarget val="inner"/>
          <c:xMode val="edge"/>
          <c:yMode val="edge"/>
          <c:x val="0.17653371759902603"/>
          <c:y val="0.17888355317036689"/>
          <c:w val="0.6275006667532097"/>
          <c:h val="0.69286363671860063"/>
        </c:manualLayout>
      </c:layout>
      <c:pieChart>
        <c:varyColors val="1"/>
        <c:ser>
          <c:idx val="0"/>
          <c:order val="0"/>
          <c:dLbls>
            <c:dLbl>
              <c:idx val="4"/>
              <c:delete val="1"/>
              <c:extLst>
                <c:ext xmlns:c15="http://schemas.microsoft.com/office/drawing/2012/chart" uri="{CE6537A1-D6FC-4f65-9D91-7224C49458BB}"/>
                <c:ext xmlns:c16="http://schemas.microsoft.com/office/drawing/2014/chart" uri="{C3380CC4-5D6E-409C-BE32-E72D297353CC}">
                  <c16:uniqueId val="{00000003-8E63-49C9-BCC7-C20874AAA952}"/>
                </c:ext>
              </c:extLst>
            </c:dLbl>
            <c:dLbl>
              <c:idx val="5"/>
              <c:delete val="1"/>
              <c:extLst>
                <c:ext xmlns:c15="http://schemas.microsoft.com/office/drawing/2012/chart" uri="{CE6537A1-D6FC-4f65-9D91-7224C49458BB}"/>
                <c:ext xmlns:c16="http://schemas.microsoft.com/office/drawing/2014/chart" uri="{C3380CC4-5D6E-409C-BE32-E72D297353CC}">
                  <c16:uniqueId val="{00000002-8E63-49C9-BCC7-C20874AAA952}"/>
                </c:ext>
              </c:extLst>
            </c:dLbl>
            <c:dLbl>
              <c:idx val="6"/>
              <c:delete val="1"/>
              <c:extLst>
                <c:ext xmlns:c15="http://schemas.microsoft.com/office/drawing/2012/chart" uri="{CE6537A1-D6FC-4f65-9D91-7224C49458BB}"/>
                <c:ext xmlns:c16="http://schemas.microsoft.com/office/drawing/2014/chart" uri="{C3380CC4-5D6E-409C-BE32-E72D297353CC}">
                  <c16:uniqueId val="{00000000-8E63-49C9-BCC7-C20874AAA952}"/>
                </c:ext>
              </c:extLst>
            </c:dLbl>
            <c:dLbl>
              <c:idx val="7"/>
              <c:delete val="1"/>
              <c:extLst>
                <c:ext xmlns:c15="http://schemas.microsoft.com/office/drawing/2012/chart" uri="{CE6537A1-D6FC-4f65-9D91-7224C49458BB}"/>
                <c:ext xmlns:c16="http://schemas.microsoft.com/office/drawing/2014/chart" uri="{C3380CC4-5D6E-409C-BE32-E72D297353CC}">
                  <c16:uniqueId val="{00000001-8E63-49C9-BCC7-C20874AAA952}"/>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Summary!$U$13:$U$23</c:f>
              <c:strCache>
                <c:ptCount val="9"/>
                <c:pt idx="0">
                  <c:v>Lighting</c:v>
                </c:pt>
                <c:pt idx="1">
                  <c:v>HVAC</c:v>
                </c:pt>
                <c:pt idx="2">
                  <c:v>ICT</c:v>
                </c:pt>
                <c:pt idx="3">
                  <c:v>Refrigeration</c:v>
                </c:pt>
                <c:pt idx="4">
                  <c:v>Other Electrical Equipment</c:v>
                </c:pt>
                <c:pt idx="5">
                  <c:v>Boilers</c:v>
                </c:pt>
                <c:pt idx="6">
                  <c:v>Other Thermal</c:v>
                </c:pt>
                <c:pt idx="7">
                  <c:v>Fleet</c:v>
                </c:pt>
                <c:pt idx="8">
                  <c:v>Unaccounted for Shortfall (Excess)</c:v>
                </c:pt>
              </c:strCache>
            </c:strRef>
          </c:cat>
          <c:val>
            <c:numRef>
              <c:f>Summary!$V$13:$V$23</c:f>
              <c:numCache>
                <c:formatCode>_-[$£-809]* #,##0_-;\-[$£-809]* #,##0_-;_-[$£-809]* "-"??_-;_-@_-</c:formatCode>
                <c:ptCount val="9"/>
                <c:pt idx="0">
                  <c:v>686.20915920000004</c:v>
                </c:pt>
                <c:pt idx="1">
                  <c:v>237.0615</c:v>
                </c:pt>
                <c:pt idx="2">
                  <c:v>0</c:v>
                </c:pt>
                <c:pt idx="3">
                  <c:v>7702.1828415000009</c:v>
                </c:pt>
                <c:pt idx="4">
                  <c:v>0</c:v>
                </c:pt>
                <c:pt idx="5">
                  <c:v>0</c:v>
                </c:pt>
                <c:pt idx="6">
                  <c:v>0</c:v>
                </c:pt>
                <c:pt idx="7">
                  <c:v>0</c:v>
                </c:pt>
                <c:pt idx="8">
                  <c:v>-225.45350070000131</c:v>
                </c:pt>
              </c:numCache>
            </c:numRef>
          </c:val>
          <c:extLst>
            <c:ext xmlns:c16="http://schemas.microsoft.com/office/drawing/2014/chart" uri="{C3380CC4-5D6E-409C-BE32-E72D297353CC}">
              <c16:uniqueId val="{00000000-2285-4BE1-84E6-EC6C35E982D9}"/>
            </c:ext>
          </c:extLst>
        </c:ser>
        <c:dLbls>
          <c:showLegendKey val="0"/>
          <c:showVal val="1"/>
          <c:showCatName val="1"/>
          <c:showSerName val="0"/>
          <c:showPercent val="1"/>
          <c:showBubbleSize val="0"/>
          <c:separator>
</c:separator>
          <c:showLeaderLines val="1"/>
        </c:dLbls>
        <c:firstSliceAng val="12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IE"/>
              <a:t>Electricity  Consumption Breakdown</a:t>
            </a:r>
          </a:p>
        </c:rich>
      </c:tx>
      <c:layout>
        <c:manualLayout>
          <c:xMode val="edge"/>
          <c:yMode val="edge"/>
          <c:x val="0.18901098901098956"/>
          <c:y val="3.1914935062405295E-2"/>
        </c:manualLayout>
      </c:layout>
      <c:overlay val="0"/>
      <c:spPr>
        <a:noFill/>
        <a:ln w="25400">
          <a:noFill/>
        </a:ln>
      </c:spPr>
    </c:title>
    <c:autoTitleDeleted val="0"/>
    <c:plotArea>
      <c:layout>
        <c:manualLayout>
          <c:layoutTarget val="inner"/>
          <c:xMode val="edge"/>
          <c:yMode val="edge"/>
          <c:x val="0.17794250241012927"/>
          <c:y val="0.17467262538128667"/>
          <c:w val="0.58785056050053008"/>
          <c:h val="0.74925246506348864"/>
        </c:manualLayout>
      </c:layout>
      <c:pieChart>
        <c:varyColors val="1"/>
        <c:ser>
          <c:idx val="0"/>
          <c:order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(Summary!$A$13:$A$19,Summary!$A$21)</c:f>
              <c:strCache>
                <c:ptCount val="6"/>
                <c:pt idx="0">
                  <c:v>Lighting</c:v>
                </c:pt>
                <c:pt idx="1">
                  <c:v>HVAC</c:v>
                </c:pt>
                <c:pt idx="2">
                  <c:v>ICT</c:v>
                </c:pt>
                <c:pt idx="3">
                  <c:v>Refrigeration</c:v>
                </c:pt>
                <c:pt idx="4">
                  <c:v>Other Electrical Equipment</c:v>
                </c:pt>
                <c:pt idx="5">
                  <c:v>Unaccounted for Shortfall (Excess)</c:v>
                </c:pt>
              </c:strCache>
            </c:strRef>
          </c:cat>
          <c:val>
            <c:numRef>
              <c:f>(Summary!$B$13:$B$19,Summary!$B$21)</c:f>
              <c:numCache>
                <c:formatCode>#,##0</c:formatCode>
                <c:ptCount val="6"/>
                <c:pt idx="0">
                  <c:v>5644.5599999999995</c:v>
                </c:pt>
                <c:pt idx="1">
                  <c:v>1950</c:v>
                </c:pt>
                <c:pt idx="2">
                  <c:v>0</c:v>
                </c:pt>
                <c:pt idx="3">
                  <c:v>63355.950000000004</c:v>
                </c:pt>
                <c:pt idx="4">
                  <c:v>0</c:v>
                </c:pt>
                <c:pt idx="5">
                  <c:v>5740.0440774862145</c:v>
                </c:pt>
              </c:numCache>
            </c:numRef>
          </c:val>
          <c:extLst>
            <c:ext xmlns:c16="http://schemas.microsoft.com/office/drawing/2014/chart" uri="{C3380CC4-5D6E-409C-BE32-E72D297353CC}">
              <c16:uniqueId val="{00000000-EAC6-479C-88CD-E67FF9D7F70B}"/>
            </c:ext>
          </c:extLst>
        </c:ser>
        <c:dLbls>
          <c:showLegendKey val="0"/>
          <c:showVal val="1"/>
          <c:showCatName val="1"/>
          <c:showSerName val="0"/>
          <c:showPercent val="1"/>
          <c:showBubbleSize val="0"/>
          <c:separator>
</c:separator>
          <c:showLeaderLines val="1"/>
        </c:dLbls>
        <c:firstSliceAng val="9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IE"/>
              <a:t>Thermal Energy Consumption Breakdown</a:t>
            </a:r>
          </a:p>
        </c:rich>
      </c:tx>
      <c:layout>
        <c:manualLayout>
          <c:xMode val="edge"/>
          <c:yMode val="edge"/>
          <c:x val="0.14693028503016151"/>
          <c:y val="3.1830318507484023E-2"/>
        </c:manualLayout>
      </c:layout>
      <c:overlay val="0"/>
      <c:spPr>
        <a:noFill/>
        <a:ln w="25400">
          <a:noFill/>
        </a:ln>
      </c:spPr>
    </c:title>
    <c:autoTitleDeleted val="0"/>
    <c:plotArea>
      <c:layout>
        <c:manualLayout>
          <c:layoutTarget val="inner"/>
          <c:xMode val="edge"/>
          <c:yMode val="edge"/>
          <c:x val="0.19159414283740919"/>
          <c:y val="0.17423831455030458"/>
          <c:w val="0.62052869995586279"/>
          <c:h val="0.76466611484885161"/>
        </c:manualLayout>
      </c:layout>
      <c:pieChart>
        <c:varyColors val="1"/>
        <c:ser>
          <c:idx val="0"/>
          <c:order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(Summary!$A$27:$A$28,Summary!$A$30)</c:f>
              <c:strCache>
                <c:ptCount val="3"/>
                <c:pt idx="0">
                  <c:v>Boilers</c:v>
                </c:pt>
                <c:pt idx="1">
                  <c:v>Other Thermal</c:v>
                </c:pt>
                <c:pt idx="2">
                  <c:v>Unaccounted for Shortfall (Excess)</c:v>
                </c:pt>
              </c:strCache>
            </c:strRef>
          </c:cat>
          <c:val>
            <c:numRef>
              <c:f>(Summary!$B$27:$B$28,Summary!$B$30)</c:f>
              <c:numCache>
                <c:formatCode>#,##0</c:formatCode>
                <c:ptCount val="3"/>
                <c:pt idx="1">
                  <c:v>0</c:v>
                </c:pt>
                <c:pt idx="2">
                  <c:v>0</c:v>
                </c:pt>
              </c:numCache>
            </c:numRef>
          </c:val>
          <c:extLst>
            <c:ext xmlns:c16="http://schemas.microsoft.com/office/drawing/2014/chart" uri="{C3380CC4-5D6E-409C-BE32-E72D297353CC}">
              <c16:uniqueId val="{00000000-3557-48CB-879A-672D173303C6}"/>
            </c:ext>
          </c:extLst>
        </c:ser>
        <c:dLbls>
          <c:showLegendKey val="0"/>
          <c:showVal val="1"/>
          <c:showCatName val="1"/>
          <c:showSerName val="0"/>
          <c:showPercent val="1"/>
          <c:showBubbleSize val="0"/>
          <c:separator>
</c:separator>
          <c:showLeaderLines val="1"/>
        </c:dLbls>
        <c:firstSliceAng val="9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IE"/>
              <a:t>Fleet Consumption Breakdown</a:t>
            </a:r>
          </a:p>
        </c:rich>
      </c:tx>
      <c:layout>
        <c:manualLayout>
          <c:xMode val="edge"/>
          <c:yMode val="edge"/>
          <c:x val="0.26254537331769784"/>
          <c:y val="3.3524772366417155E-2"/>
        </c:manualLayout>
      </c:layout>
      <c:overlay val="0"/>
      <c:spPr>
        <a:noFill/>
        <a:ln w="25400">
          <a:noFill/>
        </a:ln>
      </c:spPr>
    </c:title>
    <c:autoTitleDeleted val="0"/>
    <c:plotArea>
      <c:layout>
        <c:manualLayout>
          <c:layoutTarget val="inner"/>
          <c:xMode val="edge"/>
          <c:yMode val="edge"/>
          <c:x val="0.19688635729044521"/>
          <c:y val="0.17612590224458685"/>
          <c:w val="0.61191878462048865"/>
          <c:h val="0.69094585134380082"/>
        </c:manualLayout>
      </c:layout>
      <c:pieChart>
        <c:varyColors val="1"/>
        <c:ser>
          <c:idx val="0"/>
          <c:order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(Summary!$A$36,Summary!$A$38)</c:f>
            </c:multiLvlStrRef>
          </c:cat>
          <c:val>
            <c:numRef>
              <c:f>(Summary!$B$36,Summary!$B$38)</c:f>
            </c:numRef>
          </c:val>
          <c:extLst>
            <c:ext xmlns:c16="http://schemas.microsoft.com/office/drawing/2014/chart" uri="{C3380CC4-5D6E-409C-BE32-E72D297353CC}">
              <c16:uniqueId val="{00000000-B797-40C8-9EF6-F09EB9A4A4A9}"/>
            </c:ext>
          </c:extLst>
        </c:ser>
        <c:dLbls>
          <c:showLegendKey val="0"/>
          <c:showVal val="1"/>
          <c:showCatName val="1"/>
          <c:showSerName val="0"/>
          <c:showPercent val="1"/>
          <c:showBubbleSize val="0"/>
          <c:separator>
</c:separator>
          <c:showLeaderLines val="1"/>
        </c:dLbls>
        <c:firstSliceAng val="12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1200150</xdr:colOff>
      <xdr:row>1</xdr:row>
      <xdr:rowOff>47625</xdr:rowOff>
    </xdr:from>
    <xdr:to>
      <xdr:col>9</xdr:col>
      <xdr:colOff>213137</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b="22735"/>
        <a:stretch>
          <a:fillRect/>
        </a:stretch>
      </xdr:blipFill>
      <xdr:spPr bwMode="auto">
        <a:xfrm>
          <a:off x="1609725" y="95250"/>
          <a:ext cx="4327937" cy="12001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123825</xdr:rowOff>
    </xdr:from>
    <xdr:to>
      <xdr:col>1</xdr:col>
      <xdr:colOff>609600</xdr:colOff>
      <xdr:row>0</xdr:row>
      <xdr:rowOff>600075</xdr:rowOff>
    </xdr:to>
    <xdr:pic>
      <xdr:nvPicPr>
        <xdr:cNvPr id="23557" name="Picture 5" descr="SEAI%20logo%20RGB%20Jpeg">
          <a:extLst>
            <a:ext uri="{FF2B5EF4-FFF2-40B4-BE49-F238E27FC236}">
              <a16:creationId xmlns:a16="http://schemas.microsoft.com/office/drawing/2014/main" id="{00000000-0008-0000-0900-0000055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23825"/>
          <a:ext cx="1847850"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95251</xdr:colOff>
      <xdr:row>0</xdr:row>
      <xdr:rowOff>142875</xdr:rowOff>
    </xdr:from>
    <xdr:to>
      <xdr:col>1</xdr:col>
      <xdr:colOff>600076</xdr:colOff>
      <xdr:row>0</xdr:row>
      <xdr:rowOff>619125</xdr:rowOff>
    </xdr:to>
    <xdr:pic>
      <xdr:nvPicPr>
        <xdr:cNvPr id="24580" name="Picture 4" descr="SEAI%20logo%20RGB%20Jpeg">
          <a:extLst>
            <a:ext uri="{FF2B5EF4-FFF2-40B4-BE49-F238E27FC236}">
              <a16:creationId xmlns:a16="http://schemas.microsoft.com/office/drawing/2014/main" id="{00000000-0008-0000-0A00-0000046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1" y="142875"/>
          <a:ext cx="1733550" cy="4762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95251</xdr:colOff>
      <xdr:row>0</xdr:row>
      <xdr:rowOff>142875</xdr:rowOff>
    </xdr:from>
    <xdr:to>
      <xdr:col>1</xdr:col>
      <xdr:colOff>600076</xdr:colOff>
      <xdr:row>0</xdr:row>
      <xdr:rowOff>619125</xdr:rowOff>
    </xdr:to>
    <xdr:pic>
      <xdr:nvPicPr>
        <xdr:cNvPr id="2" name="Picture 4" descr="SEAI%20logo%20RGB%20Jpe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1" y="142875"/>
          <a:ext cx="1733550"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133349</xdr:colOff>
      <xdr:row>61</xdr:row>
      <xdr:rowOff>38100</xdr:rowOff>
    </xdr:from>
    <xdr:to>
      <xdr:col>11</xdr:col>
      <xdr:colOff>123824</xdr:colOff>
      <xdr:row>86</xdr:row>
      <xdr:rowOff>85725</xdr:rowOff>
    </xdr:to>
    <xdr:graphicFrame macro="">
      <xdr:nvGraphicFramePr>
        <xdr:cNvPr id="5123" name="Chart 3">
          <a:extLst>
            <a:ext uri="{FF2B5EF4-FFF2-40B4-BE49-F238E27FC236}">
              <a16:creationId xmlns:a16="http://schemas.microsoft.com/office/drawing/2014/main" id="{00000000-0008-0000-0100-000003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40</xdr:row>
      <xdr:rowOff>19050</xdr:rowOff>
    </xdr:from>
    <xdr:to>
      <xdr:col>4</xdr:col>
      <xdr:colOff>47625</xdr:colOff>
      <xdr:row>60</xdr:row>
      <xdr:rowOff>114300</xdr:rowOff>
    </xdr:to>
    <xdr:graphicFrame macro="">
      <xdr:nvGraphicFramePr>
        <xdr:cNvPr id="5129" name="Chart 9">
          <a:extLst>
            <a:ext uri="{FF2B5EF4-FFF2-40B4-BE49-F238E27FC236}">
              <a16:creationId xmlns:a16="http://schemas.microsoft.com/office/drawing/2014/main" id="{00000000-0008-0000-0100-00000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133350</xdr:colOff>
      <xdr:row>40</xdr:row>
      <xdr:rowOff>19050</xdr:rowOff>
    </xdr:from>
    <xdr:to>
      <xdr:col>11</xdr:col>
      <xdr:colOff>95250</xdr:colOff>
      <xdr:row>60</xdr:row>
      <xdr:rowOff>123825</xdr:rowOff>
    </xdr:to>
    <xdr:graphicFrame macro="">
      <xdr:nvGraphicFramePr>
        <xdr:cNvPr id="5130" name="Chart 10">
          <a:extLst>
            <a:ext uri="{FF2B5EF4-FFF2-40B4-BE49-F238E27FC236}">
              <a16:creationId xmlns:a16="http://schemas.microsoft.com/office/drawing/2014/main" id="{00000000-0008-0000-0100-00000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0</xdr:row>
      <xdr:rowOff>133350</xdr:rowOff>
    </xdr:from>
    <xdr:to>
      <xdr:col>1</xdr:col>
      <xdr:colOff>161925</xdr:colOff>
      <xdr:row>0</xdr:row>
      <xdr:rowOff>609600</xdr:rowOff>
    </xdr:to>
    <xdr:pic>
      <xdr:nvPicPr>
        <xdr:cNvPr id="5131" name="Picture 11" descr="SEAI%20logo%20RGB%20Jpeg">
          <a:extLst>
            <a:ext uri="{FF2B5EF4-FFF2-40B4-BE49-F238E27FC236}">
              <a16:creationId xmlns:a16="http://schemas.microsoft.com/office/drawing/2014/main" id="{00000000-0008-0000-0100-00000B1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525" y="133350"/>
          <a:ext cx="2000250" cy="476250"/>
        </a:xfrm>
        <a:prstGeom prst="rect">
          <a:avLst/>
        </a:prstGeom>
        <a:noFill/>
        <a:ln w="9525">
          <a:noFill/>
          <a:miter lim="800000"/>
          <a:headEnd/>
          <a:tailEnd/>
        </a:ln>
      </xdr:spPr>
    </xdr:pic>
    <xdr:clientData/>
  </xdr:twoCellAnchor>
  <xdr:twoCellAnchor>
    <xdr:from>
      <xdr:col>0</xdr:col>
      <xdr:colOff>38101</xdr:colOff>
      <xdr:row>61</xdr:row>
      <xdr:rowOff>38100</xdr:rowOff>
    </xdr:from>
    <xdr:to>
      <xdr:col>4</xdr:col>
      <xdr:colOff>38101</xdr:colOff>
      <xdr:row>86</xdr:row>
      <xdr:rowOff>85725</xdr:rowOff>
    </xdr:to>
    <xdr:graphicFrame macro="">
      <xdr:nvGraphicFramePr>
        <xdr:cNvPr id="7" name="Chart 3">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152400</xdr:rowOff>
    </xdr:from>
    <xdr:to>
      <xdr:col>1</xdr:col>
      <xdr:colOff>933450</xdr:colOff>
      <xdr:row>0</xdr:row>
      <xdr:rowOff>628650</xdr:rowOff>
    </xdr:to>
    <xdr:pic>
      <xdr:nvPicPr>
        <xdr:cNvPr id="9222" name="Picture 6" descr="SEAI%20logo%20RGB%20Jpeg">
          <a:extLst>
            <a:ext uri="{FF2B5EF4-FFF2-40B4-BE49-F238E27FC236}">
              <a16:creationId xmlns:a16="http://schemas.microsoft.com/office/drawing/2014/main" id="{00000000-0008-0000-0200-000006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52400"/>
          <a:ext cx="1847850" cy="476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104775</xdr:rowOff>
    </xdr:from>
    <xdr:to>
      <xdr:col>1</xdr:col>
      <xdr:colOff>485775</xdr:colOff>
      <xdr:row>0</xdr:row>
      <xdr:rowOff>581025</xdr:rowOff>
    </xdr:to>
    <xdr:pic>
      <xdr:nvPicPr>
        <xdr:cNvPr id="21507" name="Picture 3" descr="SEAI%20logo%20RGB%20Jpeg">
          <a:extLst>
            <a:ext uri="{FF2B5EF4-FFF2-40B4-BE49-F238E27FC236}">
              <a16:creationId xmlns:a16="http://schemas.microsoft.com/office/drawing/2014/main" id="{00000000-0008-0000-0300-0000035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04775"/>
          <a:ext cx="1847850" cy="476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123825</xdr:rowOff>
    </xdr:from>
    <xdr:to>
      <xdr:col>1</xdr:col>
      <xdr:colOff>704850</xdr:colOff>
      <xdr:row>0</xdr:row>
      <xdr:rowOff>600075</xdr:rowOff>
    </xdr:to>
    <xdr:pic>
      <xdr:nvPicPr>
        <xdr:cNvPr id="2" name="Picture 3" descr="SEAI%20logo%20RGB%20Jpe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23825"/>
          <a:ext cx="1847850" cy="476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1</xdr:col>
      <xdr:colOff>371475</xdr:colOff>
      <xdr:row>0</xdr:row>
      <xdr:rowOff>590550</xdr:rowOff>
    </xdr:to>
    <xdr:pic>
      <xdr:nvPicPr>
        <xdr:cNvPr id="20483" name="Picture 3" descr="SEAI%20logo%20RGB%20Jpeg">
          <a:extLst>
            <a:ext uri="{FF2B5EF4-FFF2-40B4-BE49-F238E27FC236}">
              <a16:creationId xmlns:a16="http://schemas.microsoft.com/office/drawing/2014/main" id="{00000000-0008-0000-0500-0000035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14300"/>
          <a:ext cx="1847850" cy="476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57151</xdr:colOff>
      <xdr:row>0</xdr:row>
      <xdr:rowOff>123825</xdr:rowOff>
    </xdr:from>
    <xdr:to>
      <xdr:col>1</xdr:col>
      <xdr:colOff>552451</xdr:colOff>
      <xdr:row>0</xdr:row>
      <xdr:rowOff>600075</xdr:rowOff>
    </xdr:to>
    <xdr:pic>
      <xdr:nvPicPr>
        <xdr:cNvPr id="19459" name="Picture 3" descr="SEAI%20logo%20RGB%20Jpeg">
          <a:extLst>
            <a:ext uri="{FF2B5EF4-FFF2-40B4-BE49-F238E27FC236}">
              <a16:creationId xmlns:a16="http://schemas.microsoft.com/office/drawing/2014/main" id="{00000000-0008-0000-0600-0000034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1" y="123825"/>
          <a:ext cx="1943100" cy="476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104776</xdr:colOff>
      <xdr:row>0</xdr:row>
      <xdr:rowOff>142875</xdr:rowOff>
    </xdr:from>
    <xdr:to>
      <xdr:col>1</xdr:col>
      <xdr:colOff>352426</xdr:colOff>
      <xdr:row>0</xdr:row>
      <xdr:rowOff>619125</xdr:rowOff>
    </xdr:to>
    <xdr:pic>
      <xdr:nvPicPr>
        <xdr:cNvPr id="18437" name="Picture 5" descr="SEAI%20logo%20RGB%20Jpeg">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6" y="142875"/>
          <a:ext cx="1809750" cy="4762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123825</xdr:rowOff>
    </xdr:from>
    <xdr:to>
      <xdr:col>1</xdr:col>
      <xdr:colOff>704850</xdr:colOff>
      <xdr:row>0</xdr:row>
      <xdr:rowOff>600075</xdr:rowOff>
    </xdr:to>
    <xdr:pic>
      <xdr:nvPicPr>
        <xdr:cNvPr id="22531" name="Picture 3" descr="SEAI%20logo%20RGB%20Jpeg">
          <a:extLst>
            <a:ext uri="{FF2B5EF4-FFF2-40B4-BE49-F238E27FC236}">
              <a16:creationId xmlns:a16="http://schemas.microsoft.com/office/drawing/2014/main" id="{00000000-0008-0000-0800-0000035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23825"/>
          <a:ext cx="1847850" cy="476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cqbdcm/Downloads/12P#### Register of Opportunities 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e.aeat.com/DOCUME~1/PAUL_S~1/LOCALS~1/Temp/XPgrpwise/Database%2007-0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Inputs"/>
      <sheetName val="Register of Opportunities"/>
      <sheetName val="Example"/>
      <sheetName val="Version"/>
    </sheetNames>
    <sheetDataSet>
      <sheetData sheetId="0"/>
      <sheetData sheetId="1">
        <row r="5">
          <cell r="S5" t="str">
            <v>Electricity</v>
          </cell>
          <cell r="V5" t="str">
            <v>Electricity</v>
          </cell>
          <cell r="W5" t="str">
            <v>No / Low</v>
          </cell>
          <cell r="X5" t="str">
            <v>Electrical</v>
          </cell>
          <cell r="Y5" t="str">
            <v>Under Consideration</v>
          </cell>
          <cell r="Z5" t="str">
            <v>Organisational</v>
          </cell>
          <cell r="AA5" t="str">
            <v>Low (no downtime)</v>
          </cell>
          <cell r="AB5" t="str">
            <v>Many</v>
          </cell>
        </row>
        <row r="6">
          <cell r="V6" t="str">
            <v>Natural Gas</v>
          </cell>
          <cell r="W6" t="str">
            <v>Medium</v>
          </cell>
          <cell r="X6" t="str">
            <v>Thermal</v>
          </cell>
          <cell r="Y6" t="str">
            <v>Abandoned</v>
          </cell>
          <cell r="Z6" t="str">
            <v>Technical</v>
          </cell>
          <cell r="AA6" t="str">
            <v>N/a</v>
          </cell>
          <cell r="AB6" t="str">
            <v>N/a</v>
          </cell>
        </row>
        <row r="7">
          <cell r="V7" t="str">
            <v>LPG</v>
          </cell>
          <cell r="W7" t="str">
            <v>High</v>
          </cell>
          <cell r="X7" t="str">
            <v>Fleet</v>
          </cell>
          <cell r="Y7" t="str">
            <v>Planned but not Started</v>
          </cell>
          <cell r="Z7" t="str">
            <v>People</v>
          </cell>
          <cell r="AA7" t="str">
            <v>Medium (some downtime)</v>
          </cell>
          <cell r="AB7" t="str">
            <v>Some</v>
          </cell>
        </row>
        <row r="8">
          <cell r="V8" t="str">
            <v>Oil</v>
          </cell>
          <cell r="X8" t="str">
            <v>Combination</v>
          </cell>
          <cell r="Y8" t="str">
            <v>In Progress</v>
          </cell>
          <cell r="AA8" t="str">
            <v>N/a</v>
          </cell>
          <cell r="AB8" t="str">
            <v>N/a</v>
          </cell>
        </row>
        <row r="9">
          <cell r="V9" t="str">
            <v>Transport Fuels</v>
          </cell>
          <cell r="Y9" t="str">
            <v>Complete</v>
          </cell>
          <cell r="AA9" t="str">
            <v>High (allot of downtime)</v>
          </cell>
          <cell r="AB9" t="str">
            <v>Few</v>
          </cell>
        </row>
        <row r="10">
          <cell r="V10" t="str">
            <v>Other</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E Codes (Subset)"/>
      <sheetName val="LIEN Sites 2004"/>
      <sheetName val="Source Table"/>
      <sheetName val="Questions"/>
      <sheetName val="Industry"/>
      <sheetName val="Geography"/>
      <sheetName val="Sources"/>
      <sheetName val="Data Quality"/>
    </sheetNames>
    <sheetDataSet>
      <sheetData sheetId="0"/>
      <sheetData sheetId="1"/>
      <sheetData sheetId="2"/>
      <sheetData sheetId="3"/>
      <sheetData sheetId="4"/>
      <sheetData sheetId="5"/>
      <sheetData sheetId="6">
        <row r="2">
          <cell r="F2" t="str">
            <v>Data Source</v>
          </cell>
          <cell r="H2" t="str">
            <v>Comment</v>
          </cell>
        </row>
        <row r="3">
          <cell r="F3" t="str">
            <v>ESB (Retail Market Design Service)</v>
          </cell>
          <cell r="H3" t="str">
            <v>No Comment!</v>
          </cell>
        </row>
        <row r="4">
          <cell r="F4" t="str">
            <v>EU ETS 2005 CO2 Emissions (EPA)</v>
          </cell>
          <cell r="H4"/>
        </row>
        <row r="5">
          <cell r="F5" t="str">
            <v>GPRO Eligible Customer List (BGÉ)</v>
          </cell>
          <cell r="H5"/>
        </row>
        <row r="6">
          <cell r="F6" t="str">
            <v>LIEN 2004 Primary Energy Breakdown (SEI)</v>
          </cell>
          <cell r="H6"/>
        </row>
        <row r="7">
          <cell r="F7"/>
          <cell r="H7"/>
        </row>
        <row r="8">
          <cell r="F8"/>
          <cell r="H8"/>
        </row>
        <row r="9">
          <cell r="F9"/>
          <cell r="H9"/>
        </row>
        <row r="10">
          <cell r="F10"/>
          <cell r="H10"/>
        </row>
        <row r="11">
          <cell r="F11"/>
          <cell r="H11"/>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ai.ie/Your_Business/" TargetMode="External"/><Relationship Id="rId2" Type="http://schemas.openxmlformats.org/officeDocument/2006/relationships/hyperlink" Target="http://www.seai.ie/Your_Business/Public_Sector/Public_Sector_Programme/Obligations_and_Targets/Obligations_and_Targets.html" TargetMode="External"/><Relationship Id="rId1" Type="http://schemas.openxmlformats.org/officeDocument/2006/relationships/hyperlink" Target="http://www.seai.ie/energyma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crewfix.com/p/philips-gu10-led-warmglow-glass-reflector-light-bulb-240lm-650cd-3-5w/3754p" TargetMode="External"/><Relationship Id="rId1" Type="http://schemas.openxmlformats.org/officeDocument/2006/relationships/hyperlink" Target="http://www.ledkia.com/uk/buy-t8-led-tubes/1355-1500mm-5ft-24w-t8-led-tube-with-one-side-power.html?gclid=CjwKCAjwtdbLBRALEiwAm8pA5RLG14qNk-xUOj84tUyES5gL01Q3jXYJ11pxH1JSLiTXwKXtnVj96hoCiAYQAvD_BwE"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M41"/>
  <sheetViews>
    <sheetView showGridLines="0" workbookViewId="0">
      <selection activeCell="Q23" sqref="Q23"/>
    </sheetView>
  </sheetViews>
  <sheetFormatPr defaultRowHeight="12.3" x14ac:dyDescent="0.4"/>
  <cols>
    <col min="1" max="2" width="1.44140625" style="1" customWidth="1"/>
    <col min="3" max="3" width="3.27734375" style="1" customWidth="1"/>
    <col min="4" max="4" width="20.44140625" style="1" customWidth="1"/>
    <col min="5" max="11" width="11.83203125" style="1" customWidth="1"/>
    <col min="12" max="12" width="1.44140625" style="1" customWidth="1"/>
    <col min="13" max="256" width="9.1640625" style="1"/>
    <col min="257" max="258" width="1.44140625" style="1" customWidth="1"/>
    <col min="259" max="259" width="3.27734375" style="1" customWidth="1"/>
    <col min="260" max="260" width="20.44140625" style="1" customWidth="1"/>
    <col min="261" max="267" width="11.83203125" style="1" customWidth="1"/>
    <col min="268" max="268" width="1.44140625" style="1" customWidth="1"/>
    <col min="269" max="512" width="9.1640625" style="1"/>
    <col min="513" max="514" width="1.44140625" style="1" customWidth="1"/>
    <col min="515" max="515" width="3.27734375" style="1" customWidth="1"/>
    <col min="516" max="516" width="20.44140625" style="1" customWidth="1"/>
    <col min="517" max="523" width="11.83203125" style="1" customWidth="1"/>
    <col min="524" max="524" width="1.44140625" style="1" customWidth="1"/>
    <col min="525" max="768" width="9.1640625" style="1"/>
    <col min="769" max="770" width="1.44140625" style="1" customWidth="1"/>
    <col min="771" max="771" width="3.27734375" style="1" customWidth="1"/>
    <col min="772" max="772" width="20.44140625" style="1" customWidth="1"/>
    <col min="773" max="779" width="11.83203125" style="1" customWidth="1"/>
    <col min="780" max="780" width="1.44140625" style="1" customWidth="1"/>
    <col min="781" max="1024" width="9.1640625" style="1"/>
    <col min="1025" max="1026" width="1.44140625" style="1" customWidth="1"/>
    <col min="1027" max="1027" width="3.27734375" style="1" customWidth="1"/>
    <col min="1028" max="1028" width="20.44140625" style="1" customWidth="1"/>
    <col min="1029" max="1035" width="11.83203125" style="1" customWidth="1"/>
    <col min="1036" max="1036" width="1.44140625" style="1" customWidth="1"/>
    <col min="1037" max="1280" width="9.1640625" style="1"/>
    <col min="1281" max="1282" width="1.44140625" style="1" customWidth="1"/>
    <col min="1283" max="1283" width="3.27734375" style="1" customWidth="1"/>
    <col min="1284" max="1284" width="20.44140625" style="1" customWidth="1"/>
    <col min="1285" max="1291" width="11.83203125" style="1" customWidth="1"/>
    <col min="1292" max="1292" width="1.44140625" style="1" customWidth="1"/>
    <col min="1293" max="1536" width="9.1640625" style="1"/>
    <col min="1537" max="1538" width="1.44140625" style="1" customWidth="1"/>
    <col min="1539" max="1539" width="3.27734375" style="1" customWidth="1"/>
    <col min="1540" max="1540" width="20.44140625" style="1" customWidth="1"/>
    <col min="1541" max="1547" width="11.83203125" style="1" customWidth="1"/>
    <col min="1548" max="1548" width="1.44140625" style="1" customWidth="1"/>
    <col min="1549" max="1792" width="9.1640625" style="1"/>
    <col min="1793" max="1794" width="1.44140625" style="1" customWidth="1"/>
    <col min="1795" max="1795" width="3.27734375" style="1" customWidth="1"/>
    <col min="1796" max="1796" width="20.44140625" style="1" customWidth="1"/>
    <col min="1797" max="1803" width="11.83203125" style="1" customWidth="1"/>
    <col min="1804" max="1804" width="1.44140625" style="1" customWidth="1"/>
    <col min="1805" max="2048" width="9.1640625" style="1"/>
    <col min="2049" max="2050" width="1.44140625" style="1" customWidth="1"/>
    <col min="2051" max="2051" width="3.27734375" style="1" customWidth="1"/>
    <col min="2052" max="2052" width="20.44140625" style="1" customWidth="1"/>
    <col min="2053" max="2059" width="11.83203125" style="1" customWidth="1"/>
    <col min="2060" max="2060" width="1.44140625" style="1" customWidth="1"/>
    <col min="2061" max="2304" width="9.1640625" style="1"/>
    <col min="2305" max="2306" width="1.44140625" style="1" customWidth="1"/>
    <col min="2307" max="2307" width="3.27734375" style="1" customWidth="1"/>
    <col min="2308" max="2308" width="20.44140625" style="1" customWidth="1"/>
    <col min="2309" max="2315" width="11.83203125" style="1" customWidth="1"/>
    <col min="2316" max="2316" width="1.44140625" style="1" customWidth="1"/>
    <col min="2317" max="2560" width="9.1640625" style="1"/>
    <col min="2561" max="2562" width="1.44140625" style="1" customWidth="1"/>
    <col min="2563" max="2563" width="3.27734375" style="1" customWidth="1"/>
    <col min="2564" max="2564" width="20.44140625" style="1" customWidth="1"/>
    <col min="2565" max="2571" width="11.83203125" style="1" customWidth="1"/>
    <col min="2572" max="2572" width="1.44140625" style="1" customWidth="1"/>
    <col min="2573" max="2816" width="9.1640625" style="1"/>
    <col min="2817" max="2818" width="1.44140625" style="1" customWidth="1"/>
    <col min="2819" max="2819" width="3.27734375" style="1" customWidth="1"/>
    <col min="2820" max="2820" width="20.44140625" style="1" customWidth="1"/>
    <col min="2821" max="2827" width="11.83203125" style="1" customWidth="1"/>
    <col min="2828" max="2828" width="1.44140625" style="1" customWidth="1"/>
    <col min="2829" max="3072" width="9.1640625" style="1"/>
    <col min="3073" max="3074" width="1.44140625" style="1" customWidth="1"/>
    <col min="3075" max="3075" width="3.27734375" style="1" customWidth="1"/>
    <col min="3076" max="3076" width="20.44140625" style="1" customWidth="1"/>
    <col min="3077" max="3083" width="11.83203125" style="1" customWidth="1"/>
    <col min="3084" max="3084" width="1.44140625" style="1" customWidth="1"/>
    <col min="3085" max="3328" width="9.1640625" style="1"/>
    <col min="3329" max="3330" width="1.44140625" style="1" customWidth="1"/>
    <col min="3331" max="3331" width="3.27734375" style="1" customWidth="1"/>
    <col min="3332" max="3332" width="20.44140625" style="1" customWidth="1"/>
    <col min="3333" max="3339" width="11.83203125" style="1" customWidth="1"/>
    <col min="3340" max="3340" width="1.44140625" style="1" customWidth="1"/>
    <col min="3341" max="3584" width="9.1640625" style="1"/>
    <col min="3585" max="3586" width="1.44140625" style="1" customWidth="1"/>
    <col min="3587" max="3587" width="3.27734375" style="1" customWidth="1"/>
    <col min="3588" max="3588" width="20.44140625" style="1" customWidth="1"/>
    <col min="3589" max="3595" width="11.83203125" style="1" customWidth="1"/>
    <col min="3596" max="3596" width="1.44140625" style="1" customWidth="1"/>
    <col min="3597" max="3840" width="9.1640625" style="1"/>
    <col min="3841" max="3842" width="1.44140625" style="1" customWidth="1"/>
    <col min="3843" max="3843" width="3.27734375" style="1" customWidth="1"/>
    <col min="3844" max="3844" width="20.44140625" style="1" customWidth="1"/>
    <col min="3845" max="3851" width="11.83203125" style="1" customWidth="1"/>
    <col min="3852" max="3852" width="1.44140625" style="1" customWidth="1"/>
    <col min="3853" max="4096" width="9.1640625" style="1"/>
    <col min="4097" max="4098" width="1.44140625" style="1" customWidth="1"/>
    <col min="4099" max="4099" width="3.27734375" style="1" customWidth="1"/>
    <col min="4100" max="4100" width="20.44140625" style="1" customWidth="1"/>
    <col min="4101" max="4107" width="11.83203125" style="1" customWidth="1"/>
    <col min="4108" max="4108" width="1.44140625" style="1" customWidth="1"/>
    <col min="4109" max="4352" width="9.1640625" style="1"/>
    <col min="4353" max="4354" width="1.44140625" style="1" customWidth="1"/>
    <col min="4355" max="4355" width="3.27734375" style="1" customWidth="1"/>
    <col min="4356" max="4356" width="20.44140625" style="1" customWidth="1"/>
    <col min="4357" max="4363" width="11.83203125" style="1" customWidth="1"/>
    <col min="4364" max="4364" width="1.44140625" style="1" customWidth="1"/>
    <col min="4365" max="4608" width="9.1640625" style="1"/>
    <col min="4609" max="4610" width="1.44140625" style="1" customWidth="1"/>
    <col min="4611" max="4611" width="3.27734375" style="1" customWidth="1"/>
    <col min="4612" max="4612" width="20.44140625" style="1" customWidth="1"/>
    <col min="4613" max="4619" width="11.83203125" style="1" customWidth="1"/>
    <col min="4620" max="4620" width="1.44140625" style="1" customWidth="1"/>
    <col min="4621" max="4864" width="9.1640625" style="1"/>
    <col min="4865" max="4866" width="1.44140625" style="1" customWidth="1"/>
    <col min="4867" max="4867" width="3.27734375" style="1" customWidth="1"/>
    <col min="4868" max="4868" width="20.44140625" style="1" customWidth="1"/>
    <col min="4869" max="4875" width="11.83203125" style="1" customWidth="1"/>
    <col min="4876" max="4876" width="1.44140625" style="1" customWidth="1"/>
    <col min="4877" max="5120" width="9.1640625" style="1"/>
    <col min="5121" max="5122" width="1.44140625" style="1" customWidth="1"/>
    <col min="5123" max="5123" width="3.27734375" style="1" customWidth="1"/>
    <col min="5124" max="5124" width="20.44140625" style="1" customWidth="1"/>
    <col min="5125" max="5131" width="11.83203125" style="1" customWidth="1"/>
    <col min="5132" max="5132" width="1.44140625" style="1" customWidth="1"/>
    <col min="5133" max="5376" width="9.1640625" style="1"/>
    <col min="5377" max="5378" width="1.44140625" style="1" customWidth="1"/>
    <col min="5379" max="5379" width="3.27734375" style="1" customWidth="1"/>
    <col min="5380" max="5380" width="20.44140625" style="1" customWidth="1"/>
    <col min="5381" max="5387" width="11.83203125" style="1" customWidth="1"/>
    <col min="5388" max="5388" width="1.44140625" style="1" customWidth="1"/>
    <col min="5389" max="5632" width="9.1640625" style="1"/>
    <col min="5633" max="5634" width="1.44140625" style="1" customWidth="1"/>
    <col min="5635" max="5635" width="3.27734375" style="1" customWidth="1"/>
    <col min="5636" max="5636" width="20.44140625" style="1" customWidth="1"/>
    <col min="5637" max="5643" width="11.83203125" style="1" customWidth="1"/>
    <col min="5644" max="5644" width="1.44140625" style="1" customWidth="1"/>
    <col min="5645" max="5888" width="9.1640625" style="1"/>
    <col min="5889" max="5890" width="1.44140625" style="1" customWidth="1"/>
    <col min="5891" max="5891" width="3.27734375" style="1" customWidth="1"/>
    <col min="5892" max="5892" width="20.44140625" style="1" customWidth="1"/>
    <col min="5893" max="5899" width="11.83203125" style="1" customWidth="1"/>
    <col min="5900" max="5900" width="1.44140625" style="1" customWidth="1"/>
    <col min="5901" max="6144" width="9.1640625" style="1"/>
    <col min="6145" max="6146" width="1.44140625" style="1" customWidth="1"/>
    <col min="6147" max="6147" width="3.27734375" style="1" customWidth="1"/>
    <col min="6148" max="6148" width="20.44140625" style="1" customWidth="1"/>
    <col min="6149" max="6155" width="11.83203125" style="1" customWidth="1"/>
    <col min="6156" max="6156" width="1.44140625" style="1" customWidth="1"/>
    <col min="6157" max="6400" width="9.1640625" style="1"/>
    <col min="6401" max="6402" width="1.44140625" style="1" customWidth="1"/>
    <col min="6403" max="6403" width="3.27734375" style="1" customWidth="1"/>
    <col min="6404" max="6404" width="20.44140625" style="1" customWidth="1"/>
    <col min="6405" max="6411" width="11.83203125" style="1" customWidth="1"/>
    <col min="6412" max="6412" width="1.44140625" style="1" customWidth="1"/>
    <col min="6413" max="6656" width="9.1640625" style="1"/>
    <col min="6657" max="6658" width="1.44140625" style="1" customWidth="1"/>
    <col min="6659" max="6659" width="3.27734375" style="1" customWidth="1"/>
    <col min="6660" max="6660" width="20.44140625" style="1" customWidth="1"/>
    <col min="6661" max="6667" width="11.83203125" style="1" customWidth="1"/>
    <col min="6668" max="6668" width="1.44140625" style="1" customWidth="1"/>
    <col min="6669" max="6912" width="9.1640625" style="1"/>
    <col min="6913" max="6914" width="1.44140625" style="1" customWidth="1"/>
    <col min="6915" max="6915" width="3.27734375" style="1" customWidth="1"/>
    <col min="6916" max="6916" width="20.44140625" style="1" customWidth="1"/>
    <col min="6917" max="6923" width="11.83203125" style="1" customWidth="1"/>
    <col min="6924" max="6924" width="1.44140625" style="1" customWidth="1"/>
    <col min="6925" max="7168" width="9.1640625" style="1"/>
    <col min="7169" max="7170" width="1.44140625" style="1" customWidth="1"/>
    <col min="7171" max="7171" width="3.27734375" style="1" customWidth="1"/>
    <col min="7172" max="7172" width="20.44140625" style="1" customWidth="1"/>
    <col min="7173" max="7179" width="11.83203125" style="1" customWidth="1"/>
    <col min="7180" max="7180" width="1.44140625" style="1" customWidth="1"/>
    <col min="7181" max="7424" width="9.1640625" style="1"/>
    <col min="7425" max="7426" width="1.44140625" style="1" customWidth="1"/>
    <col min="7427" max="7427" width="3.27734375" style="1" customWidth="1"/>
    <col min="7428" max="7428" width="20.44140625" style="1" customWidth="1"/>
    <col min="7429" max="7435" width="11.83203125" style="1" customWidth="1"/>
    <col min="7436" max="7436" width="1.44140625" style="1" customWidth="1"/>
    <col min="7437" max="7680" width="9.1640625" style="1"/>
    <col min="7681" max="7682" width="1.44140625" style="1" customWidth="1"/>
    <col min="7683" max="7683" width="3.27734375" style="1" customWidth="1"/>
    <col min="7684" max="7684" width="20.44140625" style="1" customWidth="1"/>
    <col min="7685" max="7691" width="11.83203125" style="1" customWidth="1"/>
    <col min="7692" max="7692" width="1.44140625" style="1" customWidth="1"/>
    <col min="7693" max="7936" width="9.1640625" style="1"/>
    <col min="7937" max="7938" width="1.44140625" style="1" customWidth="1"/>
    <col min="7939" max="7939" width="3.27734375" style="1" customWidth="1"/>
    <col min="7940" max="7940" width="20.44140625" style="1" customWidth="1"/>
    <col min="7941" max="7947" width="11.83203125" style="1" customWidth="1"/>
    <col min="7948" max="7948" width="1.44140625" style="1" customWidth="1"/>
    <col min="7949" max="8192" width="9.1640625" style="1"/>
    <col min="8193" max="8194" width="1.44140625" style="1" customWidth="1"/>
    <col min="8195" max="8195" width="3.27734375" style="1" customWidth="1"/>
    <col min="8196" max="8196" width="20.44140625" style="1" customWidth="1"/>
    <col min="8197" max="8203" width="11.83203125" style="1" customWidth="1"/>
    <col min="8204" max="8204" width="1.44140625" style="1" customWidth="1"/>
    <col min="8205" max="8448" width="9.1640625" style="1"/>
    <col min="8449" max="8450" width="1.44140625" style="1" customWidth="1"/>
    <col min="8451" max="8451" width="3.27734375" style="1" customWidth="1"/>
    <col min="8452" max="8452" width="20.44140625" style="1" customWidth="1"/>
    <col min="8453" max="8459" width="11.83203125" style="1" customWidth="1"/>
    <col min="8460" max="8460" width="1.44140625" style="1" customWidth="1"/>
    <col min="8461" max="8704" width="9.1640625" style="1"/>
    <col min="8705" max="8706" width="1.44140625" style="1" customWidth="1"/>
    <col min="8707" max="8707" width="3.27734375" style="1" customWidth="1"/>
    <col min="8708" max="8708" width="20.44140625" style="1" customWidth="1"/>
    <col min="8709" max="8715" width="11.83203125" style="1" customWidth="1"/>
    <col min="8716" max="8716" width="1.44140625" style="1" customWidth="1"/>
    <col min="8717" max="8960" width="9.1640625" style="1"/>
    <col min="8961" max="8962" width="1.44140625" style="1" customWidth="1"/>
    <col min="8963" max="8963" width="3.27734375" style="1" customWidth="1"/>
    <col min="8964" max="8964" width="20.44140625" style="1" customWidth="1"/>
    <col min="8965" max="8971" width="11.83203125" style="1" customWidth="1"/>
    <col min="8972" max="8972" width="1.44140625" style="1" customWidth="1"/>
    <col min="8973" max="9216" width="9.1640625" style="1"/>
    <col min="9217" max="9218" width="1.44140625" style="1" customWidth="1"/>
    <col min="9219" max="9219" width="3.27734375" style="1" customWidth="1"/>
    <col min="9220" max="9220" width="20.44140625" style="1" customWidth="1"/>
    <col min="9221" max="9227" width="11.83203125" style="1" customWidth="1"/>
    <col min="9228" max="9228" width="1.44140625" style="1" customWidth="1"/>
    <col min="9229" max="9472" width="9.1640625" style="1"/>
    <col min="9473" max="9474" width="1.44140625" style="1" customWidth="1"/>
    <col min="9475" max="9475" width="3.27734375" style="1" customWidth="1"/>
    <col min="9476" max="9476" width="20.44140625" style="1" customWidth="1"/>
    <col min="9477" max="9483" width="11.83203125" style="1" customWidth="1"/>
    <col min="9484" max="9484" width="1.44140625" style="1" customWidth="1"/>
    <col min="9485" max="9728" width="9.1640625" style="1"/>
    <col min="9729" max="9730" width="1.44140625" style="1" customWidth="1"/>
    <col min="9731" max="9731" width="3.27734375" style="1" customWidth="1"/>
    <col min="9732" max="9732" width="20.44140625" style="1" customWidth="1"/>
    <col min="9733" max="9739" width="11.83203125" style="1" customWidth="1"/>
    <col min="9740" max="9740" width="1.44140625" style="1" customWidth="1"/>
    <col min="9741" max="9984" width="9.1640625" style="1"/>
    <col min="9985" max="9986" width="1.44140625" style="1" customWidth="1"/>
    <col min="9987" max="9987" width="3.27734375" style="1" customWidth="1"/>
    <col min="9988" max="9988" width="20.44140625" style="1" customWidth="1"/>
    <col min="9989" max="9995" width="11.83203125" style="1" customWidth="1"/>
    <col min="9996" max="9996" width="1.44140625" style="1" customWidth="1"/>
    <col min="9997" max="10240" width="9.1640625" style="1"/>
    <col min="10241" max="10242" width="1.44140625" style="1" customWidth="1"/>
    <col min="10243" max="10243" width="3.27734375" style="1" customWidth="1"/>
    <col min="10244" max="10244" width="20.44140625" style="1" customWidth="1"/>
    <col min="10245" max="10251" width="11.83203125" style="1" customWidth="1"/>
    <col min="10252" max="10252" width="1.44140625" style="1" customWidth="1"/>
    <col min="10253" max="10496" width="9.1640625" style="1"/>
    <col min="10497" max="10498" width="1.44140625" style="1" customWidth="1"/>
    <col min="10499" max="10499" width="3.27734375" style="1" customWidth="1"/>
    <col min="10500" max="10500" width="20.44140625" style="1" customWidth="1"/>
    <col min="10501" max="10507" width="11.83203125" style="1" customWidth="1"/>
    <col min="10508" max="10508" width="1.44140625" style="1" customWidth="1"/>
    <col min="10509" max="10752" width="9.1640625" style="1"/>
    <col min="10753" max="10754" width="1.44140625" style="1" customWidth="1"/>
    <col min="10755" max="10755" width="3.27734375" style="1" customWidth="1"/>
    <col min="10756" max="10756" width="20.44140625" style="1" customWidth="1"/>
    <col min="10757" max="10763" width="11.83203125" style="1" customWidth="1"/>
    <col min="10764" max="10764" width="1.44140625" style="1" customWidth="1"/>
    <col min="10765" max="11008" width="9.1640625" style="1"/>
    <col min="11009" max="11010" width="1.44140625" style="1" customWidth="1"/>
    <col min="11011" max="11011" width="3.27734375" style="1" customWidth="1"/>
    <col min="11012" max="11012" width="20.44140625" style="1" customWidth="1"/>
    <col min="11013" max="11019" width="11.83203125" style="1" customWidth="1"/>
    <col min="11020" max="11020" width="1.44140625" style="1" customWidth="1"/>
    <col min="11021" max="11264" width="9.1640625" style="1"/>
    <col min="11265" max="11266" width="1.44140625" style="1" customWidth="1"/>
    <col min="11267" max="11267" width="3.27734375" style="1" customWidth="1"/>
    <col min="11268" max="11268" width="20.44140625" style="1" customWidth="1"/>
    <col min="11269" max="11275" width="11.83203125" style="1" customWidth="1"/>
    <col min="11276" max="11276" width="1.44140625" style="1" customWidth="1"/>
    <col min="11277" max="11520" width="9.1640625" style="1"/>
    <col min="11521" max="11522" width="1.44140625" style="1" customWidth="1"/>
    <col min="11523" max="11523" width="3.27734375" style="1" customWidth="1"/>
    <col min="11524" max="11524" width="20.44140625" style="1" customWidth="1"/>
    <col min="11525" max="11531" width="11.83203125" style="1" customWidth="1"/>
    <col min="11532" max="11532" width="1.44140625" style="1" customWidth="1"/>
    <col min="11533" max="11776" width="9.1640625" style="1"/>
    <col min="11777" max="11778" width="1.44140625" style="1" customWidth="1"/>
    <col min="11779" max="11779" width="3.27734375" style="1" customWidth="1"/>
    <col min="11780" max="11780" width="20.44140625" style="1" customWidth="1"/>
    <col min="11781" max="11787" width="11.83203125" style="1" customWidth="1"/>
    <col min="11788" max="11788" width="1.44140625" style="1" customWidth="1"/>
    <col min="11789" max="12032" width="9.1640625" style="1"/>
    <col min="12033" max="12034" width="1.44140625" style="1" customWidth="1"/>
    <col min="12035" max="12035" width="3.27734375" style="1" customWidth="1"/>
    <col min="12036" max="12036" width="20.44140625" style="1" customWidth="1"/>
    <col min="12037" max="12043" width="11.83203125" style="1" customWidth="1"/>
    <col min="12044" max="12044" width="1.44140625" style="1" customWidth="1"/>
    <col min="12045" max="12288" width="9.1640625" style="1"/>
    <col min="12289" max="12290" width="1.44140625" style="1" customWidth="1"/>
    <col min="12291" max="12291" width="3.27734375" style="1" customWidth="1"/>
    <col min="12292" max="12292" width="20.44140625" style="1" customWidth="1"/>
    <col min="12293" max="12299" width="11.83203125" style="1" customWidth="1"/>
    <col min="12300" max="12300" width="1.44140625" style="1" customWidth="1"/>
    <col min="12301" max="12544" width="9.1640625" style="1"/>
    <col min="12545" max="12546" width="1.44140625" style="1" customWidth="1"/>
    <col min="12547" max="12547" width="3.27734375" style="1" customWidth="1"/>
    <col min="12548" max="12548" width="20.44140625" style="1" customWidth="1"/>
    <col min="12549" max="12555" width="11.83203125" style="1" customWidth="1"/>
    <col min="12556" max="12556" width="1.44140625" style="1" customWidth="1"/>
    <col min="12557" max="12800" width="9.1640625" style="1"/>
    <col min="12801" max="12802" width="1.44140625" style="1" customWidth="1"/>
    <col min="12803" max="12803" width="3.27734375" style="1" customWidth="1"/>
    <col min="12804" max="12804" width="20.44140625" style="1" customWidth="1"/>
    <col min="12805" max="12811" width="11.83203125" style="1" customWidth="1"/>
    <col min="12812" max="12812" width="1.44140625" style="1" customWidth="1"/>
    <col min="12813" max="13056" width="9.1640625" style="1"/>
    <col min="13057" max="13058" width="1.44140625" style="1" customWidth="1"/>
    <col min="13059" max="13059" width="3.27734375" style="1" customWidth="1"/>
    <col min="13060" max="13060" width="20.44140625" style="1" customWidth="1"/>
    <col min="13061" max="13067" width="11.83203125" style="1" customWidth="1"/>
    <col min="13068" max="13068" width="1.44140625" style="1" customWidth="1"/>
    <col min="13069" max="13312" width="9.1640625" style="1"/>
    <col min="13313" max="13314" width="1.44140625" style="1" customWidth="1"/>
    <col min="13315" max="13315" width="3.27734375" style="1" customWidth="1"/>
    <col min="13316" max="13316" width="20.44140625" style="1" customWidth="1"/>
    <col min="13317" max="13323" width="11.83203125" style="1" customWidth="1"/>
    <col min="13324" max="13324" width="1.44140625" style="1" customWidth="1"/>
    <col min="13325" max="13568" width="9.1640625" style="1"/>
    <col min="13569" max="13570" width="1.44140625" style="1" customWidth="1"/>
    <col min="13571" max="13571" width="3.27734375" style="1" customWidth="1"/>
    <col min="13572" max="13572" width="20.44140625" style="1" customWidth="1"/>
    <col min="13573" max="13579" width="11.83203125" style="1" customWidth="1"/>
    <col min="13580" max="13580" width="1.44140625" style="1" customWidth="1"/>
    <col min="13581" max="13824" width="9.1640625" style="1"/>
    <col min="13825" max="13826" width="1.44140625" style="1" customWidth="1"/>
    <col min="13827" max="13827" width="3.27734375" style="1" customWidth="1"/>
    <col min="13828" max="13828" width="20.44140625" style="1" customWidth="1"/>
    <col min="13829" max="13835" width="11.83203125" style="1" customWidth="1"/>
    <col min="13836" max="13836" width="1.44140625" style="1" customWidth="1"/>
    <col min="13837" max="14080" width="9.1640625" style="1"/>
    <col min="14081" max="14082" width="1.44140625" style="1" customWidth="1"/>
    <col min="14083" max="14083" width="3.27734375" style="1" customWidth="1"/>
    <col min="14084" max="14084" width="20.44140625" style="1" customWidth="1"/>
    <col min="14085" max="14091" width="11.83203125" style="1" customWidth="1"/>
    <col min="14092" max="14092" width="1.44140625" style="1" customWidth="1"/>
    <col min="14093" max="14336" width="9.1640625" style="1"/>
    <col min="14337" max="14338" width="1.44140625" style="1" customWidth="1"/>
    <col min="14339" max="14339" width="3.27734375" style="1" customWidth="1"/>
    <col min="14340" max="14340" width="20.44140625" style="1" customWidth="1"/>
    <col min="14341" max="14347" width="11.83203125" style="1" customWidth="1"/>
    <col min="14348" max="14348" width="1.44140625" style="1" customWidth="1"/>
    <col min="14349" max="14592" width="9.1640625" style="1"/>
    <col min="14593" max="14594" width="1.44140625" style="1" customWidth="1"/>
    <col min="14595" max="14595" width="3.27734375" style="1" customWidth="1"/>
    <col min="14596" max="14596" width="20.44140625" style="1" customWidth="1"/>
    <col min="14597" max="14603" width="11.83203125" style="1" customWidth="1"/>
    <col min="14604" max="14604" width="1.44140625" style="1" customWidth="1"/>
    <col min="14605" max="14848" width="9.1640625" style="1"/>
    <col min="14849" max="14850" width="1.44140625" style="1" customWidth="1"/>
    <col min="14851" max="14851" width="3.27734375" style="1" customWidth="1"/>
    <col min="14852" max="14852" width="20.44140625" style="1" customWidth="1"/>
    <col min="14853" max="14859" width="11.83203125" style="1" customWidth="1"/>
    <col min="14860" max="14860" width="1.44140625" style="1" customWidth="1"/>
    <col min="14861" max="15104" width="9.1640625" style="1"/>
    <col min="15105" max="15106" width="1.44140625" style="1" customWidth="1"/>
    <col min="15107" max="15107" width="3.27734375" style="1" customWidth="1"/>
    <col min="15108" max="15108" width="20.44140625" style="1" customWidth="1"/>
    <col min="15109" max="15115" width="11.83203125" style="1" customWidth="1"/>
    <col min="15116" max="15116" width="1.44140625" style="1" customWidth="1"/>
    <col min="15117" max="15360" width="9.1640625" style="1"/>
    <col min="15361" max="15362" width="1.44140625" style="1" customWidth="1"/>
    <col min="15363" max="15363" width="3.27734375" style="1" customWidth="1"/>
    <col min="15364" max="15364" width="20.44140625" style="1" customWidth="1"/>
    <col min="15365" max="15371" width="11.83203125" style="1" customWidth="1"/>
    <col min="15372" max="15372" width="1.44140625" style="1" customWidth="1"/>
    <col min="15373" max="15616" width="9.1640625" style="1"/>
    <col min="15617" max="15618" width="1.44140625" style="1" customWidth="1"/>
    <col min="15619" max="15619" width="3.27734375" style="1" customWidth="1"/>
    <col min="15620" max="15620" width="20.44140625" style="1" customWidth="1"/>
    <col min="15621" max="15627" width="11.83203125" style="1" customWidth="1"/>
    <col min="15628" max="15628" width="1.44140625" style="1" customWidth="1"/>
    <col min="15629" max="15872" width="9.1640625" style="1"/>
    <col min="15873" max="15874" width="1.44140625" style="1" customWidth="1"/>
    <col min="15875" max="15875" width="3.27734375" style="1" customWidth="1"/>
    <col min="15876" max="15876" width="20.44140625" style="1" customWidth="1"/>
    <col min="15877" max="15883" width="11.83203125" style="1" customWidth="1"/>
    <col min="15884" max="15884" width="1.44140625" style="1" customWidth="1"/>
    <col min="15885" max="16128" width="9.1640625" style="1"/>
    <col min="16129" max="16130" width="1.44140625" style="1" customWidth="1"/>
    <col min="16131" max="16131" width="3.27734375" style="1" customWidth="1"/>
    <col min="16132" max="16132" width="20.44140625" style="1" customWidth="1"/>
    <col min="16133" max="16139" width="11.83203125" style="1" customWidth="1"/>
    <col min="16140" max="16140" width="1.44140625" style="1" customWidth="1"/>
    <col min="16141" max="16384" width="9.1640625" style="1"/>
  </cols>
  <sheetData>
    <row r="1" spans="2:13" ht="3.75" customHeight="1" thickBot="1" x14ac:dyDescent="0.45"/>
    <row r="2" spans="2:13" ht="12.6" thickTop="1" x14ac:dyDescent="0.4">
      <c r="B2" s="2"/>
      <c r="C2" s="3"/>
      <c r="D2" s="3"/>
      <c r="E2" s="3"/>
      <c r="F2" s="3"/>
      <c r="G2" s="3"/>
      <c r="H2" s="3"/>
      <c r="I2" s="3"/>
      <c r="J2" s="3"/>
      <c r="K2" s="3"/>
      <c r="L2" s="4"/>
    </row>
    <row r="3" spans="2:13" x14ac:dyDescent="0.4">
      <c r="B3" s="5"/>
      <c r="C3" s="6"/>
      <c r="D3" s="6"/>
      <c r="E3" s="6"/>
      <c r="F3" s="6"/>
      <c r="G3" s="6"/>
      <c r="H3" s="6"/>
      <c r="I3" s="6"/>
      <c r="J3" s="6"/>
      <c r="K3" s="6"/>
      <c r="L3" s="7"/>
    </row>
    <row r="4" spans="2:13" x14ac:dyDescent="0.4">
      <c r="B4" s="5"/>
      <c r="C4" s="6"/>
      <c r="D4" s="6"/>
      <c r="E4" s="6"/>
      <c r="F4" s="6"/>
      <c r="G4" s="6"/>
      <c r="H4" s="6"/>
      <c r="I4" s="6"/>
      <c r="J4" s="6"/>
      <c r="K4" s="6"/>
      <c r="L4" s="7"/>
    </row>
    <row r="5" spans="2:13" x14ac:dyDescent="0.4">
      <c r="B5" s="5"/>
      <c r="C5" s="6"/>
      <c r="D5" s="6"/>
      <c r="E5" s="6"/>
      <c r="F5" s="6"/>
      <c r="G5" s="6"/>
      <c r="H5" s="6"/>
      <c r="I5" s="6"/>
      <c r="J5" s="6"/>
      <c r="K5" s="6"/>
      <c r="L5" s="7"/>
    </row>
    <row r="6" spans="2:13" x14ac:dyDescent="0.4">
      <c r="B6" s="5"/>
      <c r="C6" s="6"/>
      <c r="D6" s="6"/>
      <c r="E6" s="6"/>
      <c r="F6" s="6"/>
      <c r="G6" s="6"/>
      <c r="H6" s="6"/>
      <c r="I6" s="6"/>
      <c r="J6" s="6"/>
      <c r="K6" s="6"/>
      <c r="L6" s="7"/>
    </row>
    <row r="7" spans="2:13" x14ac:dyDescent="0.4">
      <c r="B7" s="5"/>
      <c r="C7" s="6"/>
      <c r="D7" s="6"/>
      <c r="E7" s="6"/>
      <c r="F7" s="6"/>
      <c r="G7" s="6"/>
      <c r="H7" s="6"/>
      <c r="I7" s="6"/>
      <c r="J7" s="6"/>
      <c r="K7" s="6"/>
      <c r="L7" s="7"/>
    </row>
    <row r="8" spans="2:13" x14ac:dyDescent="0.4">
      <c r="B8" s="5"/>
      <c r="C8" s="6"/>
      <c r="D8" s="6"/>
      <c r="E8" s="6"/>
      <c r="F8" s="6"/>
      <c r="G8" s="6"/>
      <c r="H8" s="6"/>
      <c r="I8" s="6"/>
      <c r="J8" s="6"/>
      <c r="K8" s="6"/>
      <c r="L8" s="7"/>
    </row>
    <row r="9" spans="2:13" x14ac:dyDescent="0.4">
      <c r="B9" s="5"/>
      <c r="C9" s="6"/>
      <c r="D9" s="6"/>
      <c r="E9" s="6"/>
      <c r="F9" s="6"/>
      <c r="G9" s="6"/>
      <c r="H9" s="6"/>
      <c r="I9" s="6"/>
      <c r="J9" s="6"/>
      <c r="K9" s="6"/>
      <c r="L9" s="7"/>
    </row>
    <row r="10" spans="2:13" ht="21" customHeight="1" x14ac:dyDescent="0.75">
      <c r="B10" s="5"/>
      <c r="C10" s="222" t="s">
        <v>98</v>
      </c>
      <c r="D10" s="222"/>
      <c r="E10" s="222"/>
      <c r="F10" s="222"/>
      <c r="G10" s="222"/>
      <c r="H10" s="222"/>
      <c r="I10" s="222"/>
      <c r="J10" s="222"/>
      <c r="K10" s="222"/>
      <c r="L10" s="7"/>
    </row>
    <row r="11" spans="2:13" x14ac:dyDescent="0.4">
      <c r="B11" s="5"/>
      <c r="C11" s="6"/>
      <c r="D11" s="6"/>
      <c r="E11" s="6"/>
      <c r="F11" s="6"/>
      <c r="G11" s="6"/>
      <c r="H11" s="6"/>
      <c r="I11" s="6"/>
      <c r="J11" s="6"/>
      <c r="K11" s="6"/>
      <c r="L11" s="7"/>
    </row>
    <row r="12" spans="2:13" ht="21" customHeight="1" x14ac:dyDescent="0.75">
      <c r="B12" s="5"/>
      <c r="C12" s="222" t="s">
        <v>105</v>
      </c>
      <c r="D12" s="222"/>
      <c r="E12" s="222"/>
      <c r="F12" s="222"/>
      <c r="G12" s="222"/>
      <c r="H12" s="222"/>
      <c r="I12" s="222"/>
      <c r="J12" s="222"/>
      <c r="K12" s="222"/>
      <c r="L12" s="7"/>
    </row>
    <row r="13" spans="2:13" ht="12.6" x14ac:dyDescent="0.45">
      <c r="B13" s="5"/>
      <c r="C13" s="6"/>
      <c r="D13" s="6"/>
      <c r="E13" s="6"/>
      <c r="F13" s="6"/>
      <c r="G13" s="6"/>
      <c r="H13" s="6"/>
      <c r="I13" s="6"/>
      <c r="J13" s="6"/>
      <c r="K13" s="181" t="str">
        <f>"Version "&amp;(MAX(Version!A:A))</f>
        <v>Version 3</v>
      </c>
      <c r="L13" s="7"/>
    </row>
    <row r="14" spans="2:13" s="10" customFormat="1" ht="80.25" customHeight="1" x14ac:dyDescent="0.4">
      <c r="B14" s="8"/>
      <c r="C14" s="223" t="s">
        <v>172</v>
      </c>
      <c r="D14" s="224"/>
      <c r="E14" s="224"/>
      <c r="F14" s="224"/>
      <c r="G14" s="224"/>
      <c r="H14" s="224"/>
      <c r="I14" s="224"/>
      <c r="J14" s="224"/>
      <c r="K14" s="224"/>
      <c r="L14" s="9"/>
      <c r="M14" s="1"/>
    </row>
    <row r="15" spans="2:13" ht="6" customHeight="1" x14ac:dyDescent="0.4">
      <c r="B15" s="5"/>
      <c r="C15" s="6"/>
      <c r="D15" s="6"/>
      <c r="E15" s="6"/>
      <c r="F15" s="6"/>
      <c r="G15" s="6"/>
      <c r="H15" s="6"/>
      <c r="I15" s="6"/>
      <c r="J15" s="6"/>
      <c r="K15" s="6"/>
      <c r="L15" s="7"/>
    </row>
    <row r="16" spans="2:13" s="10" customFormat="1" ht="63" customHeight="1" x14ac:dyDescent="0.4">
      <c r="B16" s="8"/>
      <c r="C16" s="223" t="s">
        <v>171</v>
      </c>
      <c r="D16" s="224"/>
      <c r="E16" s="224"/>
      <c r="F16" s="224"/>
      <c r="G16" s="224"/>
      <c r="H16" s="224"/>
      <c r="I16" s="224"/>
      <c r="J16" s="224"/>
      <c r="K16" s="224"/>
      <c r="L16" s="9"/>
      <c r="M16" s="1"/>
    </row>
    <row r="17" spans="2:13" ht="6" customHeight="1" x14ac:dyDescent="0.4">
      <c r="B17" s="5"/>
      <c r="C17" s="6"/>
      <c r="D17" s="6"/>
      <c r="E17" s="6"/>
      <c r="F17" s="6"/>
      <c r="G17" s="6"/>
      <c r="H17" s="6"/>
      <c r="I17" s="6"/>
      <c r="J17" s="6"/>
      <c r="K17" s="6"/>
      <c r="L17" s="7"/>
    </row>
    <row r="18" spans="2:13" s="10" customFormat="1" ht="22.5" customHeight="1" x14ac:dyDescent="0.4">
      <c r="B18" s="8"/>
      <c r="C18" s="11" t="s">
        <v>99</v>
      </c>
      <c r="D18" s="12"/>
      <c r="E18" s="12"/>
      <c r="F18" s="12"/>
      <c r="G18" s="12"/>
      <c r="H18" s="12"/>
      <c r="I18" s="12"/>
      <c r="J18" s="12"/>
      <c r="K18" s="12"/>
      <c r="L18" s="9"/>
      <c r="M18" s="1"/>
    </row>
    <row r="19" spans="2:13" s="10" customFormat="1" ht="19.5" customHeight="1" x14ac:dyDescent="0.4">
      <c r="B19" s="8"/>
      <c r="C19" s="167" t="s">
        <v>5</v>
      </c>
      <c r="D19" s="220" t="s">
        <v>167</v>
      </c>
      <c r="E19" s="220"/>
      <c r="F19" s="220"/>
      <c r="G19" s="220"/>
      <c r="H19" s="220"/>
      <c r="I19" s="220"/>
      <c r="J19" s="220"/>
      <c r="K19" s="220"/>
      <c r="L19" s="9"/>
      <c r="M19" s="1"/>
    </row>
    <row r="20" spans="2:13" s="10" customFormat="1" ht="19.5" customHeight="1" x14ac:dyDescent="0.4">
      <c r="B20" s="8"/>
      <c r="C20" s="167" t="s">
        <v>5</v>
      </c>
      <c r="D20" s="220" t="s">
        <v>168</v>
      </c>
      <c r="E20" s="220"/>
      <c r="F20" s="220"/>
      <c r="G20" s="220"/>
      <c r="H20" s="220"/>
      <c r="I20" s="220"/>
      <c r="J20" s="220"/>
      <c r="K20" s="220"/>
      <c r="L20" s="9"/>
      <c r="M20" s="1"/>
    </row>
    <row r="21" spans="2:13" s="10" customFormat="1" ht="19.5" customHeight="1" x14ac:dyDescent="0.4">
      <c r="B21" s="8"/>
      <c r="C21" s="167" t="s">
        <v>5</v>
      </c>
      <c r="D21" s="220" t="s">
        <v>169</v>
      </c>
      <c r="E21" s="220"/>
      <c r="F21" s="220"/>
      <c r="G21" s="220"/>
      <c r="H21" s="220"/>
      <c r="I21" s="220"/>
      <c r="J21" s="220"/>
      <c r="K21" s="220"/>
      <c r="L21" s="9"/>
      <c r="M21" s="1"/>
    </row>
    <row r="22" spans="2:13" s="10" customFormat="1" ht="19.5" customHeight="1" x14ac:dyDescent="0.4">
      <c r="B22" s="8"/>
      <c r="C22" s="220" t="s">
        <v>170</v>
      </c>
      <c r="D22" s="220"/>
      <c r="E22" s="220"/>
      <c r="F22" s="220"/>
      <c r="G22" s="220"/>
      <c r="H22" s="220"/>
      <c r="I22" s="220"/>
      <c r="J22" s="220"/>
      <c r="K22" s="220"/>
      <c r="L22" s="9"/>
      <c r="M22" s="1"/>
    </row>
    <row r="23" spans="2:13" s="10" customFormat="1" ht="34.5" customHeight="1" x14ac:dyDescent="0.4">
      <c r="B23" s="8"/>
      <c r="C23" s="168" t="s">
        <v>156</v>
      </c>
      <c r="D23" s="220" t="s">
        <v>162</v>
      </c>
      <c r="E23" s="220"/>
      <c r="F23" s="220"/>
      <c r="G23" s="220"/>
      <c r="H23" s="220"/>
      <c r="I23" s="220"/>
      <c r="J23" s="220"/>
      <c r="K23" s="220"/>
      <c r="L23" s="9"/>
      <c r="M23" s="1"/>
    </row>
    <row r="24" spans="2:13" s="10" customFormat="1" ht="19.5" customHeight="1" x14ac:dyDescent="0.4">
      <c r="B24" s="8"/>
      <c r="C24" s="168" t="s">
        <v>156</v>
      </c>
      <c r="D24" s="220" t="s">
        <v>160</v>
      </c>
      <c r="E24" s="220"/>
      <c r="F24" s="220"/>
      <c r="G24" s="220"/>
      <c r="H24" s="220"/>
      <c r="I24" s="220"/>
      <c r="J24" s="220"/>
      <c r="K24" s="220"/>
      <c r="L24" s="9"/>
      <c r="M24" s="1"/>
    </row>
    <row r="25" spans="2:13" s="10" customFormat="1" ht="19.5" customHeight="1" x14ac:dyDescent="0.4">
      <c r="B25" s="8"/>
      <c r="C25" s="168" t="s">
        <v>156</v>
      </c>
      <c r="D25" s="220" t="s">
        <v>154</v>
      </c>
      <c r="E25" s="220"/>
      <c r="F25" s="220"/>
      <c r="G25" s="220"/>
      <c r="H25" s="220"/>
      <c r="I25" s="220"/>
      <c r="J25" s="220"/>
      <c r="K25" s="220"/>
      <c r="L25" s="9"/>
      <c r="M25" s="1"/>
    </row>
    <row r="26" spans="2:13" ht="6" customHeight="1" x14ac:dyDescent="0.4">
      <c r="B26" s="5"/>
      <c r="C26" s="6"/>
      <c r="D26" s="6"/>
      <c r="E26" s="6"/>
      <c r="F26" s="6"/>
      <c r="G26" s="6"/>
      <c r="H26" s="6"/>
      <c r="I26" s="6"/>
      <c r="J26" s="6"/>
      <c r="K26" s="6"/>
      <c r="L26" s="7"/>
    </row>
    <row r="27" spans="2:13" s="10" customFormat="1" ht="22.5" customHeight="1" x14ac:dyDescent="0.4">
      <c r="B27" s="8"/>
      <c r="C27" s="11" t="s">
        <v>100</v>
      </c>
      <c r="D27" s="12"/>
      <c r="E27" s="12"/>
      <c r="F27" s="12"/>
      <c r="G27" s="12"/>
      <c r="H27" s="12"/>
      <c r="I27" s="12"/>
      <c r="J27" s="12"/>
      <c r="K27" s="12"/>
      <c r="L27" s="9"/>
      <c r="M27" s="1"/>
    </row>
    <row r="28" spans="2:13" s="10" customFormat="1" ht="19.5" customHeight="1" x14ac:dyDescent="0.4">
      <c r="B28" s="8"/>
      <c r="C28" s="168" t="s">
        <v>156</v>
      </c>
      <c r="D28" s="220" t="s">
        <v>157</v>
      </c>
      <c r="E28" s="220"/>
      <c r="F28" s="220"/>
      <c r="G28" s="220"/>
      <c r="H28" s="220"/>
      <c r="I28" s="220"/>
      <c r="J28" s="220"/>
      <c r="K28" s="220"/>
      <c r="L28" s="9"/>
      <c r="M28" s="1"/>
    </row>
    <row r="29" spans="2:13" s="10" customFormat="1" ht="32.25" customHeight="1" x14ac:dyDescent="0.4">
      <c r="B29" s="8"/>
      <c r="C29" s="167" t="s">
        <v>5</v>
      </c>
      <c r="D29" s="220" t="s">
        <v>161</v>
      </c>
      <c r="E29" s="220"/>
      <c r="F29" s="220"/>
      <c r="G29" s="220"/>
      <c r="H29" s="220"/>
      <c r="I29" s="220"/>
      <c r="J29" s="220"/>
      <c r="K29" s="220"/>
      <c r="L29" s="9"/>
      <c r="M29" s="1"/>
    </row>
    <row r="30" spans="2:13" s="10" customFormat="1" ht="19.5" customHeight="1" x14ac:dyDescent="0.4">
      <c r="B30" s="8"/>
      <c r="C30" s="167" t="s">
        <v>5</v>
      </c>
      <c r="D30" s="220" t="s">
        <v>164</v>
      </c>
      <c r="E30" s="220"/>
      <c r="F30" s="220"/>
      <c r="G30" s="220"/>
      <c r="H30" s="220"/>
      <c r="I30" s="220"/>
      <c r="J30" s="220"/>
      <c r="K30" s="220"/>
      <c r="L30" s="9"/>
      <c r="M30" s="1"/>
    </row>
    <row r="31" spans="2:13" s="10" customFormat="1" ht="19.5" customHeight="1" x14ac:dyDescent="0.4">
      <c r="B31" s="8"/>
      <c r="C31" s="167" t="s">
        <v>5</v>
      </c>
      <c r="D31" s="220" t="s">
        <v>159</v>
      </c>
      <c r="E31" s="220"/>
      <c r="F31" s="220"/>
      <c r="G31" s="220"/>
      <c r="H31" s="220"/>
      <c r="I31" s="220"/>
      <c r="J31" s="220"/>
      <c r="K31" s="220"/>
      <c r="L31" s="9"/>
      <c r="M31" s="1"/>
    </row>
    <row r="32" spans="2:13" s="10" customFormat="1" ht="32.25" customHeight="1" x14ac:dyDescent="0.4">
      <c r="B32" s="8"/>
      <c r="C32" s="169" t="s">
        <v>5</v>
      </c>
      <c r="D32" s="220" t="s">
        <v>158</v>
      </c>
      <c r="E32" s="220"/>
      <c r="F32" s="220"/>
      <c r="G32" s="220"/>
      <c r="H32" s="220"/>
      <c r="I32" s="220"/>
      <c r="J32" s="220"/>
      <c r="K32" s="220"/>
      <c r="L32" s="9"/>
      <c r="M32" s="1"/>
    </row>
    <row r="33" spans="2:13" ht="6" customHeight="1" x14ac:dyDescent="0.4">
      <c r="B33" s="5"/>
      <c r="C33" s="6"/>
      <c r="D33" s="6"/>
      <c r="E33" s="6"/>
      <c r="F33" s="6"/>
      <c r="G33" s="6"/>
      <c r="H33" s="6"/>
      <c r="I33" s="6"/>
      <c r="J33" s="6"/>
      <c r="K33" s="6"/>
      <c r="L33" s="7"/>
    </row>
    <row r="34" spans="2:13" s="10" customFormat="1" ht="22.5" customHeight="1" x14ac:dyDescent="0.4">
      <c r="B34" s="8"/>
      <c r="C34" s="11" t="s">
        <v>101</v>
      </c>
      <c r="D34" s="12"/>
      <c r="E34" s="12"/>
      <c r="F34" s="12"/>
      <c r="G34" s="12"/>
      <c r="H34" s="12"/>
      <c r="I34" s="12"/>
      <c r="J34" s="12"/>
      <c r="K34" s="12"/>
      <c r="L34" s="9"/>
      <c r="M34" s="1"/>
    </row>
    <row r="35" spans="2:13" s="10" customFormat="1" ht="22.5" customHeight="1" x14ac:dyDescent="0.4">
      <c r="B35" s="8"/>
      <c r="C35" s="221" t="s">
        <v>102</v>
      </c>
      <c r="D35" s="221"/>
      <c r="E35" s="221"/>
      <c r="F35" s="221"/>
      <c r="G35" s="221"/>
      <c r="H35" s="221"/>
      <c r="I35" s="221"/>
      <c r="J35" s="221"/>
      <c r="K35" s="221"/>
      <c r="L35" s="9"/>
      <c r="M35" s="1"/>
    </row>
    <row r="36" spans="2:13" s="10" customFormat="1" ht="22.5" customHeight="1" x14ac:dyDescent="0.4">
      <c r="B36" s="8"/>
      <c r="C36" s="221" t="s">
        <v>103</v>
      </c>
      <c r="D36" s="221"/>
      <c r="E36" s="221"/>
      <c r="F36" s="221"/>
      <c r="G36" s="221"/>
      <c r="H36" s="221"/>
      <c r="I36" s="221"/>
      <c r="J36" s="221"/>
      <c r="K36" s="221"/>
      <c r="L36" s="9"/>
      <c r="M36" s="1"/>
    </row>
    <row r="37" spans="2:13" s="10" customFormat="1" ht="22.5" customHeight="1" x14ac:dyDescent="0.4">
      <c r="B37" s="8"/>
      <c r="C37" s="221" t="s">
        <v>104</v>
      </c>
      <c r="D37" s="221"/>
      <c r="E37" s="221"/>
      <c r="F37" s="221"/>
      <c r="G37" s="221"/>
      <c r="H37" s="221"/>
      <c r="I37" s="221"/>
      <c r="J37" s="221"/>
      <c r="K37" s="221"/>
      <c r="L37" s="9"/>
      <c r="M37" s="1"/>
    </row>
    <row r="38" spans="2:13" ht="13.2" thickBot="1" x14ac:dyDescent="0.55000000000000004">
      <c r="B38" s="13"/>
      <c r="C38" s="14"/>
      <c r="D38" s="15"/>
      <c r="E38" s="15"/>
      <c r="F38" s="15"/>
      <c r="G38" s="15"/>
      <c r="H38" s="15"/>
      <c r="I38" s="15"/>
      <c r="J38" s="15"/>
      <c r="K38" s="15"/>
      <c r="L38" s="16"/>
    </row>
    <row r="39" spans="2:13" ht="12.6" thickTop="1" x14ac:dyDescent="0.4"/>
    <row r="40" spans="2:13" ht="14.4" x14ac:dyDescent="0.55000000000000004">
      <c r="C40" s="17"/>
    </row>
    <row r="41" spans="2:13" ht="14.4" x14ac:dyDescent="0.55000000000000004">
      <c r="C41" s="17"/>
    </row>
  </sheetData>
  <mergeCells count="19">
    <mergeCell ref="D20:K20"/>
    <mergeCell ref="D21:K21"/>
    <mergeCell ref="D23:K23"/>
    <mergeCell ref="C10:K10"/>
    <mergeCell ref="C12:K12"/>
    <mergeCell ref="C14:K14"/>
    <mergeCell ref="C16:K16"/>
    <mergeCell ref="C22:K22"/>
    <mergeCell ref="D19:K19"/>
    <mergeCell ref="C36:K36"/>
    <mergeCell ref="C37:K37"/>
    <mergeCell ref="D32:K32"/>
    <mergeCell ref="D30:K30"/>
    <mergeCell ref="D31:K31"/>
    <mergeCell ref="D24:K24"/>
    <mergeCell ref="D25:K25"/>
    <mergeCell ref="C35:K35"/>
    <mergeCell ref="D28:K28"/>
    <mergeCell ref="D29:K29"/>
  </mergeCells>
  <hyperlinks>
    <hyperlink ref="C35:K35" r:id="rId1" display=" - There is extensive guidance on all twenty Energy MAP steps at www.seai.ie/energymap (click here)" xr:uid="{00000000-0004-0000-0000-000000000000}"/>
    <hyperlink ref="C36:K36" r:id="rId2" display=" - Click here to see SEAI's suite of supports to help public bodies reach their 33% energy-efficiency targets by 2020" xr:uid="{00000000-0004-0000-0000-000001000000}"/>
    <hyperlink ref="C37:K37" r:id="rId3" display=" - Click here to see SEAI's suite of supports to help public bodies reach their 33% energy-efficiency targets by 2020"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autoPageBreaks="0"/>
  </sheetPr>
  <dimension ref="A1:IT48"/>
  <sheetViews>
    <sheetView showGridLines="0" zoomScaleNormal="100" workbookViewId="0">
      <pane ySplit="5" topLeftCell="A6" activePane="bottomLeft" state="frozen"/>
      <selection activeCell="A2" sqref="A2"/>
      <selection pane="bottomLeft" activeCell="A8" sqref="A8"/>
    </sheetView>
  </sheetViews>
  <sheetFormatPr defaultColWidth="9.1640625" defaultRowHeight="11.7" x14ac:dyDescent="0.45"/>
  <cols>
    <col min="1" max="1" width="17.5546875" style="29" customWidth="1"/>
    <col min="2" max="2" width="11" style="29" customWidth="1"/>
    <col min="3" max="3" width="25.83203125" style="29" customWidth="1"/>
    <col min="4" max="4" width="8.83203125" style="29" customWidth="1"/>
    <col min="5" max="5" width="13.5546875" style="29" customWidth="1"/>
    <col min="6" max="6" width="9.44140625" style="29" customWidth="1"/>
    <col min="7" max="7" width="10.44140625" style="29" customWidth="1"/>
    <col min="8" max="8" width="6.44140625" style="29" customWidth="1"/>
    <col min="9" max="9" width="10.44140625" style="29" customWidth="1"/>
    <col min="10" max="10" width="6.44140625" style="29" customWidth="1"/>
    <col min="11" max="11" width="23.44140625" style="29" customWidth="1"/>
    <col min="12" max="12" width="22" style="29" customWidth="1"/>
    <col min="13" max="16384" width="9.1640625" style="29"/>
  </cols>
  <sheetData>
    <row r="1" spans="1:254" s="60" customFormat="1" ht="51.75" customHeight="1" x14ac:dyDescent="0.7">
      <c r="C1" s="235" t="s">
        <v>46</v>
      </c>
      <c r="D1" s="235"/>
      <c r="E1" s="236"/>
      <c r="F1" s="182"/>
      <c r="G1" s="183"/>
      <c r="H1" s="183"/>
      <c r="I1" s="183"/>
      <c r="J1" s="183"/>
      <c r="K1" s="61"/>
      <c r="L1" s="61"/>
      <c r="AF1" s="62"/>
      <c r="AG1" s="62"/>
      <c r="AH1" s="62"/>
      <c r="AI1" s="62"/>
      <c r="AJ1" s="62"/>
      <c r="AK1" s="62"/>
      <c r="AL1" s="62"/>
      <c r="AM1" s="62"/>
      <c r="AN1" s="62"/>
      <c r="AO1" s="62"/>
      <c r="AP1" s="62"/>
      <c r="AQ1" s="62"/>
    </row>
    <row r="2" spans="1:254" ht="15" customHeight="1" x14ac:dyDescent="0.45">
      <c r="A2" s="188" t="s">
        <v>123</v>
      </c>
      <c r="F2" s="183"/>
      <c r="G2" s="183"/>
      <c r="H2" s="183"/>
      <c r="I2" s="183"/>
      <c r="J2" s="183"/>
      <c r="K2" s="63"/>
      <c r="L2" s="63"/>
    </row>
    <row r="3" spans="1:254" ht="3" customHeight="1" thickBot="1" x14ac:dyDescent="0.5"/>
    <row r="4" spans="1:254" s="30" customFormat="1" ht="58.5" x14ac:dyDescent="0.45">
      <c r="A4" s="237" t="s">
        <v>17</v>
      </c>
      <c r="B4" s="239" t="s">
        <v>45</v>
      </c>
      <c r="C4" s="239" t="s">
        <v>28</v>
      </c>
      <c r="D4" s="239" t="s">
        <v>6</v>
      </c>
      <c r="E4" s="26" t="s">
        <v>47</v>
      </c>
      <c r="F4" s="26" t="s">
        <v>20</v>
      </c>
      <c r="G4" s="27" t="s">
        <v>30</v>
      </c>
      <c r="H4" s="27"/>
      <c r="I4" s="27" t="s">
        <v>31</v>
      </c>
      <c r="J4" s="27"/>
      <c r="K4" s="231" t="s">
        <v>67</v>
      </c>
      <c r="L4" s="233" t="s">
        <v>66</v>
      </c>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30" customFormat="1" ht="14.25" customHeight="1" x14ac:dyDescent="0.45">
      <c r="A5" s="238"/>
      <c r="B5" s="240"/>
      <c r="C5" s="240"/>
      <c r="D5" s="240"/>
      <c r="E5" s="31" t="s">
        <v>3</v>
      </c>
      <c r="F5" s="31" t="s">
        <v>23</v>
      </c>
      <c r="G5" s="31" t="s">
        <v>0</v>
      </c>
      <c r="H5" s="31" t="s">
        <v>2</v>
      </c>
      <c r="I5" s="31" t="s">
        <v>1</v>
      </c>
      <c r="J5" s="31" t="s">
        <v>2</v>
      </c>
      <c r="K5" s="232"/>
      <c r="L5" s="234"/>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37" customFormat="1" ht="23.4" x14ac:dyDescent="0.4">
      <c r="A6" s="39" t="s">
        <v>196</v>
      </c>
      <c r="B6" s="40"/>
      <c r="C6" s="41" t="s">
        <v>197</v>
      </c>
      <c r="D6" s="41">
        <v>2</v>
      </c>
      <c r="E6" s="72"/>
      <c r="F6" s="41"/>
      <c r="G6" s="43">
        <f>D6*E6*F6</f>
        <v>0</v>
      </c>
      <c r="H6" s="44" t="str">
        <f t="shared" ref="H6:H35" si="0">IF(ISERROR(G6/G$36),"",G6/G$36)</f>
        <v/>
      </c>
      <c r="I6" s="45">
        <f t="shared" ref="I6:I35" si="1">G6*ElecPrice</f>
        <v>0</v>
      </c>
      <c r="J6" s="44" t="str">
        <f t="shared" ref="J6:J35" si="2">IF(ISERROR(I6/I$36),"",I6/I$36)</f>
        <v/>
      </c>
      <c r="K6" s="41"/>
      <c r="L6" s="46"/>
    </row>
    <row r="7" spans="1:254" s="37" customFormat="1" ht="46.8" x14ac:dyDescent="0.4">
      <c r="A7" s="39" t="s">
        <v>183</v>
      </c>
      <c r="B7" s="40"/>
      <c r="C7" s="41" t="s">
        <v>208</v>
      </c>
      <c r="D7" s="72"/>
      <c r="E7" s="42"/>
      <c r="F7" s="41">
        <f>8*50</f>
        <v>400</v>
      </c>
      <c r="G7" s="43">
        <f>D7*E7*F7</f>
        <v>0</v>
      </c>
      <c r="H7" s="44">
        <f>IF(ISERROR(G7/Refrigeration!G$37),"",G7/Refrigeration!G$37)</f>
        <v>0</v>
      </c>
      <c r="I7" s="194">
        <f>G7*ElecPrice</f>
        <v>0</v>
      </c>
      <c r="J7" s="44">
        <f>IF(ISERROR(I7/Refrigeration!I$37),"",I7/Refrigeration!I$37)</f>
        <v>0</v>
      </c>
      <c r="K7" s="41" t="s">
        <v>210</v>
      </c>
      <c r="L7" s="46" t="s">
        <v>209</v>
      </c>
    </row>
    <row r="8" spans="1:254" s="37" customFormat="1" x14ac:dyDescent="0.4">
      <c r="A8" s="39" t="s">
        <v>183</v>
      </c>
      <c r="B8" s="40"/>
      <c r="C8" s="41" t="s">
        <v>219</v>
      </c>
      <c r="D8" s="41">
        <v>1</v>
      </c>
      <c r="E8" s="72"/>
      <c r="F8" s="41">
        <f>3*50</f>
        <v>150</v>
      </c>
      <c r="G8" s="43">
        <f t="shared" ref="G8:G35" si="3">D8*E8*F8</f>
        <v>0</v>
      </c>
      <c r="H8" s="44" t="str">
        <f t="shared" si="0"/>
        <v/>
      </c>
      <c r="I8" s="45">
        <f t="shared" si="1"/>
        <v>0</v>
      </c>
      <c r="J8" s="44" t="str">
        <f t="shared" si="2"/>
        <v/>
      </c>
      <c r="K8" s="41" t="s">
        <v>221</v>
      </c>
      <c r="L8" s="46"/>
    </row>
    <row r="9" spans="1:254" s="37" customFormat="1" x14ac:dyDescent="0.4">
      <c r="A9" s="39" t="s">
        <v>183</v>
      </c>
      <c r="B9" s="40"/>
      <c r="C9" s="41" t="s">
        <v>220</v>
      </c>
      <c r="D9" s="41">
        <v>1</v>
      </c>
      <c r="E9" s="72"/>
      <c r="F9" s="41">
        <v>50</v>
      </c>
      <c r="G9" s="43">
        <f t="shared" si="3"/>
        <v>0</v>
      </c>
      <c r="H9" s="44" t="str">
        <f t="shared" si="0"/>
        <v/>
      </c>
      <c r="I9" s="45">
        <f t="shared" si="1"/>
        <v>0</v>
      </c>
      <c r="J9" s="44" t="str">
        <f t="shared" si="2"/>
        <v/>
      </c>
      <c r="K9" s="41" t="s">
        <v>222</v>
      </c>
      <c r="L9" s="46"/>
    </row>
    <row r="10" spans="1:254" s="37" customFormat="1" x14ac:dyDescent="0.4">
      <c r="A10" s="39" t="s">
        <v>183</v>
      </c>
      <c r="B10" s="40"/>
      <c r="C10" s="41" t="s">
        <v>223</v>
      </c>
      <c r="D10" s="41">
        <v>1</v>
      </c>
      <c r="E10" s="72"/>
      <c r="F10" s="41">
        <v>50</v>
      </c>
      <c r="G10" s="43">
        <f t="shared" si="3"/>
        <v>0</v>
      </c>
      <c r="H10" s="44" t="str">
        <f t="shared" si="0"/>
        <v/>
      </c>
      <c r="I10" s="45">
        <f t="shared" si="1"/>
        <v>0</v>
      </c>
      <c r="J10" s="44" t="str">
        <f t="shared" si="2"/>
        <v/>
      </c>
      <c r="K10" s="41" t="s">
        <v>222</v>
      </c>
      <c r="L10" s="46"/>
    </row>
    <row r="11" spans="1:254" s="37" customFormat="1" x14ac:dyDescent="0.4">
      <c r="A11" s="39"/>
      <c r="B11" s="40"/>
      <c r="C11" s="41"/>
      <c r="D11" s="41"/>
      <c r="E11" s="72"/>
      <c r="F11" s="41"/>
      <c r="G11" s="43">
        <f t="shared" si="3"/>
        <v>0</v>
      </c>
      <c r="H11" s="44" t="str">
        <f t="shared" si="0"/>
        <v/>
      </c>
      <c r="I11" s="45">
        <f t="shared" si="1"/>
        <v>0</v>
      </c>
      <c r="J11" s="44" t="str">
        <f t="shared" si="2"/>
        <v/>
      </c>
      <c r="K11" s="41"/>
      <c r="L11" s="46"/>
    </row>
    <row r="12" spans="1:254" s="37" customFormat="1" x14ac:dyDescent="0.4">
      <c r="A12" s="39"/>
      <c r="B12" s="40"/>
      <c r="C12" s="41"/>
      <c r="D12" s="41"/>
      <c r="E12" s="72"/>
      <c r="F12" s="41"/>
      <c r="G12" s="43">
        <f t="shared" si="3"/>
        <v>0</v>
      </c>
      <c r="H12" s="44" t="str">
        <f t="shared" si="0"/>
        <v/>
      </c>
      <c r="I12" s="45">
        <f t="shared" si="1"/>
        <v>0</v>
      </c>
      <c r="J12" s="44" t="str">
        <f t="shared" si="2"/>
        <v/>
      </c>
      <c r="K12" s="41"/>
      <c r="L12" s="46"/>
    </row>
    <row r="13" spans="1:254" s="37" customFormat="1" x14ac:dyDescent="0.4">
      <c r="A13" s="39"/>
      <c r="B13" s="40"/>
      <c r="C13" s="41"/>
      <c r="D13" s="41"/>
      <c r="E13" s="72"/>
      <c r="F13" s="41"/>
      <c r="G13" s="43">
        <f t="shared" si="3"/>
        <v>0</v>
      </c>
      <c r="H13" s="44" t="str">
        <f t="shared" si="0"/>
        <v/>
      </c>
      <c r="I13" s="45">
        <f t="shared" si="1"/>
        <v>0</v>
      </c>
      <c r="J13" s="44" t="str">
        <f t="shared" si="2"/>
        <v/>
      </c>
      <c r="K13" s="41"/>
      <c r="L13" s="46"/>
    </row>
    <row r="14" spans="1:254" s="37" customFormat="1" x14ac:dyDescent="0.4">
      <c r="A14" s="39"/>
      <c r="B14" s="40"/>
      <c r="C14" s="41"/>
      <c r="D14" s="41"/>
      <c r="E14" s="72"/>
      <c r="F14" s="41"/>
      <c r="G14" s="43">
        <f t="shared" si="3"/>
        <v>0</v>
      </c>
      <c r="H14" s="44" t="str">
        <f t="shared" si="0"/>
        <v/>
      </c>
      <c r="I14" s="45">
        <f t="shared" si="1"/>
        <v>0</v>
      </c>
      <c r="J14" s="44" t="str">
        <f t="shared" si="2"/>
        <v/>
      </c>
      <c r="K14" s="41"/>
      <c r="L14" s="46"/>
    </row>
    <row r="15" spans="1:254" s="37" customFormat="1" x14ac:dyDescent="0.4">
      <c r="A15" s="39"/>
      <c r="B15" s="40"/>
      <c r="C15" s="41"/>
      <c r="D15" s="41"/>
      <c r="E15" s="72"/>
      <c r="F15" s="41"/>
      <c r="G15" s="43">
        <f t="shared" si="3"/>
        <v>0</v>
      </c>
      <c r="H15" s="44" t="str">
        <f t="shared" si="0"/>
        <v/>
      </c>
      <c r="I15" s="45">
        <f t="shared" si="1"/>
        <v>0</v>
      </c>
      <c r="J15" s="44" t="str">
        <f t="shared" si="2"/>
        <v/>
      </c>
      <c r="K15" s="41"/>
      <c r="L15" s="46"/>
    </row>
    <row r="16" spans="1:254" s="37" customFormat="1" x14ac:dyDescent="0.4">
      <c r="A16" s="39"/>
      <c r="B16" s="40"/>
      <c r="C16" s="41"/>
      <c r="D16" s="41"/>
      <c r="E16" s="72"/>
      <c r="F16" s="41"/>
      <c r="G16" s="43">
        <f t="shared" si="3"/>
        <v>0</v>
      </c>
      <c r="H16" s="44" t="str">
        <f t="shared" si="0"/>
        <v/>
      </c>
      <c r="I16" s="45">
        <f t="shared" si="1"/>
        <v>0</v>
      </c>
      <c r="J16" s="44" t="str">
        <f t="shared" si="2"/>
        <v/>
      </c>
      <c r="K16" s="41"/>
      <c r="L16" s="46"/>
    </row>
    <row r="17" spans="1:12" s="37" customFormat="1" x14ac:dyDescent="0.4">
      <c r="A17" s="39"/>
      <c r="B17" s="40"/>
      <c r="C17" s="41"/>
      <c r="D17" s="41"/>
      <c r="E17" s="72"/>
      <c r="F17" s="41"/>
      <c r="G17" s="43">
        <f t="shared" si="3"/>
        <v>0</v>
      </c>
      <c r="H17" s="44" t="str">
        <f t="shared" si="0"/>
        <v/>
      </c>
      <c r="I17" s="45">
        <f t="shared" si="1"/>
        <v>0</v>
      </c>
      <c r="J17" s="44" t="str">
        <f t="shared" si="2"/>
        <v/>
      </c>
      <c r="K17" s="41"/>
      <c r="L17" s="46"/>
    </row>
    <row r="18" spans="1:12" s="37" customFormat="1" x14ac:dyDescent="0.4">
      <c r="A18" s="39"/>
      <c r="B18" s="40"/>
      <c r="C18" s="41"/>
      <c r="D18" s="41"/>
      <c r="E18" s="72"/>
      <c r="F18" s="41"/>
      <c r="G18" s="43">
        <f t="shared" si="3"/>
        <v>0</v>
      </c>
      <c r="H18" s="44" t="str">
        <f t="shared" si="0"/>
        <v/>
      </c>
      <c r="I18" s="45">
        <f t="shared" si="1"/>
        <v>0</v>
      </c>
      <c r="J18" s="44" t="str">
        <f t="shared" si="2"/>
        <v/>
      </c>
      <c r="K18" s="41"/>
      <c r="L18" s="46"/>
    </row>
    <row r="19" spans="1:12" s="37" customFormat="1" x14ac:dyDescent="0.4">
      <c r="A19" s="39"/>
      <c r="B19" s="40"/>
      <c r="C19" s="41"/>
      <c r="D19" s="41"/>
      <c r="E19" s="72"/>
      <c r="F19" s="41"/>
      <c r="G19" s="43">
        <f t="shared" si="3"/>
        <v>0</v>
      </c>
      <c r="H19" s="44" t="str">
        <f t="shared" si="0"/>
        <v/>
      </c>
      <c r="I19" s="45">
        <f t="shared" si="1"/>
        <v>0</v>
      </c>
      <c r="J19" s="44" t="str">
        <f t="shared" si="2"/>
        <v/>
      </c>
      <c r="K19" s="41"/>
      <c r="L19" s="46"/>
    </row>
    <row r="20" spans="1:12" s="37" customFormat="1" x14ac:dyDescent="0.4">
      <c r="A20" s="39"/>
      <c r="B20" s="40"/>
      <c r="C20" s="41"/>
      <c r="D20" s="41"/>
      <c r="E20" s="72"/>
      <c r="F20" s="41"/>
      <c r="G20" s="43">
        <f t="shared" si="3"/>
        <v>0</v>
      </c>
      <c r="H20" s="44" t="str">
        <f t="shared" si="0"/>
        <v/>
      </c>
      <c r="I20" s="45">
        <f t="shared" si="1"/>
        <v>0</v>
      </c>
      <c r="J20" s="44" t="str">
        <f t="shared" si="2"/>
        <v/>
      </c>
      <c r="K20" s="41"/>
      <c r="L20" s="46"/>
    </row>
    <row r="21" spans="1:12" s="37" customFormat="1" x14ac:dyDescent="0.4">
      <c r="A21" s="39"/>
      <c r="B21" s="40"/>
      <c r="C21" s="41"/>
      <c r="D21" s="41"/>
      <c r="E21" s="72"/>
      <c r="F21" s="41"/>
      <c r="G21" s="43">
        <f t="shared" si="3"/>
        <v>0</v>
      </c>
      <c r="H21" s="44" t="str">
        <f t="shared" si="0"/>
        <v/>
      </c>
      <c r="I21" s="45">
        <f t="shared" si="1"/>
        <v>0</v>
      </c>
      <c r="J21" s="44" t="str">
        <f t="shared" si="2"/>
        <v/>
      </c>
      <c r="K21" s="41"/>
      <c r="L21" s="46"/>
    </row>
    <row r="22" spans="1:12" s="37" customFormat="1" x14ac:dyDescent="0.4">
      <c r="A22" s="39"/>
      <c r="B22" s="40"/>
      <c r="C22" s="41"/>
      <c r="D22" s="41"/>
      <c r="E22" s="72"/>
      <c r="F22" s="41"/>
      <c r="G22" s="43">
        <f t="shared" si="3"/>
        <v>0</v>
      </c>
      <c r="H22" s="44" t="str">
        <f t="shared" si="0"/>
        <v/>
      </c>
      <c r="I22" s="45">
        <f t="shared" si="1"/>
        <v>0</v>
      </c>
      <c r="J22" s="44" t="str">
        <f t="shared" si="2"/>
        <v/>
      </c>
      <c r="K22" s="41"/>
      <c r="L22" s="46"/>
    </row>
    <row r="23" spans="1:12" s="37" customFormat="1" x14ac:dyDescent="0.4">
      <c r="A23" s="39"/>
      <c r="B23" s="40"/>
      <c r="C23" s="41"/>
      <c r="D23" s="41"/>
      <c r="E23" s="72"/>
      <c r="F23" s="41"/>
      <c r="G23" s="43">
        <f t="shared" si="3"/>
        <v>0</v>
      </c>
      <c r="H23" s="44" t="str">
        <f t="shared" si="0"/>
        <v/>
      </c>
      <c r="I23" s="45">
        <f t="shared" si="1"/>
        <v>0</v>
      </c>
      <c r="J23" s="44" t="str">
        <f t="shared" si="2"/>
        <v/>
      </c>
      <c r="K23" s="41"/>
      <c r="L23" s="46"/>
    </row>
    <row r="24" spans="1:12" s="37" customFormat="1" x14ac:dyDescent="0.4">
      <c r="A24" s="39"/>
      <c r="B24" s="40"/>
      <c r="C24" s="41"/>
      <c r="D24" s="41"/>
      <c r="E24" s="72"/>
      <c r="F24" s="41"/>
      <c r="G24" s="43">
        <f t="shared" si="3"/>
        <v>0</v>
      </c>
      <c r="H24" s="44" t="str">
        <f t="shared" si="0"/>
        <v/>
      </c>
      <c r="I24" s="45">
        <f t="shared" si="1"/>
        <v>0</v>
      </c>
      <c r="J24" s="44" t="str">
        <f t="shared" si="2"/>
        <v/>
      </c>
      <c r="K24" s="41"/>
      <c r="L24" s="46"/>
    </row>
    <row r="25" spans="1:12" s="37" customFormat="1" x14ac:dyDescent="0.4">
      <c r="A25" s="39"/>
      <c r="B25" s="40"/>
      <c r="C25" s="41"/>
      <c r="D25" s="41"/>
      <c r="E25" s="72"/>
      <c r="F25" s="41"/>
      <c r="G25" s="43">
        <f t="shared" si="3"/>
        <v>0</v>
      </c>
      <c r="H25" s="44" t="str">
        <f t="shared" si="0"/>
        <v/>
      </c>
      <c r="I25" s="45">
        <f t="shared" si="1"/>
        <v>0</v>
      </c>
      <c r="J25" s="44" t="str">
        <f t="shared" si="2"/>
        <v/>
      </c>
      <c r="K25" s="41"/>
      <c r="L25" s="46"/>
    </row>
    <row r="26" spans="1:12" s="37" customFormat="1" x14ac:dyDescent="0.4">
      <c r="A26" s="39"/>
      <c r="B26" s="40"/>
      <c r="C26" s="41"/>
      <c r="D26" s="41"/>
      <c r="E26" s="72"/>
      <c r="F26" s="41"/>
      <c r="G26" s="43">
        <f t="shared" si="3"/>
        <v>0</v>
      </c>
      <c r="H26" s="44" t="str">
        <f t="shared" si="0"/>
        <v/>
      </c>
      <c r="I26" s="45">
        <f t="shared" si="1"/>
        <v>0</v>
      </c>
      <c r="J26" s="44" t="str">
        <f t="shared" si="2"/>
        <v/>
      </c>
      <c r="K26" s="41"/>
      <c r="L26" s="46"/>
    </row>
    <row r="27" spans="1:12" s="37" customFormat="1" x14ac:dyDescent="0.4">
      <c r="A27" s="39"/>
      <c r="B27" s="40"/>
      <c r="C27" s="41"/>
      <c r="D27" s="41"/>
      <c r="E27" s="72"/>
      <c r="F27" s="41"/>
      <c r="G27" s="43">
        <f t="shared" si="3"/>
        <v>0</v>
      </c>
      <c r="H27" s="44" t="str">
        <f t="shared" si="0"/>
        <v/>
      </c>
      <c r="I27" s="45">
        <f t="shared" si="1"/>
        <v>0</v>
      </c>
      <c r="J27" s="44" t="str">
        <f t="shared" si="2"/>
        <v/>
      </c>
      <c r="K27" s="41"/>
      <c r="L27" s="46"/>
    </row>
    <row r="28" spans="1:12" s="37" customFormat="1" x14ac:dyDescent="0.4">
      <c r="A28" s="39"/>
      <c r="B28" s="40"/>
      <c r="C28" s="41"/>
      <c r="D28" s="41"/>
      <c r="E28" s="72"/>
      <c r="F28" s="41"/>
      <c r="G28" s="43">
        <f t="shared" si="3"/>
        <v>0</v>
      </c>
      <c r="H28" s="44" t="str">
        <f t="shared" si="0"/>
        <v/>
      </c>
      <c r="I28" s="45">
        <f t="shared" si="1"/>
        <v>0</v>
      </c>
      <c r="J28" s="44" t="str">
        <f t="shared" si="2"/>
        <v/>
      </c>
      <c r="K28" s="41"/>
      <c r="L28" s="46"/>
    </row>
    <row r="29" spans="1:12" s="37" customFormat="1" x14ac:dyDescent="0.4">
      <c r="A29" s="39"/>
      <c r="B29" s="40"/>
      <c r="C29" s="41"/>
      <c r="D29" s="41"/>
      <c r="E29" s="72"/>
      <c r="F29" s="41"/>
      <c r="G29" s="43">
        <f t="shared" si="3"/>
        <v>0</v>
      </c>
      <c r="H29" s="44" t="str">
        <f t="shared" si="0"/>
        <v/>
      </c>
      <c r="I29" s="45">
        <f t="shared" si="1"/>
        <v>0</v>
      </c>
      <c r="J29" s="44" t="str">
        <f t="shared" si="2"/>
        <v/>
      </c>
      <c r="K29" s="41"/>
      <c r="L29" s="46"/>
    </row>
    <row r="30" spans="1:12" s="37" customFormat="1" x14ac:dyDescent="0.4">
      <c r="A30" s="39"/>
      <c r="B30" s="40"/>
      <c r="C30" s="41"/>
      <c r="D30" s="41"/>
      <c r="E30" s="72"/>
      <c r="F30" s="41"/>
      <c r="G30" s="43">
        <f t="shared" si="3"/>
        <v>0</v>
      </c>
      <c r="H30" s="44" t="str">
        <f t="shared" si="0"/>
        <v/>
      </c>
      <c r="I30" s="45">
        <f t="shared" si="1"/>
        <v>0</v>
      </c>
      <c r="J30" s="44" t="str">
        <f t="shared" si="2"/>
        <v/>
      </c>
      <c r="K30" s="41"/>
      <c r="L30" s="46"/>
    </row>
    <row r="31" spans="1:12" s="37" customFormat="1" x14ac:dyDescent="0.4">
      <c r="A31" s="39"/>
      <c r="B31" s="40"/>
      <c r="C31" s="41"/>
      <c r="D31" s="41"/>
      <c r="E31" s="72"/>
      <c r="F31" s="41"/>
      <c r="G31" s="43">
        <f t="shared" si="3"/>
        <v>0</v>
      </c>
      <c r="H31" s="44" t="str">
        <f t="shared" si="0"/>
        <v/>
      </c>
      <c r="I31" s="45">
        <f t="shared" si="1"/>
        <v>0</v>
      </c>
      <c r="J31" s="44" t="str">
        <f t="shared" si="2"/>
        <v/>
      </c>
      <c r="K31" s="41"/>
      <c r="L31" s="46"/>
    </row>
    <row r="32" spans="1:12" s="37" customFormat="1" x14ac:dyDescent="0.4">
      <c r="A32" s="39"/>
      <c r="B32" s="40"/>
      <c r="C32" s="41"/>
      <c r="D32" s="41"/>
      <c r="E32" s="72"/>
      <c r="F32" s="41"/>
      <c r="G32" s="43">
        <f t="shared" si="3"/>
        <v>0</v>
      </c>
      <c r="H32" s="44" t="str">
        <f t="shared" si="0"/>
        <v/>
      </c>
      <c r="I32" s="45">
        <f t="shared" si="1"/>
        <v>0</v>
      </c>
      <c r="J32" s="44" t="str">
        <f t="shared" si="2"/>
        <v/>
      </c>
      <c r="K32" s="41"/>
      <c r="L32" s="46"/>
    </row>
    <row r="33" spans="1:254" s="37" customFormat="1" x14ac:dyDescent="0.4">
      <c r="A33" s="39"/>
      <c r="B33" s="40"/>
      <c r="C33" s="41"/>
      <c r="D33" s="41"/>
      <c r="E33" s="72"/>
      <c r="F33" s="41"/>
      <c r="G33" s="43">
        <f t="shared" si="3"/>
        <v>0</v>
      </c>
      <c r="H33" s="44" t="str">
        <f t="shared" si="0"/>
        <v/>
      </c>
      <c r="I33" s="45">
        <f t="shared" si="1"/>
        <v>0</v>
      </c>
      <c r="J33" s="44" t="str">
        <f t="shared" si="2"/>
        <v/>
      </c>
      <c r="K33" s="41"/>
      <c r="L33" s="46"/>
    </row>
    <row r="34" spans="1:254" s="37" customFormat="1" x14ac:dyDescent="0.4">
      <c r="A34" s="39"/>
      <c r="B34" s="40"/>
      <c r="C34" s="41"/>
      <c r="D34" s="41"/>
      <c r="E34" s="72"/>
      <c r="F34" s="41"/>
      <c r="G34" s="43">
        <f t="shared" si="3"/>
        <v>0</v>
      </c>
      <c r="H34" s="44" t="str">
        <f t="shared" si="0"/>
        <v/>
      </c>
      <c r="I34" s="45">
        <f t="shared" si="1"/>
        <v>0</v>
      </c>
      <c r="J34" s="44" t="str">
        <f t="shared" si="2"/>
        <v/>
      </c>
      <c r="K34" s="41"/>
      <c r="L34" s="46"/>
    </row>
    <row r="35" spans="1:254" s="37" customFormat="1" x14ac:dyDescent="0.4">
      <c r="A35" s="39"/>
      <c r="B35" s="40"/>
      <c r="C35" s="41"/>
      <c r="D35" s="41"/>
      <c r="E35" s="72"/>
      <c r="F35" s="41"/>
      <c r="G35" s="43">
        <f t="shared" si="3"/>
        <v>0</v>
      </c>
      <c r="H35" s="44" t="str">
        <f t="shared" si="0"/>
        <v/>
      </c>
      <c r="I35" s="45">
        <f t="shared" si="1"/>
        <v>0</v>
      </c>
      <c r="J35" s="44" t="str">
        <f t="shared" si="2"/>
        <v/>
      </c>
      <c r="K35" s="41"/>
      <c r="L35" s="46"/>
    </row>
    <row r="36" spans="1:254" ht="12" thickBot="1" x14ac:dyDescent="0.5">
      <c r="A36" s="47" t="s">
        <v>4</v>
      </c>
      <c r="B36" s="48"/>
      <c r="C36" s="49"/>
      <c r="D36" s="49"/>
      <c r="E36" s="49"/>
      <c r="F36" s="49"/>
      <c r="G36" s="49">
        <f>SUM(G6:G35)</f>
        <v>0</v>
      </c>
      <c r="H36" s="50"/>
      <c r="I36" s="51">
        <f>SUM(I6:I35)</f>
        <v>0</v>
      </c>
      <c r="J36" s="50"/>
      <c r="K36" s="49"/>
      <c r="L36" s="52"/>
    </row>
    <row r="37" spans="1:254" ht="12" thickBot="1" x14ac:dyDescent="0.5">
      <c r="K37" s="64"/>
      <c r="L37" s="64"/>
    </row>
    <row r="38" spans="1:254" s="190" customFormat="1" ht="31.2" thickTop="1" thickBot="1" x14ac:dyDescent="1.1499999999999999">
      <c r="A38" s="189" t="s">
        <v>107</v>
      </c>
    </row>
    <row r="39" spans="1:254" s="30" customFormat="1" ht="58.5" x14ac:dyDescent="0.45">
      <c r="A39" s="237" t="s">
        <v>17</v>
      </c>
      <c r="B39" s="239" t="s">
        <v>45</v>
      </c>
      <c r="C39" s="239" t="s">
        <v>28</v>
      </c>
      <c r="D39" s="239" t="s">
        <v>6</v>
      </c>
      <c r="E39" s="26" t="s">
        <v>47</v>
      </c>
      <c r="F39" s="26" t="s">
        <v>20</v>
      </c>
      <c r="G39" s="27" t="s">
        <v>30</v>
      </c>
      <c r="H39" s="27"/>
      <c r="I39" s="27" t="s">
        <v>31</v>
      </c>
      <c r="J39" s="27"/>
      <c r="K39" s="231" t="s">
        <v>67</v>
      </c>
      <c r="L39" s="233" t="s">
        <v>66</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s="30" customFormat="1" ht="14.25" customHeight="1" x14ac:dyDescent="0.45">
      <c r="A40" s="238"/>
      <c r="B40" s="240"/>
      <c r="C40" s="240"/>
      <c r="D40" s="240"/>
      <c r="E40" s="31" t="s">
        <v>3</v>
      </c>
      <c r="F40" s="31" t="s">
        <v>23</v>
      </c>
      <c r="G40" s="31" t="s">
        <v>0</v>
      </c>
      <c r="H40" s="31" t="s">
        <v>2</v>
      </c>
      <c r="I40" s="31" t="s">
        <v>1</v>
      </c>
      <c r="J40" s="31" t="s">
        <v>2</v>
      </c>
      <c r="K40" s="232"/>
      <c r="L40" s="234"/>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s="38" customFormat="1" x14ac:dyDescent="0.4">
      <c r="A41" s="53" t="s">
        <v>43</v>
      </c>
      <c r="B41" s="54" t="s">
        <v>37</v>
      </c>
      <c r="C41" s="55" t="s">
        <v>121</v>
      </c>
      <c r="D41" s="55">
        <v>4</v>
      </c>
      <c r="E41" s="77">
        <v>5.2</v>
      </c>
      <c r="F41" s="55">
        <f>5*12*52</f>
        <v>3120</v>
      </c>
      <c r="G41" s="33">
        <f>D41*E41*F41</f>
        <v>64896</v>
      </c>
      <c r="H41" s="34" t="s">
        <v>5</v>
      </c>
      <c r="I41" s="35">
        <f>G41*0.14</f>
        <v>9085.44</v>
      </c>
      <c r="J41" s="34" t="s">
        <v>5</v>
      </c>
      <c r="K41" s="55" t="s">
        <v>122</v>
      </c>
      <c r="L41" s="5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row>
    <row r="42" spans="1:254" s="150" customFormat="1" ht="12" thickBot="1" x14ac:dyDescent="0.5">
      <c r="A42" s="151" t="s">
        <v>4</v>
      </c>
      <c r="B42" s="152"/>
      <c r="C42" s="144"/>
      <c r="D42" s="144"/>
      <c r="E42" s="144"/>
      <c r="F42" s="144"/>
      <c r="G42" s="144">
        <f>G41</f>
        <v>64896</v>
      </c>
      <c r="H42" s="145"/>
      <c r="I42" s="147">
        <f>I41</f>
        <v>9085.44</v>
      </c>
      <c r="J42" s="145"/>
      <c r="K42" s="144"/>
      <c r="L42" s="149"/>
    </row>
    <row r="47" spans="1:254" s="64" customFormat="1" x14ac:dyDescent="0.45">
      <c r="K47" s="29"/>
      <c r="L47" s="29"/>
    </row>
    <row r="48" spans="1:254" s="64" customFormat="1" x14ac:dyDescent="0.45">
      <c r="K48" s="29"/>
      <c r="L48" s="29"/>
    </row>
  </sheetData>
  <mergeCells count="13">
    <mergeCell ref="L39:L40"/>
    <mergeCell ref="A39:A40"/>
    <mergeCell ref="B39:B40"/>
    <mergeCell ref="C39:C40"/>
    <mergeCell ref="D39:D40"/>
    <mergeCell ref="K39:K40"/>
    <mergeCell ref="K4:K5"/>
    <mergeCell ref="L4:L5"/>
    <mergeCell ref="C1:E1"/>
    <mergeCell ref="A4:A5"/>
    <mergeCell ref="C4:C5"/>
    <mergeCell ref="B4:B5"/>
    <mergeCell ref="D4:D5"/>
  </mergeCells>
  <phoneticPr fontId="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autoPageBreaks="0"/>
  </sheetPr>
  <dimension ref="A1:IV37"/>
  <sheetViews>
    <sheetView showGridLines="0" zoomScaleNormal="100" workbookViewId="0">
      <pane ySplit="5" topLeftCell="A6" activePane="bottomLeft" state="frozen"/>
      <selection activeCell="A2" sqref="A2"/>
      <selection pane="bottomLeft" activeCell="L7" sqref="L7"/>
    </sheetView>
  </sheetViews>
  <sheetFormatPr defaultColWidth="9.1640625" defaultRowHeight="11.7" x14ac:dyDescent="0.45"/>
  <cols>
    <col min="1" max="1" width="19" style="29" customWidth="1"/>
    <col min="2" max="2" width="10.1640625" style="29" customWidth="1"/>
    <col min="3" max="3" width="24" style="29" customWidth="1"/>
    <col min="4" max="4" width="11.27734375" style="29" customWidth="1"/>
    <col min="5" max="6" width="9.83203125" style="29" customWidth="1"/>
    <col min="7" max="7" width="8.83203125" style="29" customWidth="1"/>
    <col min="8" max="8" width="10.44140625" style="29" customWidth="1"/>
    <col min="9" max="9" width="6.44140625" style="29" customWidth="1"/>
    <col min="10" max="10" width="10.44140625" style="29" customWidth="1"/>
    <col min="11" max="11" width="6.44140625" style="29" customWidth="1"/>
    <col min="12" max="12" width="23.44140625" style="29" customWidth="1"/>
    <col min="13" max="13" width="22" style="29" customWidth="1"/>
    <col min="14" max="14" width="14.27734375" style="29" customWidth="1"/>
    <col min="15" max="16384" width="9.1640625" style="29"/>
  </cols>
  <sheetData>
    <row r="1" spans="1:256" s="60" customFormat="1" ht="51.75" customHeight="1" x14ac:dyDescent="0.7">
      <c r="C1" s="235" t="s">
        <v>50</v>
      </c>
      <c r="D1" s="236"/>
      <c r="E1" s="236"/>
      <c r="F1" s="182"/>
      <c r="G1" s="183"/>
      <c r="H1" s="183"/>
      <c r="I1" s="183"/>
      <c r="J1" s="183"/>
      <c r="L1" s="61"/>
      <c r="M1" s="61"/>
      <c r="AI1" s="62"/>
      <c r="AJ1" s="62"/>
      <c r="AK1" s="62"/>
      <c r="AL1" s="62"/>
      <c r="AM1" s="62"/>
      <c r="AN1" s="62"/>
      <c r="AO1" s="62"/>
      <c r="AP1" s="62"/>
      <c r="AQ1" s="62"/>
      <c r="AR1" s="62"/>
      <c r="AS1" s="62"/>
      <c r="AT1" s="62"/>
    </row>
    <row r="2" spans="1:256" ht="15" customHeight="1" x14ac:dyDescent="0.45">
      <c r="A2" s="188" t="s">
        <v>163</v>
      </c>
      <c r="F2" s="183"/>
      <c r="G2" s="183"/>
      <c r="H2" s="183"/>
      <c r="I2" s="183"/>
      <c r="J2" s="183"/>
      <c r="L2" s="63"/>
      <c r="M2" s="63"/>
    </row>
    <row r="3" spans="1:256" ht="3" customHeight="1" thickBot="1" x14ac:dyDescent="0.5"/>
    <row r="4" spans="1:256" s="30" customFormat="1" ht="46.8" x14ac:dyDescent="0.45">
      <c r="A4" s="237" t="s">
        <v>17</v>
      </c>
      <c r="B4" s="239" t="s">
        <v>52</v>
      </c>
      <c r="C4" s="239" t="s">
        <v>28</v>
      </c>
      <c r="D4" s="26" t="s">
        <v>54</v>
      </c>
      <c r="E4" s="26" t="s">
        <v>29</v>
      </c>
      <c r="F4" s="26" t="s">
        <v>26</v>
      </c>
      <c r="G4" s="26" t="s">
        <v>20</v>
      </c>
      <c r="H4" s="27" t="s">
        <v>55</v>
      </c>
      <c r="I4" s="27"/>
      <c r="J4" s="27" t="s">
        <v>56</v>
      </c>
      <c r="K4" s="27"/>
      <c r="L4" s="231" t="s">
        <v>67</v>
      </c>
      <c r="M4" s="233" t="s">
        <v>66</v>
      </c>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30" customFormat="1" ht="14.25" customHeight="1" x14ac:dyDescent="0.45">
      <c r="A5" s="238"/>
      <c r="B5" s="240"/>
      <c r="C5" s="240"/>
      <c r="D5" s="31" t="s">
        <v>3</v>
      </c>
      <c r="E5" s="31" t="s">
        <v>2</v>
      </c>
      <c r="F5" s="31" t="s">
        <v>2</v>
      </c>
      <c r="G5" s="31" t="s">
        <v>23</v>
      </c>
      <c r="H5" s="31" t="s">
        <v>0</v>
      </c>
      <c r="I5" s="31" t="s">
        <v>2</v>
      </c>
      <c r="J5" s="31" t="s">
        <v>1</v>
      </c>
      <c r="K5" s="31" t="s">
        <v>2</v>
      </c>
      <c r="L5" s="232"/>
      <c r="M5" s="234"/>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7" customFormat="1" x14ac:dyDescent="0.4">
      <c r="A6" s="39"/>
      <c r="B6" s="40"/>
      <c r="C6" s="41"/>
      <c r="D6" s="41">
        <v>30</v>
      </c>
      <c r="E6" s="42">
        <v>0.9</v>
      </c>
      <c r="F6" s="42">
        <v>0.55000000000000004</v>
      </c>
      <c r="G6" s="41">
        <f>((6*7)*25)+((1*7)*25)</f>
        <v>1225</v>
      </c>
      <c r="H6" s="43">
        <f t="shared" ref="H6:H14" si="0">IF(ISERROR(D6*(1/E6)*G6*F6),"",D6*(1/E6)*G6*F6)</f>
        <v>22458.333333333336</v>
      </c>
      <c r="I6" s="44">
        <f t="shared" ref="I6:I14" si="1">IF(ISERROR(H6/H$15),"",H6/H$15)</f>
        <v>1</v>
      </c>
      <c r="J6" s="45">
        <f t="shared" ref="J6:J14" si="2">IF(ISERROR(H6*FuelPrice),"",H6*FuelPrice)</f>
        <v>610.19291666666675</v>
      </c>
      <c r="K6" s="44">
        <f t="shared" ref="K6:K14" si="3">IF(ISERROR(J6/J$15),"",J6/J$15)</f>
        <v>1</v>
      </c>
      <c r="L6" s="41" t="s">
        <v>224</v>
      </c>
      <c r="M6" s="46"/>
    </row>
    <row r="7" spans="1:256" s="37" customFormat="1" x14ac:dyDescent="0.4">
      <c r="A7" s="39"/>
      <c r="B7" s="40"/>
      <c r="C7" s="41"/>
      <c r="D7" s="41"/>
      <c r="E7" s="42"/>
      <c r="F7" s="42"/>
      <c r="G7" s="41"/>
      <c r="H7" s="43" t="str">
        <f t="shared" si="0"/>
        <v/>
      </c>
      <c r="I7" s="44" t="str">
        <f t="shared" si="1"/>
        <v/>
      </c>
      <c r="J7" s="45" t="str">
        <f t="shared" si="2"/>
        <v/>
      </c>
      <c r="K7" s="44" t="str">
        <f t="shared" si="3"/>
        <v/>
      </c>
      <c r="L7" s="41"/>
      <c r="M7" s="46"/>
    </row>
    <row r="8" spans="1:256" s="37" customFormat="1" x14ac:dyDescent="0.4">
      <c r="A8" s="39"/>
      <c r="B8" s="40"/>
      <c r="C8" s="41"/>
      <c r="D8" s="41"/>
      <c r="E8" s="42"/>
      <c r="F8" s="42"/>
      <c r="G8" s="41"/>
      <c r="H8" s="43" t="str">
        <f t="shared" si="0"/>
        <v/>
      </c>
      <c r="I8" s="44" t="str">
        <f t="shared" si="1"/>
        <v/>
      </c>
      <c r="J8" s="45" t="str">
        <f t="shared" si="2"/>
        <v/>
      </c>
      <c r="K8" s="44" t="str">
        <f t="shared" si="3"/>
        <v/>
      </c>
      <c r="L8" s="41"/>
      <c r="M8" s="46"/>
    </row>
    <row r="9" spans="1:256" s="37" customFormat="1" x14ac:dyDescent="0.4">
      <c r="A9" s="39"/>
      <c r="B9" s="40"/>
      <c r="C9" s="41"/>
      <c r="D9" s="41"/>
      <c r="E9" s="42"/>
      <c r="F9" s="42"/>
      <c r="G9" s="41"/>
      <c r="H9" s="43" t="str">
        <f t="shared" si="0"/>
        <v/>
      </c>
      <c r="I9" s="44" t="str">
        <f t="shared" si="1"/>
        <v/>
      </c>
      <c r="J9" s="45" t="str">
        <f t="shared" si="2"/>
        <v/>
      </c>
      <c r="K9" s="44" t="str">
        <f t="shared" si="3"/>
        <v/>
      </c>
      <c r="L9" s="41"/>
      <c r="M9" s="46"/>
    </row>
    <row r="10" spans="1:256" s="37" customFormat="1" x14ac:dyDescent="0.4">
      <c r="A10" s="39"/>
      <c r="B10" s="40"/>
      <c r="C10" s="41"/>
      <c r="D10" s="41"/>
      <c r="E10" s="42"/>
      <c r="F10" s="42"/>
      <c r="G10" s="41"/>
      <c r="H10" s="43" t="str">
        <f t="shared" si="0"/>
        <v/>
      </c>
      <c r="I10" s="44" t="str">
        <f t="shared" si="1"/>
        <v/>
      </c>
      <c r="J10" s="45" t="str">
        <f t="shared" si="2"/>
        <v/>
      </c>
      <c r="K10" s="44" t="str">
        <f t="shared" si="3"/>
        <v/>
      </c>
      <c r="L10" s="41"/>
      <c r="M10" s="46"/>
    </row>
    <row r="11" spans="1:256" s="37" customFormat="1" x14ac:dyDescent="0.4">
      <c r="A11" s="39"/>
      <c r="B11" s="40"/>
      <c r="C11" s="41"/>
      <c r="D11" s="41"/>
      <c r="E11" s="42"/>
      <c r="F11" s="42"/>
      <c r="G11" s="41"/>
      <c r="H11" s="43" t="str">
        <f t="shared" si="0"/>
        <v/>
      </c>
      <c r="I11" s="44" t="str">
        <f t="shared" si="1"/>
        <v/>
      </c>
      <c r="J11" s="45" t="str">
        <f t="shared" si="2"/>
        <v/>
      </c>
      <c r="K11" s="44" t="str">
        <f t="shared" si="3"/>
        <v/>
      </c>
      <c r="L11" s="41"/>
      <c r="M11" s="46"/>
    </row>
    <row r="12" spans="1:256" s="37" customFormat="1" x14ac:dyDescent="0.4">
      <c r="A12" s="39"/>
      <c r="B12" s="40"/>
      <c r="C12" s="41"/>
      <c r="D12" s="41"/>
      <c r="E12" s="42"/>
      <c r="F12" s="42"/>
      <c r="G12" s="41"/>
      <c r="H12" s="43" t="str">
        <f t="shared" si="0"/>
        <v/>
      </c>
      <c r="I12" s="44" t="str">
        <f t="shared" si="1"/>
        <v/>
      </c>
      <c r="J12" s="45" t="str">
        <f t="shared" si="2"/>
        <v/>
      </c>
      <c r="K12" s="44" t="str">
        <f t="shared" si="3"/>
        <v/>
      </c>
      <c r="L12" s="41"/>
      <c r="M12" s="46"/>
    </row>
    <row r="13" spans="1:256" s="37" customFormat="1" x14ac:dyDescent="0.4">
      <c r="A13" s="39"/>
      <c r="B13" s="40"/>
      <c r="C13" s="41"/>
      <c r="D13" s="41"/>
      <c r="E13" s="42"/>
      <c r="F13" s="42"/>
      <c r="G13" s="41"/>
      <c r="H13" s="43" t="str">
        <f t="shared" si="0"/>
        <v/>
      </c>
      <c r="I13" s="44" t="str">
        <f t="shared" si="1"/>
        <v/>
      </c>
      <c r="J13" s="45" t="str">
        <f t="shared" si="2"/>
        <v/>
      </c>
      <c r="K13" s="44" t="str">
        <f t="shared" si="3"/>
        <v/>
      </c>
      <c r="L13" s="41"/>
      <c r="M13" s="46"/>
    </row>
    <row r="14" spans="1:256" s="37" customFormat="1" x14ac:dyDescent="0.4">
      <c r="A14" s="39"/>
      <c r="B14" s="40"/>
      <c r="C14" s="41"/>
      <c r="D14" s="41"/>
      <c r="E14" s="42"/>
      <c r="F14" s="42"/>
      <c r="G14" s="41"/>
      <c r="H14" s="43" t="str">
        <f t="shared" si="0"/>
        <v/>
      </c>
      <c r="I14" s="44" t="str">
        <f t="shared" si="1"/>
        <v/>
      </c>
      <c r="J14" s="45" t="str">
        <f t="shared" si="2"/>
        <v/>
      </c>
      <c r="K14" s="44" t="str">
        <f t="shared" si="3"/>
        <v/>
      </c>
      <c r="L14" s="41"/>
      <c r="M14" s="46"/>
    </row>
    <row r="15" spans="1:256" ht="12" thickBot="1" x14ac:dyDescent="0.5">
      <c r="A15" s="47" t="s">
        <v>4</v>
      </c>
      <c r="B15" s="48"/>
      <c r="C15" s="49"/>
      <c r="D15" s="49">
        <f>SUM(D6:D14)</f>
        <v>30</v>
      </c>
      <c r="E15" s="49"/>
      <c r="F15" s="49"/>
      <c r="G15" s="49"/>
      <c r="H15" s="49">
        <f>SUM(H6:H14)</f>
        <v>22458.333333333336</v>
      </c>
      <c r="I15" s="50"/>
      <c r="J15" s="51">
        <f>SUM(J6:J14)</f>
        <v>610.19291666666675</v>
      </c>
      <c r="K15" s="50"/>
      <c r="L15" s="49"/>
      <c r="M15" s="52"/>
    </row>
    <row r="16" spans="1:256" ht="12" thickBot="1" x14ac:dyDescent="0.5"/>
    <row r="17" spans="1:256" s="190" customFormat="1" ht="31.2" thickTop="1" thickBot="1" x14ac:dyDescent="1.1499999999999999">
      <c r="A17" s="189" t="s">
        <v>107</v>
      </c>
    </row>
    <row r="18" spans="1:256" s="30" customFormat="1" ht="46.8" x14ac:dyDescent="0.45">
      <c r="A18" s="237" t="s">
        <v>17</v>
      </c>
      <c r="B18" s="239" t="s">
        <v>52</v>
      </c>
      <c r="C18" s="239" t="s">
        <v>28</v>
      </c>
      <c r="D18" s="26" t="s">
        <v>54</v>
      </c>
      <c r="E18" s="26" t="s">
        <v>29</v>
      </c>
      <c r="F18" s="26" t="s">
        <v>26</v>
      </c>
      <c r="G18" s="26" t="s">
        <v>20</v>
      </c>
      <c r="H18" s="27" t="s">
        <v>55</v>
      </c>
      <c r="I18" s="27"/>
      <c r="J18" s="27" t="s">
        <v>56</v>
      </c>
      <c r="K18" s="27"/>
      <c r="L18" s="231" t="s">
        <v>67</v>
      </c>
      <c r="M18" s="233" t="s">
        <v>66</v>
      </c>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s="30" customFormat="1" ht="14.25" customHeight="1" x14ac:dyDescent="0.45">
      <c r="A19" s="238"/>
      <c r="B19" s="240"/>
      <c r="C19" s="240"/>
      <c r="D19" s="31" t="s">
        <v>3</v>
      </c>
      <c r="E19" s="31" t="s">
        <v>2</v>
      </c>
      <c r="F19" s="31" t="s">
        <v>2</v>
      </c>
      <c r="G19" s="31" t="s">
        <v>23</v>
      </c>
      <c r="H19" s="31" t="s">
        <v>0</v>
      </c>
      <c r="I19" s="31" t="s">
        <v>2</v>
      </c>
      <c r="J19" s="31" t="s">
        <v>1</v>
      </c>
      <c r="K19" s="31" t="s">
        <v>2</v>
      </c>
      <c r="L19" s="232"/>
      <c r="M19" s="234"/>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s="38" customFormat="1" ht="23.4" x14ac:dyDescent="0.4">
      <c r="A20" s="53" t="s">
        <v>51</v>
      </c>
      <c r="B20" s="54">
        <v>1</v>
      </c>
      <c r="C20" s="55" t="s">
        <v>53</v>
      </c>
      <c r="D20" s="55">
        <v>200</v>
      </c>
      <c r="E20" s="56">
        <v>0.84</v>
      </c>
      <c r="F20" s="56">
        <v>0.55000000000000004</v>
      </c>
      <c r="G20" s="55">
        <v>4000</v>
      </c>
      <c r="H20" s="33">
        <f>D20*(1/E20)*G20*F20</f>
        <v>523809.5238095239</v>
      </c>
      <c r="I20" s="34" t="s">
        <v>5</v>
      </c>
      <c r="J20" s="35">
        <f>H20*0.06</f>
        <v>31428.571428571435</v>
      </c>
      <c r="K20" s="34" t="s">
        <v>5</v>
      </c>
      <c r="L20" s="55" t="s">
        <v>78</v>
      </c>
      <c r="M20" s="57" t="s">
        <v>79</v>
      </c>
      <c r="N20" s="36"/>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s="150" customFormat="1" ht="12" thickBot="1" x14ac:dyDescent="0.5">
      <c r="A21" s="151" t="s">
        <v>4</v>
      </c>
      <c r="B21" s="152"/>
      <c r="C21" s="144"/>
      <c r="D21" s="144">
        <f>D20</f>
        <v>200</v>
      </c>
      <c r="E21" s="144"/>
      <c r="F21" s="144"/>
      <c r="G21" s="144"/>
      <c r="H21" s="144">
        <f>H20</f>
        <v>523809.5238095239</v>
      </c>
      <c r="I21" s="145"/>
      <c r="J21" s="147">
        <f>J20</f>
        <v>31428.571428571435</v>
      </c>
      <c r="K21" s="145"/>
      <c r="L21" s="144"/>
      <c r="M21" s="149"/>
    </row>
    <row r="26" spans="1:256" s="64" customFormat="1" x14ac:dyDescent="0.45">
      <c r="N26" s="29"/>
    </row>
    <row r="27" spans="1:256" s="64" customFormat="1" x14ac:dyDescent="0.45">
      <c r="N27" s="29"/>
    </row>
    <row r="36" spans="12:13" x14ac:dyDescent="0.45">
      <c r="L36" s="64"/>
      <c r="M36" s="64"/>
    </row>
    <row r="37" spans="12:13" x14ac:dyDescent="0.45">
      <c r="L37" s="64"/>
      <c r="M37" s="64"/>
    </row>
  </sheetData>
  <mergeCells count="11">
    <mergeCell ref="A18:A19"/>
    <mergeCell ref="B18:B19"/>
    <mergeCell ref="C18:C19"/>
    <mergeCell ref="L18:L19"/>
    <mergeCell ref="M18:M19"/>
    <mergeCell ref="M4:M5"/>
    <mergeCell ref="C1:E1"/>
    <mergeCell ref="B4:B5"/>
    <mergeCell ref="A4:A5"/>
    <mergeCell ref="C4:C5"/>
    <mergeCell ref="L4:L5"/>
  </mergeCells>
  <phoneticPr fontId="1" type="noConversion"/>
  <pageMargins left="0.75" right="0.75" top="1" bottom="1"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pageSetUpPr autoPageBreaks="0"/>
  </sheetPr>
  <dimension ref="A1:IV38"/>
  <sheetViews>
    <sheetView showGridLines="0" zoomScaleNormal="100" workbookViewId="0">
      <pane ySplit="5" topLeftCell="A6" activePane="bottomLeft" state="frozen"/>
      <selection activeCell="A2" sqref="A2"/>
      <selection pane="bottomLeft" activeCell="A6" sqref="A6"/>
    </sheetView>
  </sheetViews>
  <sheetFormatPr defaultColWidth="9.1640625" defaultRowHeight="11.7" x14ac:dyDescent="0.45"/>
  <cols>
    <col min="1" max="1" width="18.44140625" style="29" customWidth="1"/>
    <col min="2" max="2" width="10.71875" style="29" customWidth="1"/>
    <col min="3" max="3" width="24" style="29" customWidth="1"/>
    <col min="4" max="4" width="11.27734375" style="29" customWidth="1"/>
    <col min="5" max="6" width="9.83203125" style="29" customWidth="1"/>
    <col min="7" max="7" width="8.83203125" style="29" customWidth="1"/>
    <col min="8" max="8" width="10.44140625" style="29" customWidth="1"/>
    <col min="9" max="9" width="6.44140625" style="29" customWidth="1"/>
    <col min="10" max="10" width="10.44140625" style="29" customWidth="1"/>
    <col min="11" max="11" width="6.44140625" style="29" customWidth="1"/>
    <col min="12" max="12" width="23.44140625" style="29" customWidth="1"/>
    <col min="13" max="13" width="22" style="29" customWidth="1"/>
    <col min="14" max="14" width="14.27734375" style="29" customWidth="1"/>
    <col min="15" max="16384" width="9.1640625" style="29"/>
  </cols>
  <sheetData>
    <row r="1" spans="1:256" s="60" customFormat="1" ht="51.75" customHeight="1" x14ac:dyDescent="0.7">
      <c r="C1" s="235" t="s">
        <v>63</v>
      </c>
      <c r="D1" s="236"/>
      <c r="E1" s="236"/>
      <c r="F1" s="182"/>
      <c r="G1" s="183"/>
      <c r="H1" s="183"/>
      <c r="I1" s="183"/>
      <c r="J1" s="183"/>
      <c r="L1" s="61"/>
      <c r="M1" s="61"/>
      <c r="AI1" s="62"/>
      <c r="AJ1" s="62"/>
      <c r="AK1" s="62"/>
      <c r="AL1" s="62"/>
      <c r="AM1" s="62"/>
      <c r="AN1" s="62"/>
      <c r="AO1" s="62"/>
      <c r="AP1" s="62"/>
      <c r="AQ1" s="62"/>
      <c r="AR1" s="62"/>
      <c r="AS1" s="62"/>
      <c r="AT1" s="62"/>
    </row>
    <row r="2" spans="1:256" ht="15" customHeight="1" x14ac:dyDescent="0.45">
      <c r="A2" s="188" t="s">
        <v>109</v>
      </c>
      <c r="F2" s="183"/>
      <c r="G2" s="183"/>
      <c r="H2" s="183"/>
      <c r="I2" s="183"/>
      <c r="J2" s="183"/>
      <c r="L2" s="63"/>
      <c r="M2" s="63"/>
    </row>
    <row r="3" spans="1:256" ht="3" customHeight="1" thickBot="1" x14ac:dyDescent="0.5"/>
    <row r="4" spans="1:256" s="30" customFormat="1" ht="46.8" x14ac:dyDescent="0.45">
      <c r="A4" s="237" t="s">
        <v>17</v>
      </c>
      <c r="B4" s="239" t="s">
        <v>45</v>
      </c>
      <c r="C4" s="239" t="s">
        <v>57</v>
      </c>
      <c r="D4" s="26" t="s">
        <v>58</v>
      </c>
      <c r="E4" s="26" t="s">
        <v>59</v>
      </c>
      <c r="F4" s="26" t="s">
        <v>26</v>
      </c>
      <c r="G4" s="26" t="s">
        <v>20</v>
      </c>
      <c r="H4" s="27" t="s">
        <v>55</v>
      </c>
      <c r="I4" s="27"/>
      <c r="J4" s="27" t="s">
        <v>56</v>
      </c>
      <c r="K4" s="27"/>
      <c r="L4" s="231" t="s">
        <v>67</v>
      </c>
      <c r="M4" s="233" t="s">
        <v>66</v>
      </c>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30" customFormat="1" ht="14.25" customHeight="1" x14ac:dyDescent="0.45">
      <c r="A5" s="238"/>
      <c r="B5" s="240"/>
      <c r="C5" s="240"/>
      <c r="D5" s="31" t="s">
        <v>3</v>
      </c>
      <c r="E5" s="31" t="s">
        <v>2</v>
      </c>
      <c r="F5" s="31" t="s">
        <v>2</v>
      </c>
      <c r="G5" s="31" t="s">
        <v>23</v>
      </c>
      <c r="H5" s="31" t="s">
        <v>0</v>
      </c>
      <c r="I5" s="31" t="s">
        <v>2</v>
      </c>
      <c r="J5" s="31" t="s">
        <v>1</v>
      </c>
      <c r="K5" s="31" t="s">
        <v>2</v>
      </c>
      <c r="L5" s="232"/>
      <c r="M5" s="234"/>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7" customFormat="1" x14ac:dyDescent="0.4">
      <c r="A6" s="39"/>
      <c r="B6" s="40"/>
      <c r="C6" s="41"/>
      <c r="D6" s="41"/>
      <c r="E6" s="42"/>
      <c r="F6" s="42"/>
      <c r="G6" s="41"/>
      <c r="H6" s="43" t="str">
        <f t="shared" ref="H6:H15" si="0">IF(ISERROR(D6*(1/E6)*G6*F6),"",D6*(1/E6)*G6*F6)</f>
        <v/>
      </c>
      <c r="I6" s="44" t="str">
        <f t="shared" ref="I6:I15" si="1">IF(ISERROR(H6/H$16),"",H6/H$16)</f>
        <v/>
      </c>
      <c r="J6" s="45" t="str">
        <f t="shared" ref="J6:J15" si="2">IF(ISERROR(H6*FuelPrice),"",H6*FuelPrice)</f>
        <v/>
      </c>
      <c r="K6" s="44" t="str">
        <f t="shared" ref="K6:K15" si="3">IF(ISERROR(J6/J$16),"",J6/J$16)</f>
        <v/>
      </c>
      <c r="L6" s="41"/>
      <c r="M6" s="46"/>
    </row>
    <row r="7" spans="1:256" s="37" customFormat="1" x14ac:dyDescent="0.4">
      <c r="A7" s="39"/>
      <c r="B7" s="40"/>
      <c r="C7" s="41"/>
      <c r="D7" s="41"/>
      <c r="E7" s="42"/>
      <c r="F7" s="42"/>
      <c r="G7" s="41"/>
      <c r="H7" s="43" t="str">
        <f t="shared" si="0"/>
        <v/>
      </c>
      <c r="I7" s="44" t="str">
        <f t="shared" si="1"/>
        <v/>
      </c>
      <c r="J7" s="45" t="str">
        <f t="shared" si="2"/>
        <v/>
      </c>
      <c r="K7" s="44" t="str">
        <f t="shared" si="3"/>
        <v/>
      </c>
      <c r="L7" s="41"/>
      <c r="M7" s="46"/>
    </row>
    <row r="8" spans="1:256" s="37" customFormat="1" x14ac:dyDescent="0.4">
      <c r="A8" s="39"/>
      <c r="B8" s="40"/>
      <c r="C8" s="41"/>
      <c r="D8" s="41"/>
      <c r="E8" s="42"/>
      <c r="F8" s="42"/>
      <c r="G8" s="41"/>
      <c r="H8" s="43" t="str">
        <f t="shared" si="0"/>
        <v/>
      </c>
      <c r="I8" s="44" t="str">
        <f t="shared" si="1"/>
        <v/>
      </c>
      <c r="J8" s="45" t="str">
        <f t="shared" si="2"/>
        <v/>
      </c>
      <c r="K8" s="44" t="str">
        <f t="shared" si="3"/>
        <v/>
      </c>
      <c r="L8" s="41"/>
      <c r="M8" s="46"/>
    </row>
    <row r="9" spans="1:256" s="37" customFormat="1" x14ac:dyDescent="0.4">
      <c r="A9" s="39"/>
      <c r="B9" s="40"/>
      <c r="C9" s="41"/>
      <c r="D9" s="41"/>
      <c r="E9" s="42"/>
      <c r="F9" s="42"/>
      <c r="G9" s="41"/>
      <c r="H9" s="43" t="str">
        <f t="shared" si="0"/>
        <v/>
      </c>
      <c r="I9" s="44" t="str">
        <f t="shared" si="1"/>
        <v/>
      </c>
      <c r="J9" s="45" t="str">
        <f t="shared" si="2"/>
        <v/>
      </c>
      <c r="K9" s="44" t="str">
        <f t="shared" si="3"/>
        <v/>
      </c>
      <c r="L9" s="41"/>
      <c r="M9" s="46"/>
    </row>
    <row r="10" spans="1:256" s="37" customFormat="1" x14ac:dyDescent="0.4">
      <c r="A10" s="39"/>
      <c r="B10" s="40"/>
      <c r="C10" s="41"/>
      <c r="D10" s="41"/>
      <c r="E10" s="42"/>
      <c r="F10" s="42"/>
      <c r="G10" s="41"/>
      <c r="H10" s="43" t="str">
        <f t="shared" si="0"/>
        <v/>
      </c>
      <c r="I10" s="44" t="str">
        <f t="shared" si="1"/>
        <v/>
      </c>
      <c r="J10" s="45" t="str">
        <f t="shared" si="2"/>
        <v/>
      </c>
      <c r="K10" s="44" t="str">
        <f t="shared" si="3"/>
        <v/>
      </c>
      <c r="L10" s="41"/>
      <c r="M10" s="46"/>
    </row>
    <row r="11" spans="1:256" s="37" customFormat="1" x14ac:dyDescent="0.4">
      <c r="A11" s="39"/>
      <c r="B11" s="40"/>
      <c r="C11" s="41"/>
      <c r="D11" s="41"/>
      <c r="E11" s="42"/>
      <c r="F11" s="42"/>
      <c r="G11" s="41"/>
      <c r="H11" s="43" t="str">
        <f t="shared" si="0"/>
        <v/>
      </c>
      <c r="I11" s="44" t="str">
        <f t="shared" si="1"/>
        <v/>
      </c>
      <c r="J11" s="45" t="str">
        <f t="shared" si="2"/>
        <v/>
      </c>
      <c r="K11" s="44" t="str">
        <f t="shared" si="3"/>
        <v/>
      </c>
      <c r="L11" s="41"/>
      <c r="M11" s="46"/>
    </row>
    <row r="12" spans="1:256" s="37" customFormat="1" x14ac:dyDescent="0.4">
      <c r="A12" s="39"/>
      <c r="B12" s="40"/>
      <c r="C12" s="41"/>
      <c r="D12" s="41"/>
      <c r="E12" s="42"/>
      <c r="F12" s="42"/>
      <c r="G12" s="41"/>
      <c r="H12" s="43" t="str">
        <f t="shared" si="0"/>
        <v/>
      </c>
      <c r="I12" s="44" t="str">
        <f t="shared" si="1"/>
        <v/>
      </c>
      <c r="J12" s="45" t="str">
        <f t="shared" si="2"/>
        <v/>
      </c>
      <c r="K12" s="44" t="str">
        <f t="shared" si="3"/>
        <v/>
      </c>
      <c r="L12" s="41"/>
      <c r="M12" s="46"/>
    </row>
    <row r="13" spans="1:256" s="37" customFormat="1" x14ac:dyDescent="0.4">
      <c r="A13" s="39"/>
      <c r="B13" s="40"/>
      <c r="C13" s="41"/>
      <c r="D13" s="41"/>
      <c r="E13" s="42"/>
      <c r="F13" s="42"/>
      <c r="G13" s="41"/>
      <c r="H13" s="43" t="str">
        <f t="shared" si="0"/>
        <v/>
      </c>
      <c r="I13" s="44" t="str">
        <f t="shared" si="1"/>
        <v/>
      </c>
      <c r="J13" s="45" t="str">
        <f t="shared" si="2"/>
        <v/>
      </c>
      <c r="K13" s="44" t="str">
        <f t="shared" si="3"/>
        <v/>
      </c>
      <c r="L13" s="41"/>
      <c r="M13" s="46"/>
    </row>
    <row r="14" spans="1:256" s="37" customFormat="1" x14ac:dyDescent="0.4">
      <c r="A14" s="39"/>
      <c r="B14" s="40"/>
      <c r="C14" s="41"/>
      <c r="D14" s="41"/>
      <c r="E14" s="42"/>
      <c r="F14" s="42"/>
      <c r="G14" s="41"/>
      <c r="H14" s="43" t="str">
        <f t="shared" si="0"/>
        <v/>
      </c>
      <c r="I14" s="44" t="str">
        <f t="shared" si="1"/>
        <v/>
      </c>
      <c r="J14" s="45" t="str">
        <f t="shared" si="2"/>
        <v/>
      </c>
      <c r="K14" s="44" t="str">
        <f t="shared" si="3"/>
        <v/>
      </c>
      <c r="L14" s="41"/>
      <c r="M14" s="46"/>
    </row>
    <row r="15" spans="1:256" s="37" customFormat="1" x14ac:dyDescent="0.4">
      <c r="A15" s="39"/>
      <c r="B15" s="40"/>
      <c r="C15" s="41"/>
      <c r="D15" s="41"/>
      <c r="E15" s="42"/>
      <c r="F15" s="42"/>
      <c r="G15" s="41"/>
      <c r="H15" s="43" t="str">
        <f t="shared" si="0"/>
        <v/>
      </c>
      <c r="I15" s="44" t="str">
        <f t="shared" si="1"/>
        <v/>
      </c>
      <c r="J15" s="45" t="str">
        <f t="shared" si="2"/>
        <v/>
      </c>
      <c r="K15" s="44" t="str">
        <f t="shared" si="3"/>
        <v/>
      </c>
      <c r="L15" s="41"/>
      <c r="M15" s="46"/>
    </row>
    <row r="16" spans="1:256" ht="12" thickBot="1" x14ac:dyDescent="0.5">
      <c r="A16" s="47" t="s">
        <v>4</v>
      </c>
      <c r="B16" s="48"/>
      <c r="C16" s="49"/>
      <c r="D16" s="49">
        <f>SUM(D6:D15)</f>
        <v>0</v>
      </c>
      <c r="E16" s="49"/>
      <c r="F16" s="49"/>
      <c r="G16" s="49"/>
      <c r="H16" s="49">
        <f>SUM(H6:H15)</f>
        <v>0</v>
      </c>
      <c r="I16" s="50"/>
      <c r="J16" s="51">
        <f>SUM(J6:J15)</f>
        <v>0</v>
      </c>
      <c r="K16" s="50"/>
      <c r="L16" s="49"/>
      <c r="M16" s="52"/>
    </row>
    <row r="17" spans="1:256" ht="12" thickBot="1" x14ac:dyDescent="0.5"/>
    <row r="18" spans="1:256" s="190" customFormat="1" ht="31.2" thickTop="1" thickBot="1" x14ac:dyDescent="1.1499999999999999">
      <c r="A18" s="189" t="s">
        <v>107</v>
      </c>
    </row>
    <row r="19" spans="1:256" s="30" customFormat="1" ht="46.8" x14ac:dyDescent="0.45">
      <c r="A19" s="237" t="s">
        <v>17</v>
      </c>
      <c r="B19" s="239" t="s">
        <v>45</v>
      </c>
      <c r="C19" s="239" t="s">
        <v>57</v>
      </c>
      <c r="D19" s="26" t="s">
        <v>58</v>
      </c>
      <c r="E19" s="26" t="s">
        <v>59</v>
      </c>
      <c r="F19" s="26" t="s">
        <v>26</v>
      </c>
      <c r="G19" s="26" t="s">
        <v>20</v>
      </c>
      <c r="H19" s="27" t="s">
        <v>55</v>
      </c>
      <c r="I19" s="27"/>
      <c r="J19" s="27" t="s">
        <v>56</v>
      </c>
      <c r="K19" s="27"/>
      <c r="L19" s="231" t="s">
        <v>67</v>
      </c>
      <c r="M19" s="233" t="s">
        <v>66</v>
      </c>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s="30" customFormat="1" ht="14.25" customHeight="1" x14ac:dyDescent="0.45">
      <c r="A20" s="238"/>
      <c r="B20" s="240"/>
      <c r="C20" s="240"/>
      <c r="D20" s="31" t="s">
        <v>3</v>
      </c>
      <c r="E20" s="31" t="s">
        <v>2</v>
      </c>
      <c r="F20" s="31" t="s">
        <v>2</v>
      </c>
      <c r="G20" s="31" t="s">
        <v>23</v>
      </c>
      <c r="H20" s="31" t="s">
        <v>0</v>
      </c>
      <c r="I20" s="31" t="s">
        <v>2</v>
      </c>
      <c r="J20" s="31" t="s">
        <v>1</v>
      </c>
      <c r="K20" s="31" t="s">
        <v>2</v>
      </c>
      <c r="L20" s="232"/>
      <c r="M20" s="234"/>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s="38" customFormat="1" ht="23.4" x14ac:dyDescent="0.4">
      <c r="A21" s="53" t="s">
        <v>60</v>
      </c>
      <c r="B21" s="54" t="s">
        <v>61</v>
      </c>
      <c r="C21" s="55" t="s">
        <v>62</v>
      </c>
      <c r="D21" s="55">
        <v>20</v>
      </c>
      <c r="E21" s="56">
        <v>0.9</v>
      </c>
      <c r="F21" s="56">
        <v>1</v>
      </c>
      <c r="G21" s="55">
        <v>1200</v>
      </c>
      <c r="H21" s="120">
        <f>D21*(1/E21)*G21*F21</f>
        <v>26666.666666666664</v>
      </c>
      <c r="I21" s="34" t="s">
        <v>5</v>
      </c>
      <c r="J21" s="35">
        <f>H21*0.06</f>
        <v>1599.9999999999998</v>
      </c>
      <c r="K21" s="34" t="s">
        <v>5</v>
      </c>
      <c r="L21" s="55" t="s">
        <v>80</v>
      </c>
      <c r="M21" s="57"/>
      <c r="N21" s="36"/>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s="150" customFormat="1" ht="12" thickBot="1" x14ac:dyDescent="0.5">
      <c r="A22" s="151" t="s">
        <v>4</v>
      </c>
      <c r="B22" s="152"/>
      <c r="C22" s="144"/>
      <c r="D22" s="144">
        <f>D21</f>
        <v>20</v>
      </c>
      <c r="E22" s="144"/>
      <c r="F22" s="144"/>
      <c r="G22" s="144"/>
      <c r="H22" s="144">
        <f>H21</f>
        <v>26666.666666666664</v>
      </c>
      <c r="I22" s="145"/>
      <c r="J22" s="147">
        <f>J21</f>
        <v>1599.9999999999998</v>
      </c>
      <c r="K22" s="145"/>
      <c r="L22" s="144"/>
      <c r="M22" s="149"/>
    </row>
    <row r="27" spans="1:256" s="64" customFormat="1" x14ac:dyDescent="0.45">
      <c r="N27" s="29"/>
    </row>
    <row r="28" spans="1:256" s="64" customFormat="1" x14ac:dyDescent="0.45">
      <c r="N28" s="29"/>
    </row>
    <row r="37" spans="12:13" x14ac:dyDescent="0.45">
      <c r="L37" s="64"/>
      <c r="M37" s="64"/>
    </row>
    <row r="38" spans="12:13" x14ac:dyDescent="0.45">
      <c r="L38" s="64"/>
      <c r="M38" s="64"/>
    </row>
  </sheetData>
  <mergeCells count="11">
    <mergeCell ref="A19:A20"/>
    <mergeCell ref="B19:B20"/>
    <mergeCell ref="C19:C20"/>
    <mergeCell ref="L19:L20"/>
    <mergeCell ref="M19:M20"/>
    <mergeCell ref="M4:M5"/>
    <mergeCell ref="C1:E1"/>
    <mergeCell ref="B4:B5"/>
    <mergeCell ref="A4:A5"/>
    <mergeCell ref="C4:C5"/>
    <mergeCell ref="L4:L5"/>
  </mergeCells>
  <phoneticPr fontId="1"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autoPageBreaks="0"/>
  </sheetPr>
  <dimension ref="A1:IX48"/>
  <sheetViews>
    <sheetView showGridLines="0" zoomScaleNormal="100" workbookViewId="0">
      <pane ySplit="5" topLeftCell="A6" activePane="bottomLeft" state="frozen"/>
      <selection pane="bottomLeft" activeCell="A6" sqref="A6"/>
    </sheetView>
  </sheetViews>
  <sheetFormatPr defaultColWidth="9.1640625" defaultRowHeight="11.7" x14ac:dyDescent="0.45"/>
  <cols>
    <col min="1" max="1" width="18.44140625" style="29" customWidth="1"/>
    <col min="2" max="2" width="10.71875" style="29" customWidth="1"/>
    <col min="3" max="3" width="24" style="29" customWidth="1"/>
    <col min="4" max="4" width="11.27734375" style="29" customWidth="1"/>
    <col min="5" max="6" width="9.83203125" style="29" customWidth="1"/>
    <col min="7" max="7" width="8.83203125" style="29" customWidth="1"/>
    <col min="8" max="8" width="10.44140625" style="29" customWidth="1"/>
    <col min="9" max="9" width="6.44140625" style="29" customWidth="1"/>
    <col min="10" max="10" width="8.27734375" style="29" customWidth="1"/>
    <col min="11" max="11" width="10.44140625" style="29" customWidth="1"/>
    <col min="12" max="12" width="6.44140625" style="29" customWidth="1"/>
    <col min="13" max="13" width="8.27734375" style="29" customWidth="1"/>
    <col min="14" max="14" width="23.44140625" style="29" customWidth="1"/>
    <col min="15" max="15" width="22" style="29" customWidth="1"/>
    <col min="16" max="16" width="14.27734375" style="29" customWidth="1"/>
    <col min="17" max="16384" width="9.1640625" style="29"/>
  </cols>
  <sheetData>
    <row r="1" spans="1:258" s="60" customFormat="1" ht="51.75" customHeight="1" x14ac:dyDescent="0.7">
      <c r="C1" s="235" t="s">
        <v>127</v>
      </c>
      <c r="D1" s="236"/>
      <c r="E1" s="236"/>
      <c r="F1" s="244"/>
      <c r="G1" s="245"/>
      <c r="H1" s="245"/>
      <c r="I1" s="245"/>
      <c r="J1" s="245"/>
      <c r="K1" s="245"/>
      <c r="L1" s="244"/>
      <c r="M1" s="245"/>
      <c r="N1" s="245"/>
      <c r="O1" s="245"/>
      <c r="P1" s="245"/>
      <c r="Q1" s="245"/>
      <c r="AK1" s="62"/>
      <c r="AL1" s="62"/>
      <c r="AM1" s="62"/>
      <c r="AN1" s="62"/>
      <c r="AO1" s="62"/>
      <c r="AP1" s="62"/>
      <c r="AQ1" s="62"/>
      <c r="AR1" s="62"/>
      <c r="AS1" s="62"/>
      <c r="AT1" s="62"/>
      <c r="AU1" s="62"/>
      <c r="AV1" s="62"/>
    </row>
    <row r="2" spans="1:258" ht="15" customHeight="1" x14ac:dyDescent="0.45">
      <c r="A2" s="188" t="s">
        <v>128</v>
      </c>
      <c r="F2" s="245"/>
      <c r="G2" s="245"/>
      <c r="H2" s="245"/>
      <c r="I2" s="245"/>
      <c r="J2" s="245"/>
      <c r="K2" s="245"/>
      <c r="L2" s="245"/>
      <c r="M2" s="245"/>
      <c r="N2" s="245"/>
      <c r="O2" s="245"/>
      <c r="P2" s="245"/>
      <c r="Q2" s="245"/>
      <c r="AI2" s="123" t="s">
        <v>9</v>
      </c>
      <c r="AJ2" s="123" t="s">
        <v>137</v>
      </c>
    </row>
    <row r="3" spans="1:258" ht="3" customHeight="1" thickBot="1" x14ac:dyDescent="0.5"/>
    <row r="4" spans="1:258" s="30" customFormat="1" ht="48" customHeight="1" x14ac:dyDescent="0.45">
      <c r="A4" s="237" t="s">
        <v>125</v>
      </c>
      <c r="B4" s="239" t="s">
        <v>124</v>
      </c>
      <c r="C4" s="239" t="s">
        <v>126</v>
      </c>
      <c r="D4" s="239" t="s">
        <v>132</v>
      </c>
      <c r="E4" s="26" t="s">
        <v>130</v>
      </c>
      <c r="F4" s="26" t="s">
        <v>135</v>
      </c>
      <c r="G4" s="252" t="s">
        <v>55</v>
      </c>
      <c r="H4" s="253"/>
      <c r="I4" s="253"/>
      <c r="J4" s="254"/>
      <c r="K4" s="27" t="s">
        <v>56</v>
      </c>
      <c r="L4" s="27"/>
      <c r="M4" s="27"/>
      <c r="N4" s="231" t="s">
        <v>67</v>
      </c>
      <c r="O4" s="233" t="s">
        <v>66</v>
      </c>
      <c r="P4" s="29"/>
      <c r="Q4" s="29"/>
      <c r="R4" s="29"/>
      <c r="S4" s="29"/>
      <c r="T4" s="29"/>
      <c r="U4" s="29"/>
      <c r="V4" s="29"/>
      <c r="W4" s="29"/>
      <c r="X4" s="29"/>
      <c r="Y4" s="29"/>
      <c r="Z4" s="29"/>
      <c r="AA4" s="29"/>
      <c r="AB4" s="29"/>
      <c r="AC4" s="29"/>
      <c r="AD4" s="29"/>
      <c r="AE4" s="29"/>
      <c r="AF4" s="29"/>
      <c r="AG4" s="29"/>
      <c r="AH4" s="29"/>
      <c r="AI4" s="124" t="s">
        <v>133</v>
      </c>
      <c r="AJ4" s="124">
        <v>10.169</v>
      </c>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row>
    <row r="5" spans="1:258" s="30" customFormat="1" ht="14.25" customHeight="1" x14ac:dyDescent="0.45">
      <c r="A5" s="238"/>
      <c r="B5" s="240"/>
      <c r="C5" s="240"/>
      <c r="D5" s="243"/>
      <c r="E5" s="31" t="s">
        <v>131</v>
      </c>
      <c r="F5" s="31" t="s">
        <v>136</v>
      </c>
      <c r="G5" s="31" t="s">
        <v>131</v>
      </c>
      <c r="H5" s="31" t="s">
        <v>0</v>
      </c>
      <c r="I5" s="31" t="s">
        <v>2</v>
      </c>
      <c r="J5" s="31" t="s">
        <v>129</v>
      </c>
      <c r="K5" s="31" t="s">
        <v>1</v>
      </c>
      <c r="L5" s="31" t="s">
        <v>2</v>
      </c>
      <c r="M5" s="31" t="s">
        <v>141</v>
      </c>
      <c r="N5" s="232"/>
      <c r="O5" s="234"/>
      <c r="P5" s="29"/>
      <c r="Q5" s="29"/>
      <c r="R5" s="29"/>
      <c r="S5" s="29"/>
      <c r="T5" s="29"/>
      <c r="U5" s="29"/>
      <c r="V5" s="29"/>
      <c r="W5" s="29"/>
      <c r="X5" s="29"/>
      <c r="Y5" s="29"/>
      <c r="Z5" s="29"/>
      <c r="AA5" s="29"/>
      <c r="AB5" s="29"/>
      <c r="AC5" s="29"/>
      <c r="AD5" s="29"/>
      <c r="AE5" s="29"/>
      <c r="AF5" s="29"/>
      <c r="AG5" s="29"/>
      <c r="AH5" s="29"/>
      <c r="AI5" s="124" t="s">
        <v>134</v>
      </c>
      <c r="AJ5" s="124">
        <v>9.2690000000000001</v>
      </c>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row>
    <row r="6" spans="1:258" s="37" customFormat="1" x14ac:dyDescent="0.4">
      <c r="A6" s="39"/>
      <c r="B6" s="40"/>
      <c r="C6" s="41"/>
      <c r="D6" s="121"/>
      <c r="E6" s="71"/>
      <c r="F6" s="41"/>
      <c r="G6" s="41"/>
      <c r="H6" s="125" t="str">
        <f>IF(G6="","",G6*(IF(D6=AI$4,AJ$4,IF(D6=AI$5,AJ$5,""))))</f>
        <v/>
      </c>
      <c r="I6" s="44" t="str">
        <f>IF(ISERROR(H6/H$26),"",H6/H$26)</f>
        <v/>
      </c>
      <c r="J6" s="122" t="e">
        <f>G6/(F6/100)</f>
        <v>#DIV/0!</v>
      </c>
      <c r="K6" s="45">
        <f t="shared" ref="K6:K25" si="0">G6*(IF(D6="Diesel",DieselPrice, IF(D6="petrol",PetrolPrice,"0")))</f>
        <v>0</v>
      </c>
      <c r="L6" s="44" t="str">
        <f t="shared" ref="L6:L25" si="1">IF(ISERROR(K6/K$26),"",K6/K$26)</f>
        <v/>
      </c>
      <c r="M6" s="138" t="e">
        <f>K6/(F6/100)</f>
        <v>#DIV/0!</v>
      </c>
      <c r="N6" s="41"/>
      <c r="O6" s="46"/>
    </row>
    <row r="7" spans="1:258" s="37" customFormat="1" x14ac:dyDescent="0.4">
      <c r="A7" s="39"/>
      <c r="B7" s="40"/>
      <c r="C7" s="41"/>
      <c r="D7" s="121"/>
      <c r="E7" s="71"/>
      <c r="F7" s="41"/>
      <c r="G7" s="41"/>
      <c r="H7" s="125" t="str">
        <f t="shared" ref="H7:H16" si="2">IF(G7="","",G7*(IF(D7=AI$4,AJ$4,IF(D7=AI$5,AJ$5,""))))</f>
        <v/>
      </c>
      <c r="I7" s="44" t="str">
        <f t="shared" ref="I7:I16" si="3">IF(ISERROR(H7/H$26),"",H7/H$26)</f>
        <v/>
      </c>
      <c r="J7" s="122" t="e">
        <f t="shared" ref="J7:J16" si="4">G7/(F7/100)</f>
        <v>#DIV/0!</v>
      </c>
      <c r="K7" s="45">
        <f t="shared" si="0"/>
        <v>0</v>
      </c>
      <c r="L7" s="44" t="str">
        <f t="shared" ref="L7:L16" si="5">IF(ISERROR(K7/K$26),"",K7/K$26)</f>
        <v/>
      </c>
      <c r="M7" s="138" t="e">
        <f t="shared" ref="M7:M16" si="6">K7/(F7/100)</f>
        <v>#DIV/0!</v>
      </c>
      <c r="N7" s="41"/>
      <c r="O7" s="46"/>
    </row>
    <row r="8" spans="1:258" s="37" customFormat="1" x14ac:dyDescent="0.4">
      <c r="A8" s="39"/>
      <c r="B8" s="40"/>
      <c r="C8" s="41"/>
      <c r="D8" s="121"/>
      <c r="E8" s="71"/>
      <c r="F8" s="41"/>
      <c r="G8" s="41"/>
      <c r="H8" s="125" t="str">
        <f t="shared" si="2"/>
        <v/>
      </c>
      <c r="I8" s="44" t="str">
        <f t="shared" si="3"/>
        <v/>
      </c>
      <c r="J8" s="122" t="e">
        <f t="shared" si="4"/>
        <v>#DIV/0!</v>
      </c>
      <c r="K8" s="45">
        <f t="shared" si="0"/>
        <v>0</v>
      </c>
      <c r="L8" s="44" t="str">
        <f t="shared" si="5"/>
        <v/>
      </c>
      <c r="M8" s="138" t="e">
        <f t="shared" si="6"/>
        <v>#DIV/0!</v>
      </c>
      <c r="N8" s="41"/>
      <c r="O8" s="46"/>
    </row>
    <row r="9" spans="1:258" s="37" customFormat="1" x14ac:dyDescent="0.4">
      <c r="A9" s="39"/>
      <c r="B9" s="40"/>
      <c r="C9" s="41"/>
      <c r="D9" s="121"/>
      <c r="E9" s="71"/>
      <c r="F9" s="41"/>
      <c r="G9" s="41"/>
      <c r="H9" s="125" t="str">
        <f t="shared" si="2"/>
        <v/>
      </c>
      <c r="I9" s="44" t="str">
        <f t="shared" si="3"/>
        <v/>
      </c>
      <c r="J9" s="122" t="e">
        <f t="shared" si="4"/>
        <v>#DIV/0!</v>
      </c>
      <c r="K9" s="45">
        <f t="shared" si="0"/>
        <v>0</v>
      </c>
      <c r="L9" s="44" t="str">
        <f t="shared" si="5"/>
        <v/>
      </c>
      <c r="M9" s="138" t="e">
        <f t="shared" si="6"/>
        <v>#DIV/0!</v>
      </c>
      <c r="N9" s="41"/>
      <c r="O9" s="46"/>
    </row>
    <row r="10" spans="1:258" s="37" customFormat="1" x14ac:dyDescent="0.4">
      <c r="A10" s="39"/>
      <c r="B10" s="40"/>
      <c r="C10" s="41"/>
      <c r="D10" s="121"/>
      <c r="E10" s="71"/>
      <c r="F10" s="41"/>
      <c r="G10" s="41"/>
      <c r="H10" s="125" t="str">
        <f t="shared" si="2"/>
        <v/>
      </c>
      <c r="I10" s="44" t="str">
        <f t="shared" si="3"/>
        <v/>
      </c>
      <c r="J10" s="122" t="e">
        <f t="shared" si="4"/>
        <v>#DIV/0!</v>
      </c>
      <c r="K10" s="45">
        <f t="shared" si="0"/>
        <v>0</v>
      </c>
      <c r="L10" s="44" t="str">
        <f t="shared" si="5"/>
        <v/>
      </c>
      <c r="M10" s="138" t="e">
        <f t="shared" si="6"/>
        <v>#DIV/0!</v>
      </c>
      <c r="N10" s="41"/>
      <c r="O10" s="46"/>
    </row>
    <row r="11" spans="1:258" s="37" customFormat="1" x14ac:dyDescent="0.4">
      <c r="A11" s="39"/>
      <c r="B11" s="40"/>
      <c r="C11" s="41"/>
      <c r="D11" s="121"/>
      <c r="E11" s="71"/>
      <c r="F11" s="41"/>
      <c r="G11" s="41"/>
      <c r="H11" s="125" t="str">
        <f t="shared" si="2"/>
        <v/>
      </c>
      <c r="I11" s="44" t="str">
        <f t="shared" si="3"/>
        <v/>
      </c>
      <c r="J11" s="122" t="e">
        <f t="shared" si="4"/>
        <v>#DIV/0!</v>
      </c>
      <c r="K11" s="45">
        <f t="shared" si="0"/>
        <v>0</v>
      </c>
      <c r="L11" s="44" t="str">
        <f t="shared" si="5"/>
        <v/>
      </c>
      <c r="M11" s="138" t="e">
        <f t="shared" si="6"/>
        <v>#DIV/0!</v>
      </c>
      <c r="N11" s="41"/>
      <c r="O11" s="46"/>
    </row>
    <row r="12" spans="1:258" s="37" customFormat="1" x14ac:dyDescent="0.4">
      <c r="A12" s="39"/>
      <c r="B12" s="40"/>
      <c r="C12" s="41"/>
      <c r="D12" s="121"/>
      <c r="E12" s="71"/>
      <c r="F12" s="41"/>
      <c r="G12" s="41"/>
      <c r="H12" s="125" t="str">
        <f t="shared" si="2"/>
        <v/>
      </c>
      <c r="I12" s="44" t="str">
        <f t="shared" si="3"/>
        <v/>
      </c>
      <c r="J12" s="122" t="e">
        <f t="shared" si="4"/>
        <v>#DIV/0!</v>
      </c>
      <c r="K12" s="45">
        <f t="shared" si="0"/>
        <v>0</v>
      </c>
      <c r="L12" s="44" t="str">
        <f t="shared" si="5"/>
        <v/>
      </c>
      <c r="M12" s="138" t="e">
        <f t="shared" si="6"/>
        <v>#DIV/0!</v>
      </c>
      <c r="N12" s="41"/>
      <c r="O12" s="46"/>
    </row>
    <row r="13" spans="1:258" s="37" customFormat="1" x14ac:dyDescent="0.4">
      <c r="A13" s="39"/>
      <c r="B13" s="40"/>
      <c r="C13" s="41"/>
      <c r="D13" s="121"/>
      <c r="E13" s="71"/>
      <c r="F13" s="41"/>
      <c r="G13" s="41"/>
      <c r="H13" s="125" t="str">
        <f t="shared" si="2"/>
        <v/>
      </c>
      <c r="I13" s="44" t="str">
        <f t="shared" si="3"/>
        <v/>
      </c>
      <c r="J13" s="122" t="e">
        <f t="shared" si="4"/>
        <v>#DIV/0!</v>
      </c>
      <c r="K13" s="45">
        <f t="shared" si="0"/>
        <v>0</v>
      </c>
      <c r="L13" s="44" t="str">
        <f t="shared" si="5"/>
        <v/>
      </c>
      <c r="M13" s="138" t="e">
        <f t="shared" si="6"/>
        <v>#DIV/0!</v>
      </c>
      <c r="N13" s="41"/>
      <c r="O13" s="46"/>
    </row>
    <row r="14" spans="1:258" s="37" customFormat="1" x14ac:dyDescent="0.4">
      <c r="A14" s="39"/>
      <c r="B14" s="40"/>
      <c r="C14" s="41"/>
      <c r="D14" s="121"/>
      <c r="E14" s="71"/>
      <c r="F14" s="41"/>
      <c r="G14" s="41"/>
      <c r="H14" s="125" t="str">
        <f t="shared" si="2"/>
        <v/>
      </c>
      <c r="I14" s="44" t="str">
        <f t="shared" si="3"/>
        <v/>
      </c>
      <c r="J14" s="122" t="e">
        <f t="shared" si="4"/>
        <v>#DIV/0!</v>
      </c>
      <c r="K14" s="45">
        <f t="shared" si="0"/>
        <v>0</v>
      </c>
      <c r="L14" s="44" t="str">
        <f t="shared" si="5"/>
        <v/>
      </c>
      <c r="M14" s="138" t="e">
        <f t="shared" si="6"/>
        <v>#DIV/0!</v>
      </c>
      <c r="N14" s="41"/>
      <c r="O14" s="46"/>
    </row>
    <row r="15" spans="1:258" s="37" customFormat="1" x14ac:dyDescent="0.4">
      <c r="A15" s="39"/>
      <c r="B15" s="40"/>
      <c r="C15" s="41"/>
      <c r="D15" s="121"/>
      <c r="E15" s="71"/>
      <c r="F15" s="41"/>
      <c r="G15" s="41"/>
      <c r="H15" s="125" t="str">
        <f t="shared" si="2"/>
        <v/>
      </c>
      <c r="I15" s="44" t="str">
        <f t="shared" si="3"/>
        <v/>
      </c>
      <c r="J15" s="122" t="e">
        <f t="shared" si="4"/>
        <v>#DIV/0!</v>
      </c>
      <c r="K15" s="45">
        <f t="shared" si="0"/>
        <v>0</v>
      </c>
      <c r="L15" s="44" t="str">
        <f t="shared" si="5"/>
        <v/>
      </c>
      <c r="M15" s="138" t="e">
        <f t="shared" si="6"/>
        <v>#DIV/0!</v>
      </c>
      <c r="N15" s="41"/>
      <c r="O15" s="46"/>
    </row>
    <row r="16" spans="1:258" s="37" customFormat="1" x14ac:dyDescent="0.4">
      <c r="A16" s="39"/>
      <c r="B16" s="40"/>
      <c r="C16" s="41"/>
      <c r="D16" s="121"/>
      <c r="E16" s="71"/>
      <c r="F16" s="41"/>
      <c r="G16" s="41"/>
      <c r="H16" s="125" t="str">
        <f t="shared" si="2"/>
        <v/>
      </c>
      <c r="I16" s="44" t="str">
        <f t="shared" si="3"/>
        <v/>
      </c>
      <c r="J16" s="122" t="e">
        <f t="shared" si="4"/>
        <v>#DIV/0!</v>
      </c>
      <c r="K16" s="45">
        <f t="shared" si="0"/>
        <v>0</v>
      </c>
      <c r="L16" s="44" t="str">
        <f t="shared" si="5"/>
        <v/>
      </c>
      <c r="M16" s="138" t="e">
        <f t="shared" si="6"/>
        <v>#DIV/0!</v>
      </c>
      <c r="N16" s="41"/>
      <c r="O16" s="46"/>
    </row>
    <row r="17" spans="1:258" s="37" customFormat="1" x14ac:dyDescent="0.4">
      <c r="A17" s="39"/>
      <c r="B17" s="40"/>
      <c r="C17" s="41"/>
      <c r="D17" s="121"/>
      <c r="E17" s="71"/>
      <c r="F17" s="41"/>
      <c r="G17" s="41"/>
      <c r="H17" s="125" t="str">
        <f t="shared" ref="H17:H25" si="7">IF(G17="","",G17*(IF(D17=AI$4,AJ$4,IF(D17=AI$5,AJ$5,""))))</f>
        <v/>
      </c>
      <c r="I17" s="44" t="str">
        <f t="shared" ref="I17:I25" si="8">IF(ISERROR(H17/H$26),"",H17/H$26)</f>
        <v/>
      </c>
      <c r="J17" s="122" t="e">
        <f t="shared" ref="J17:J25" si="9">G17/(F17/100)</f>
        <v>#DIV/0!</v>
      </c>
      <c r="K17" s="45">
        <f t="shared" si="0"/>
        <v>0</v>
      </c>
      <c r="L17" s="44" t="str">
        <f t="shared" si="1"/>
        <v/>
      </c>
      <c r="M17" s="138" t="e">
        <f t="shared" ref="M17:M26" si="10">K17/(F17/100)</f>
        <v>#DIV/0!</v>
      </c>
      <c r="N17" s="41"/>
      <c r="O17" s="46"/>
    </row>
    <row r="18" spans="1:258" s="37" customFormat="1" x14ac:dyDescent="0.4">
      <c r="A18" s="39"/>
      <c r="B18" s="40"/>
      <c r="C18" s="41"/>
      <c r="D18" s="121"/>
      <c r="E18" s="71"/>
      <c r="F18" s="41"/>
      <c r="G18" s="41"/>
      <c r="H18" s="125" t="str">
        <f t="shared" si="7"/>
        <v/>
      </c>
      <c r="I18" s="44" t="str">
        <f t="shared" si="8"/>
        <v/>
      </c>
      <c r="J18" s="122" t="e">
        <f t="shared" si="9"/>
        <v>#DIV/0!</v>
      </c>
      <c r="K18" s="45">
        <f t="shared" si="0"/>
        <v>0</v>
      </c>
      <c r="L18" s="44" t="str">
        <f t="shared" si="1"/>
        <v/>
      </c>
      <c r="M18" s="138" t="e">
        <f t="shared" si="10"/>
        <v>#DIV/0!</v>
      </c>
      <c r="N18" s="41"/>
      <c r="O18" s="46"/>
    </row>
    <row r="19" spans="1:258" s="37" customFormat="1" x14ac:dyDescent="0.4">
      <c r="A19" s="39"/>
      <c r="B19" s="40"/>
      <c r="C19" s="41"/>
      <c r="D19" s="121"/>
      <c r="E19" s="71"/>
      <c r="F19" s="41"/>
      <c r="G19" s="41"/>
      <c r="H19" s="125" t="str">
        <f t="shared" si="7"/>
        <v/>
      </c>
      <c r="I19" s="44" t="str">
        <f t="shared" si="8"/>
        <v/>
      </c>
      <c r="J19" s="122" t="e">
        <f t="shared" si="9"/>
        <v>#DIV/0!</v>
      </c>
      <c r="K19" s="45">
        <f t="shared" si="0"/>
        <v>0</v>
      </c>
      <c r="L19" s="44" t="str">
        <f t="shared" si="1"/>
        <v/>
      </c>
      <c r="M19" s="138" t="e">
        <f t="shared" si="10"/>
        <v>#DIV/0!</v>
      </c>
      <c r="N19" s="41"/>
      <c r="O19" s="46"/>
    </row>
    <row r="20" spans="1:258" s="37" customFormat="1" x14ac:dyDescent="0.4">
      <c r="A20" s="39"/>
      <c r="B20" s="40"/>
      <c r="C20" s="41"/>
      <c r="D20" s="121"/>
      <c r="E20" s="71"/>
      <c r="F20" s="41"/>
      <c r="G20" s="41"/>
      <c r="H20" s="125" t="str">
        <f t="shared" si="7"/>
        <v/>
      </c>
      <c r="I20" s="44" t="str">
        <f t="shared" si="8"/>
        <v/>
      </c>
      <c r="J20" s="122" t="e">
        <f t="shared" si="9"/>
        <v>#DIV/0!</v>
      </c>
      <c r="K20" s="45">
        <f t="shared" si="0"/>
        <v>0</v>
      </c>
      <c r="L20" s="44" t="str">
        <f t="shared" si="1"/>
        <v/>
      </c>
      <c r="M20" s="138" t="e">
        <f t="shared" si="10"/>
        <v>#DIV/0!</v>
      </c>
      <c r="N20" s="41"/>
      <c r="O20" s="46"/>
    </row>
    <row r="21" spans="1:258" s="37" customFormat="1" x14ac:dyDescent="0.4">
      <c r="A21" s="39"/>
      <c r="B21" s="40"/>
      <c r="C21" s="41"/>
      <c r="D21" s="121"/>
      <c r="E21" s="71"/>
      <c r="F21" s="41"/>
      <c r="G21" s="41"/>
      <c r="H21" s="125" t="str">
        <f t="shared" si="7"/>
        <v/>
      </c>
      <c r="I21" s="44" t="str">
        <f t="shared" si="8"/>
        <v/>
      </c>
      <c r="J21" s="122" t="e">
        <f t="shared" si="9"/>
        <v>#DIV/0!</v>
      </c>
      <c r="K21" s="45">
        <f t="shared" si="0"/>
        <v>0</v>
      </c>
      <c r="L21" s="44" t="str">
        <f t="shared" si="1"/>
        <v/>
      </c>
      <c r="M21" s="138" t="e">
        <f t="shared" si="10"/>
        <v>#DIV/0!</v>
      </c>
      <c r="N21" s="41"/>
      <c r="O21" s="46"/>
    </row>
    <row r="22" spans="1:258" s="37" customFormat="1" x14ac:dyDescent="0.4">
      <c r="A22" s="39"/>
      <c r="B22" s="40"/>
      <c r="C22" s="41"/>
      <c r="D22" s="121"/>
      <c r="E22" s="71"/>
      <c r="F22" s="41"/>
      <c r="G22" s="41"/>
      <c r="H22" s="125" t="str">
        <f t="shared" si="7"/>
        <v/>
      </c>
      <c r="I22" s="44" t="str">
        <f t="shared" si="8"/>
        <v/>
      </c>
      <c r="J22" s="122" t="e">
        <f t="shared" si="9"/>
        <v>#DIV/0!</v>
      </c>
      <c r="K22" s="45">
        <f t="shared" si="0"/>
        <v>0</v>
      </c>
      <c r="L22" s="44" t="str">
        <f t="shared" si="1"/>
        <v/>
      </c>
      <c r="M22" s="138" t="e">
        <f t="shared" si="10"/>
        <v>#DIV/0!</v>
      </c>
      <c r="N22" s="41"/>
      <c r="O22" s="46"/>
    </row>
    <row r="23" spans="1:258" s="37" customFormat="1" x14ac:dyDescent="0.4">
      <c r="A23" s="39"/>
      <c r="B23" s="40"/>
      <c r="C23" s="41"/>
      <c r="D23" s="121"/>
      <c r="E23" s="71"/>
      <c r="F23" s="41"/>
      <c r="G23" s="41"/>
      <c r="H23" s="125" t="str">
        <f t="shared" si="7"/>
        <v/>
      </c>
      <c r="I23" s="44" t="str">
        <f t="shared" si="8"/>
        <v/>
      </c>
      <c r="J23" s="122" t="e">
        <f t="shared" si="9"/>
        <v>#DIV/0!</v>
      </c>
      <c r="K23" s="45">
        <f t="shared" si="0"/>
        <v>0</v>
      </c>
      <c r="L23" s="44" t="str">
        <f t="shared" si="1"/>
        <v/>
      </c>
      <c r="M23" s="138" t="e">
        <f t="shared" si="10"/>
        <v>#DIV/0!</v>
      </c>
      <c r="N23" s="41"/>
      <c r="O23" s="46"/>
    </row>
    <row r="24" spans="1:258" s="37" customFormat="1" x14ac:dyDescent="0.4">
      <c r="A24" s="39"/>
      <c r="B24" s="40"/>
      <c r="C24" s="41"/>
      <c r="D24" s="121"/>
      <c r="E24" s="71"/>
      <c r="F24" s="41"/>
      <c r="G24" s="41"/>
      <c r="H24" s="125" t="str">
        <f t="shared" si="7"/>
        <v/>
      </c>
      <c r="I24" s="44" t="str">
        <f t="shared" si="8"/>
        <v/>
      </c>
      <c r="J24" s="122" t="e">
        <f t="shared" si="9"/>
        <v>#DIV/0!</v>
      </c>
      <c r="K24" s="45">
        <f t="shared" si="0"/>
        <v>0</v>
      </c>
      <c r="L24" s="44" t="str">
        <f t="shared" si="1"/>
        <v/>
      </c>
      <c r="M24" s="138" t="e">
        <f t="shared" si="10"/>
        <v>#DIV/0!</v>
      </c>
      <c r="N24" s="41"/>
      <c r="O24" s="46"/>
    </row>
    <row r="25" spans="1:258" s="37" customFormat="1" x14ac:dyDescent="0.4">
      <c r="A25" s="39"/>
      <c r="B25" s="40"/>
      <c r="C25" s="41"/>
      <c r="D25" s="121"/>
      <c r="E25" s="71"/>
      <c r="F25" s="41"/>
      <c r="G25" s="41"/>
      <c r="H25" s="125" t="str">
        <f t="shared" si="7"/>
        <v/>
      </c>
      <c r="I25" s="44" t="str">
        <f t="shared" si="8"/>
        <v/>
      </c>
      <c r="J25" s="122" t="e">
        <f t="shared" si="9"/>
        <v>#DIV/0!</v>
      </c>
      <c r="K25" s="45">
        <f t="shared" si="0"/>
        <v>0</v>
      </c>
      <c r="L25" s="44" t="str">
        <f t="shared" si="1"/>
        <v/>
      </c>
      <c r="M25" s="138" t="e">
        <f t="shared" si="10"/>
        <v>#DIV/0!</v>
      </c>
      <c r="N25" s="41"/>
      <c r="O25" s="46"/>
    </row>
    <row r="26" spans="1:258" ht="13.5" customHeight="1" thickBot="1" x14ac:dyDescent="0.5">
      <c r="A26" s="246" t="s">
        <v>4</v>
      </c>
      <c r="B26" s="247"/>
      <c r="C26" s="247"/>
      <c r="D26" s="247"/>
      <c r="E26" s="248"/>
      <c r="F26" s="49">
        <f>SUM(F6:F25)</f>
        <v>0</v>
      </c>
      <c r="G26" s="49">
        <f>SUM(G6:G25)</f>
        <v>0</v>
      </c>
      <c r="H26" s="49">
        <f>SUM(H6:H25)</f>
        <v>0</v>
      </c>
      <c r="I26" s="50"/>
      <c r="J26" s="139" t="e">
        <f>G26/(F26/100)</f>
        <v>#DIV/0!</v>
      </c>
      <c r="K26" s="51">
        <f>SUM(K6:K25)</f>
        <v>0</v>
      </c>
      <c r="L26" s="50"/>
      <c r="M26" s="140" t="e">
        <f t="shared" si="10"/>
        <v>#DIV/0!</v>
      </c>
      <c r="N26" s="49"/>
      <c r="O26" s="52"/>
    </row>
    <row r="27" spans="1:258" ht="12" thickBot="1" x14ac:dyDescent="0.5"/>
    <row r="28" spans="1:258" s="190" customFormat="1" ht="31.2" thickTop="1" thickBot="1" x14ac:dyDescent="1.1499999999999999">
      <c r="A28" s="189" t="s">
        <v>107</v>
      </c>
    </row>
    <row r="29" spans="1:258" s="30" customFormat="1" ht="35.1" x14ac:dyDescent="0.45">
      <c r="A29" s="237" t="str">
        <f>A4</f>
        <v>Vehicle Base Location</v>
      </c>
      <c r="B29" s="239" t="str">
        <f>B4</f>
        <v>Vehicle Ref</v>
      </c>
      <c r="C29" s="239" t="str">
        <f>C4</f>
        <v>Vehicle Description</v>
      </c>
      <c r="D29" s="239" t="s">
        <v>132</v>
      </c>
      <c r="E29" s="26" t="s">
        <v>130</v>
      </c>
      <c r="F29" s="26" t="s">
        <v>135</v>
      </c>
      <c r="G29" s="252" t="s">
        <v>55</v>
      </c>
      <c r="H29" s="253"/>
      <c r="I29" s="253"/>
      <c r="J29" s="254"/>
      <c r="K29" s="27" t="s">
        <v>56</v>
      </c>
      <c r="L29" s="27"/>
      <c r="M29" s="27"/>
      <c r="N29" s="231" t="s">
        <v>67</v>
      </c>
      <c r="O29" s="233" t="s">
        <v>66</v>
      </c>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row>
    <row r="30" spans="1:258" s="30" customFormat="1" ht="14.25" customHeight="1" x14ac:dyDescent="0.45">
      <c r="A30" s="238"/>
      <c r="B30" s="240"/>
      <c r="C30" s="240"/>
      <c r="D30" s="243"/>
      <c r="E30" s="31" t="s">
        <v>131</v>
      </c>
      <c r="F30" s="31" t="s">
        <v>136</v>
      </c>
      <c r="G30" s="31" t="s">
        <v>131</v>
      </c>
      <c r="H30" s="31" t="s">
        <v>0</v>
      </c>
      <c r="I30" s="31" t="s">
        <v>2</v>
      </c>
      <c r="J30" s="31" t="s">
        <v>129</v>
      </c>
      <c r="K30" s="31" t="s">
        <v>1</v>
      </c>
      <c r="L30" s="31" t="s">
        <v>2</v>
      </c>
      <c r="M30" s="31" t="s">
        <v>141</v>
      </c>
      <c r="N30" s="232"/>
      <c r="O30" s="234"/>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row>
    <row r="31" spans="1:258" s="132" customFormat="1" x14ac:dyDescent="0.4">
      <c r="A31" s="126" t="s">
        <v>138</v>
      </c>
      <c r="B31" s="127" t="s">
        <v>139</v>
      </c>
      <c r="C31" s="128" t="s">
        <v>140</v>
      </c>
      <c r="D31" s="133" t="s">
        <v>133</v>
      </c>
      <c r="E31" s="134">
        <v>2.5</v>
      </c>
      <c r="F31" s="128">
        <v>50000</v>
      </c>
      <c r="G31" s="128">
        <v>5300</v>
      </c>
      <c r="H31" s="135">
        <f>IF(G31="","",G31*(IF(D31=AI$4,AJ$4,IF(D31=AI$5,AJ$5,""))))</f>
        <v>53895.700000000004</v>
      </c>
      <c r="I31" s="136" t="s">
        <v>5</v>
      </c>
      <c r="J31" s="137">
        <f>G31/(F31/100)</f>
        <v>10.6</v>
      </c>
      <c r="K31" s="142">
        <f>G31*(IF(D31="Diesel",DieselPrice, IF(D31="petrol",PetrolPrice,"0")))</f>
        <v>0</v>
      </c>
      <c r="L31" s="129" t="s">
        <v>5</v>
      </c>
      <c r="M31" s="143">
        <f>K31/(F31/100)</f>
        <v>0</v>
      </c>
      <c r="N31" s="128"/>
      <c r="O31" s="130"/>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c r="IV31" s="131"/>
      <c r="IW31" s="131"/>
      <c r="IX31" s="131"/>
    </row>
    <row r="32" spans="1:258" s="150" customFormat="1" ht="13.5" customHeight="1" thickBot="1" x14ac:dyDescent="0.5">
      <c r="A32" s="249" t="s">
        <v>4</v>
      </c>
      <c r="B32" s="250"/>
      <c r="C32" s="250"/>
      <c r="D32" s="250"/>
      <c r="E32" s="251"/>
      <c r="F32" s="144">
        <f>F31</f>
        <v>50000</v>
      </c>
      <c r="G32" s="144">
        <f>G31</f>
        <v>5300</v>
      </c>
      <c r="H32" s="144">
        <f>H31</f>
        <v>53895.700000000004</v>
      </c>
      <c r="I32" s="145"/>
      <c r="J32" s="146">
        <f>J31</f>
        <v>10.6</v>
      </c>
      <c r="K32" s="147">
        <f>K31</f>
        <v>0</v>
      </c>
      <c r="L32" s="145"/>
      <c r="M32" s="148"/>
      <c r="N32" s="144"/>
      <c r="O32" s="149"/>
    </row>
    <row r="37" spans="14:16" s="64" customFormat="1" x14ac:dyDescent="0.45">
      <c r="P37" s="29"/>
    </row>
    <row r="38" spans="14:16" s="64" customFormat="1" x14ac:dyDescent="0.45">
      <c r="P38" s="29"/>
    </row>
    <row r="47" spans="14:16" x14ac:dyDescent="0.45">
      <c r="N47" s="64"/>
      <c r="O47" s="64"/>
    </row>
    <row r="48" spans="14:16" x14ac:dyDescent="0.45">
      <c r="N48" s="64"/>
      <c r="O48" s="64"/>
    </row>
  </sheetData>
  <mergeCells count="19">
    <mergeCell ref="A26:E26"/>
    <mergeCell ref="A32:E32"/>
    <mergeCell ref="O4:O5"/>
    <mergeCell ref="A29:A30"/>
    <mergeCell ref="B29:B30"/>
    <mergeCell ref="C29:C30"/>
    <mergeCell ref="N29:N30"/>
    <mergeCell ref="O29:O30"/>
    <mergeCell ref="D4:D5"/>
    <mergeCell ref="D29:D30"/>
    <mergeCell ref="G4:J4"/>
    <mergeCell ref="G29:J29"/>
    <mergeCell ref="N4:N5"/>
    <mergeCell ref="L1:Q2"/>
    <mergeCell ref="C1:E1"/>
    <mergeCell ref="F1:K2"/>
    <mergeCell ref="A4:A5"/>
    <mergeCell ref="B4:B5"/>
    <mergeCell ref="C4:C5"/>
  </mergeCells>
  <dataValidations count="1">
    <dataValidation type="list" allowBlank="1" showInputMessage="1" showErrorMessage="1" sqref="D31 D6:D25" xr:uid="{00000000-0002-0000-0C00-000000000000}">
      <formula1>Fuel</formula1>
    </dataValidation>
  </dataValidations>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E9"/>
  <sheetViews>
    <sheetView showGridLines="0" workbookViewId="0">
      <pane ySplit="2" topLeftCell="A3" activePane="bottomLeft" state="frozen"/>
      <selection activeCell="C24" sqref="C24:K24"/>
      <selection pane="bottomLeft" activeCell="E6" sqref="E6"/>
    </sheetView>
  </sheetViews>
  <sheetFormatPr defaultColWidth="9.1640625" defaultRowHeight="11.7" x14ac:dyDescent="0.4"/>
  <cols>
    <col min="1" max="1" width="8.1640625" style="69" customWidth="1"/>
    <col min="2" max="2" width="49.5546875" style="70" customWidth="1"/>
    <col min="3" max="4" width="11.27734375" style="58" customWidth="1"/>
    <col min="5" max="5" width="35.27734375" style="59" customWidth="1"/>
    <col min="6" max="16384" width="9.1640625" style="59"/>
  </cols>
  <sheetData>
    <row r="1" spans="1:5" ht="24.75" customHeight="1" x14ac:dyDescent="0.4">
      <c r="A1" s="67" t="s">
        <v>88</v>
      </c>
      <c r="B1" s="67"/>
      <c r="C1" s="67"/>
      <c r="D1" s="67"/>
      <c r="E1" s="67"/>
    </row>
    <row r="2" spans="1:5" s="68" customFormat="1" ht="24.75" customHeight="1" x14ac:dyDescent="0.4">
      <c r="A2" s="31" t="s">
        <v>89</v>
      </c>
      <c r="B2" s="31" t="s">
        <v>90</v>
      </c>
      <c r="C2" s="31" t="s">
        <v>91</v>
      </c>
      <c r="D2" s="31" t="s">
        <v>92</v>
      </c>
      <c r="E2" s="31" t="s">
        <v>93</v>
      </c>
    </row>
    <row r="3" spans="1:5" s="174" customFormat="1" ht="49.5" customHeight="1" x14ac:dyDescent="0.4">
      <c r="A3" s="170">
        <v>1.1000000000000001</v>
      </c>
      <c r="B3" s="171" t="s">
        <v>94</v>
      </c>
      <c r="C3" s="172" t="s">
        <v>108</v>
      </c>
      <c r="D3" s="173">
        <v>2008</v>
      </c>
      <c r="E3" s="171"/>
    </row>
    <row r="4" spans="1:5" s="174" customFormat="1" ht="29.25" customHeight="1" x14ac:dyDescent="0.4">
      <c r="A4" s="170">
        <v>1.2</v>
      </c>
      <c r="B4" s="171" t="s">
        <v>97</v>
      </c>
      <c r="C4" s="172" t="s">
        <v>96</v>
      </c>
      <c r="D4" s="175">
        <v>40276</v>
      </c>
      <c r="E4" s="171"/>
    </row>
    <row r="5" spans="1:5" s="174" customFormat="1" ht="38.25" customHeight="1" x14ac:dyDescent="0.4">
      <c r="A5" s="176">
        <v>2</v>
      </c>
      <c r="B5" s="177" t="s">
        <v>166</v>
      </c>
      <c r="C5" s="172" t="s">
        <v>108</v>
      </c>
      <c r="D5" s="178">
        <v>41158</v>
      </c>
      <c r="E5" s="177" t="s">
        <v>165</v>
      </c>
    </row>
    <row r="6" spans="1:5" s="174" customFormat="1" ht="24.75" customHeight="1" x14ac:dyDescent="0.4">
      <c r="A6" s="176">
        <v>3</v>
      </c>
      <c r="B6" s="177" t="s">
        <v>175</v>
      </c>
      <c r="C6" s="179" t="s">
        <v>108</v>
      </c>
      <c r="D6" s="178">
        <v>41198</v>
      </c>
      <c r="E6" s="177" t="s">
        <v>179</v>
      </c>
    </row>
    <row r="7" spans="1:5" s="174" customFormat="1" ht="24.75" customHeight="1" x14ac:dyDescent="0.4">
      <c r="A7" s="176"/>
      <c r="B7" s="177"/>
      <c r="C7" s="179"/>
      <c r="D7" s="179"/>
      <c r="E7" s="177"/>
    </row>
    <row r="8" spans="1:5" s="174" customFormat="1" ht="24.75" customHeight="1" x14ac:dyDescent="0.4">
      <c r="A8" s="176"/>
      <c r="B8" s="177"/>
      <c r="C8" s="179"/>
      <c r="D8" s="179"/>
      <c r="E8" s="177"/>
    </row>
    <row r="9" spans="1:5" s="174" customFormat="1" ht="24.75" customHeight="1" x14ac:dyDescent="0.4">
      <c r="A9" s="176"/>
      <c r="B9" s="177"/>
      <c r="C9" s="179"/>
      <c r="D9" s="179"/>
      <c r="E9" s="177"/>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sheetPr>
  <dimension ref="A1:W68"/>
  <sheetViews>
    <sheetView showGridLines="0" tabSelected="1" zoomScaleNormal="100" workbookViewId="0">
      <pane ySplit="3" topLeftCell="A10" activePane="bottomLeft" state="frozen"/>
      <selection pane="bottomLeft" activeCell="J14" sqref="J14"/>
    </sheetView>
  </sheetViews>
  <sheetFormatPr defaultColWidth="9.1640625" defaultRowHeight="11.7" x14ac:dyDescent="0.45"/>
  <cols>
    <col min="1" max="1" width="27.71875" style="78" customWidth="1"/>
    <col min="2" max="2" width="13.44140625" style="78" customWidth="1"/>
    <col min="3" max="3" width="12.5546875" style="78" customWidth="1"/>
    <col min="4" max="4" width="13.44140625" style="78" customWidth="1"/>
    <col min="5" max="5" width="12.5546875" style="78" customWidth="1"/>
    <col min="6" max="6" width="7.71875" style="78" customWidth="1"/>
    <col min="7" max="7" width="9.44140625" style="78" customWidth="1"/>
    <col min="8" max="10" width="8.83203125" style="78" customWidth="1"/>
    <col min="11" max="11" width="9.44140625" style="78" customWidth="1"/>
    <col min="12" max="12" width="8.71875" style="78" customWidth="1"/>
    <col min="13" max="13" width="8.5546875" style="78" customWidth="1"/>
    <col min="14" max="14" width="7.1640625" style="78" customWidth="1"/>
    <col min="15" max="20" width="7.44140625" style="78" customWidth="1"/>
    <col min="21" max="22" width="7.71875" style="78" customWidth="1"/>
    <col min="23" max="23" width="7.44140625" style="82" customWidth="1"/>
    <col min="24" max="24" width="6.71875" style="82" customWidth="1"/>
    <col min="25" max="26" width="30" style="82" customWidth="1"/>
    <col min="27" max="16384" width="9.1640625" style="82"/>
  </cols>
  <sheetData>
    <row r="1" spans="1:23" ht="53.25" customHeight="1" x14ac:dyDescent="0.7">
      <c r="B1" s="228" t="s">
        <v>95</v>
      </c>
      <c r="C1" s="228"/>
      <c r="D1" s="229"/>
      <c r="E1" s="229"/>
      <c r="F1" s="230"/>
      <c r="G1" s="230"/>
      <c r="H1" s="230"/>
      <c r="I1" s="230"/>
      <c r="J1" s="230"/>
      <c r="K1" s="79"/>
      <c r="U1" s="80"/>
      <c r="W1" s="81"/>
    </row>
    <row r="2" spans="1:23" ht="15.75" customHeight="1" x14ac:dyDescent="0.45">
      <c r="A2" s="188" t="s">
        <v>112</v>
      </c>
      <c r="D2" s="82"/>
      <c r="E2" s="82"/>
      <c r="F2" s="79"/>
      <c r="G2" s="79"/>
      <c r="H2" s="79"/>
      <c r="I2" s="79"/>
      <c r="J2" s="79"/>
      <c r="K2" s="79"/>
      <c r="U2" s="80"/>
      <c r="W2" s="81"/>
    </row>
    <row r="3" spans="1:23" ht="3" customHeight="1" thickBot="1" x14ac:dyDescent="0.5">
      <c r="D3" s="82"/>
      <c r="E3" s="82"/>
      <c r="F3" s="79"/>
      <c r="G3" s="79"/>
      <c r="H3" s="79"/>
      <c r="I3" s="79"/>
      <c r="J3" s="79"/>
      <c r="K3" s="79"/>
      <c r="U3" s="80"/>
      <c r="W3" s="81"/>
    </row>
    <row r="4" spans="1:23" s="96" customFormat="1" ht="24" customHeight="1" x14ac:dyDescent="0.4">
      <c r="A4" s="88" t="s">
        <v>148</v>
      </c>
      <c r="B4" s="89"/>
      <c r="C4" s="90"/>
      <c r="D4" s="158" t="s">
        <v>186</v>
      </c>
      <c r="E4" s="159" t="s">
        <v>149</v>
      </c>
      <c r="F4" s="99"/>
      <c r="G4" s="99"/>
      <c r="H4" s="99"/>
      <c r="I4" s="99"/>
      <c r="J4" s="99"/>
      <c r="K4" s="99"/>
      <c r="L4" s="99"/>
      <c r="M4" s="99"/>
      <c r="N4" s="99"/>
      <c r="O4" s="99"/>
      <c r="P4" s="99"/>
      <c r="Q4" s="99"/>
      <c r="R4" s="99"/>
      <c r="S4" s="99"/>
      <c r="T4" s="99"/>
      <c r="U4" s="99"/>
      <c r="V4" s="99"/>
      <c r="W4" s="99"/>
    </row>
    <row r="5" spans="1:23" ht="16.5" customHeight="1" x14ac:dyDescent="0.45">
      <c r="A5" s="162" t="s">
        <v>144</v>
      </c>
      <c r="B5" s="156"/>
      <c r="C5" s="157"/>
      <c r="D5" s="199">
        <v>0.12157</v>
      </c>
      <c r="E5" s="164" t="s">
        <v>142</v>
      </c>
      <c r="F5" s="186"/>
      <c r="G5" s="83"/>
      <c r="H5" s="79"/>
      <c r="I5" s="79"/>
      <c r="J5" s="79"/>
      <c r="K5" s="79"/>
      <c r="U5" s="80"/>
      <c r="W5" s="81"/>
    </row>
    <row r="6" spans="1:23" ht="16.5" customHeight="1" x14ac:dyDescent="0.45">
      <c r="A6" s="162" t="s">
        <v>145</v>
      </c>
      <c r="B6" s="156"/>
      <c r="C6" s="157"/>
      <c r="D6" s="199">
        <v>2.717E-2</v>
      </c>
      <c r="E6" s="165" t="s">
        <v>142</v>
      </c>
      <c r="F6" s="186"/>
      <c r="G6" s="83"/>
      <c r="U6" s="80"/>
      <c r="W6" s="81"/>
    </row>
    <row r="7" spans="1:23" ht="16.5" customHeight="1" x14ac:dyDescent="0.45">
      <c r="A7" s="162" t="s">
        <v>146</v>
      </c>
      <c r="B7" s="156"/>
      <c r="C7" s="157"/>
      <c r="D7" s="84"/>
      <c r="E7" s="164" t="s">
        <v>143</v>
      </c>
      <c r="F7" s="186"/>
      <c r="G7" s="83"/>
      <c r="U7" s="80"/>
      <c r="W7" s="81"/>
    </row>
    <row r="8" spans="1:23" ht="16.5" customHeight="1" thickBot="1" x14ac:dyDescent="0.5">
      <c r="A8" s="163" t="s">
        <v>147</v>
      </c>
      <c r="B8" s="160"/>
      <c r="C8" s="161"/>
      <c r="D8" s="191"/>
      <c r="E8" s="166" t="s">
        <v>143</v>
      </c>
      <c r="F8" s="186"/>
      <c r="G8" s="83"/>
      <c r="U8" s="80"/>
      <c r="W8" s="81"/>
    </row>
    <row r="9" spans="1:23" ht="21.75" customHeight="1" thickBot="1" x14ac:dyDescent="0.5">
      <c r="F9" s="85"/>
      <c r="J9" s="86"/>
      <c r="W9" s="87"/>
    </row>
    <row r="10" spans="1:23" s="92" customFormat="1" ht="16.5" customHeight="1" x14ac:dyDescent="0.45">
      <c r="A10" s="88" t="s">
        <v>8</v>
      </c>
      <c r="B10" s="89"/>
      <c r="C10" s="89"/>
      <c r="D10" s="90"/>
      <c r="E10" s="91"/>
      <c r="F10" s="82"/>
      <c r="G10" s="82"/>
      <c r="H10" s="82"/>
      <c r="I10" s="82"/>
      <c r="J10" s="82"/>
      <c r="K10" s="82"/>
      <c r="L10" s="82"/>
      <c r="M10" s="82"/>
      <c r="N10" s="82"/>
      <c r="O10" s="82"/>
      <c r="P10" s="82"/>
      <c r="Q10" s="82"/>
      <c r="R10" s="82"/>
      <c r="S10" s="82"/>
      <c r="T10" s="82"/>
      <c r="U10" s="82"/>
      <c r="V10" s="82"/>
      <c r="W10" s="82"/>
    </row>
    <row r="11" spans="1:23" s="96" customFormat="1" ht="21" customHeight="1" x14ac:dyDescent="0.45">
      <c r="A11" s="225" t="s">
        <v>83</v>
      </c>
      <c r="B11" s="93" t="s">
        <v>10</v>
      </c>
      <c r="C11" s="94"/>
      <c r="D11" s="93" t="s">
        <v>7</v>
      </c>
      <c r="E11" s="95"/>
      <c r="F11" s="82"/>
      <c r="G11" s="82"/>
      <c r="H11" s="82"/>
      <c r="I11" s="82"/>
      <c r="J11" s="82"/>
      <c r="K11" s="82"/>
      <c r="L11" s="82"/>
      <c r="M11" s="82"/>
      <c r="N11" s="82"/>
      <c r="O11" s="82"/>
      <c r="P11" s="82"/>
      <c r="Q11" s="82"/>
      <c r="R11" s="82"/>
      <c r="S11" s="82"/>
      <c r="T11" s="82"/>
      <c r="U11" s="82"/>
      <c r="V11" s="82"/>
      <c r="W11" s="82"/>
    </row>
    <row r="12" spans="1:23" s="96" customFormat="1" ht="23.4" x14ac:dyDescent="0.45">
      <c r="A12" s="226"/>
      <c r="B12" s="97" t="s">
        <v>0</v>
      </c>
      <c r="C12" s="97" t="s">
        <v>86</v>
      </c>
      <c r="D12" s="97" t="s">
        <v>186</v>
      </c>
      <c r="E12" s="98" t="s">
        <v>87</v>
      </c>
      <c r="F12" s="99"/>
      <c r="G12" s="82"/>
      <c r="H12" s="99"/>
      <c r="I12" s="99"/>
      <c r="J12" s="99"/>
      <c r="K12" s="99"/>
      <c r="L12" s="99"/>
      <c r="M12" s="99"/>
      <c r="N12" s="99"/>
      <c r="O12" s="99"/>
      <c r="P12" s="99"/>
      <c r="Q12" s="99"/>
      <c r="R12" s="99"/>
      <c r="S12" s="99"/>
      <c r="T12" s="99"/>
      <c r="U12" s="227" t="s">
        <v>155</v>
      </c>
      <c r="V12" s="227"/>
      <c r="W12" s="99"/>
    </row>
    <row r="13" spans="1:23" ht="14.25" customHeight="1" x14ac:dyDescent="0.45">
      <c r="A13" s="100" t="s">
        <v>12</v>
      </c>
      <c r="B13" s="101">
        <f>Lighting!J36</f>
        <v>5644.5599999999995</v>
      </c>
      <c r="C13" s="102">
        <f>IF(ISERROR(B13/$B$22),"",B13/$B$22)</f>
        <v>8.1691566571428564E-2</v>
      </c>
      <c r="D13" s="196">
        <f>Lighting!L36</f>
        <v>686.20915920000004</v>
      </c>
      <c r="E13" s="104">
        <f>IF(ISERROR(D13/$D$22),"",D13/$D$22)</f>
        <v>8.1691566571428578E-2</v>
      </c>
      <c r="F13" s="82"/>
      <c r="G13" s="82"/>
      <c r="H13" s="82"/>
      <c r="I13" s="82"/>
      <c r="J13" s="82"/>
      <c r="K13" s="82"/>
      <c r="L13" s="82"/>
      <c r="M13" s="82"/>
      <c r="N13" s="82"/>
      <c r="O13" s="82"/>
      <c r="P13" s="82"/>
      <c r="Q13" s="82"/>
      <c r="R13" s="82"/>
      <c r="S13" s="82"/>
      <c r="T13" s="82"/>
      <c r="U13" s="141" t="str">
        <f t="shared" ref="U13:U19" si="0">A13</f>
        <v>Lighting</v>
      </c>
      <c r="V13" s="217">
        <f t="shared" ref="V13:V19" si="1">D13</f>
        <v>686.20915920000004</v>
      </c>
    </row>
    <row r="14" spans="1:23" ht="14.25" customHeight="1" x14ac:dyDescent="0.45">
      <c r="A14" s="100" t="s">
        <v>15</v>
      </c>
      <c r="B14" s="101">
        <f>HVAC!I35</f>
        <v>1950</v>
      </c>
      <c r="C14" s="102">
        <f>IF(ISERROR(B14/$B$22),"",B14/$B$22)</f>
        <v>2.8221607142857146E-2</v>
      </c>
      <c r="D14" s="196">
        <f>HVAC!K35</f>
        <v>237.0615</v>
      </c>
      <c r="E14" s="104">
        <f>IF(ISERROR(D14/$D$22),"",D14/$D$22)</f>
        <v>2.8221607142857142E-2</v>
      </c>
      <c r="F14" s="82"/>
      <c r="G14" s="82"/>
      <c r="H14" s="82"/>
      <c r="I14" s="82"/>
      <c r="J14" s="82"/>
      <c r="K14" s="82"/>
      <c r="L14" s="82"/>
      <c r="M14" s="82"/>
      <c r="N14" s="82"/>
      <c r="O14" s="82"/>
      <c r="P14" s="82"/>
      <c r="Q14" s="82"/>
      <c r="R14" s="82"/>
      <c r="S14" s="82"/>
      <c r="T14" s="82"/>
      <c r="U14" s="141" t="str">
        <f t="shared" si="0"/>
        <v>HVAC</v>
      </c>
      <c r="V14" s="217">
        <f t="shared" si="1"/>
        <v>237.0615</v>
      </c>
    </row>
    <row r="15" spans="1:23" ht="14.25" customHeight="1" x14ac:dyDescent="0.45">
      <c r="A15" s="100" t="s">
        <v>151</v>
      </c>
      <c r="B15" s="101">
        <f>ICT!G36</f>
        <v>0</v>
      </c>
      <c r="C15" s="102">
        <f>IF(ISERROR(B15/$B$22),"",B15/$B$22)</f>
        <v>0</v>
      </c>
      <c r="D15" s="196">
        <f>ICT!I36</f>
        <v>0</v>
      </c>
      <c r="E15" s="104">
        <f>IF(ISERROR(D15/$D$22),"",D15/$D$22)</f>
        <v>0</v>
      </c>
      <c r="F15" s="82"/>
      <c r="G15" s="82"/>
      <c r="H15" s="82"/>
      <c r="I15" s="82"/>
      <c r="J15" s="82"/>
      <c r="K15" s="82"/>
      <c r="L15" s="82"/>
      <c r="M15" s="82"/>
      <c r="N15" s="82"/>
      <c r="O15" s="82"/>
      <c r="P15" s="82"/>
      <c r="Q15" s="82"/>
      <c r="R15" s="82"/>
      <c r="S15" s="82"/>
      <c r="T15" s="82"/>
      <c r="U15" s="141" t="str">
        <f t="shared" si="0"/>
        <v>ICT</v>
      </c>
      <c r="V15" s="217">
        <f t="shared" si="1"/>
        <v>0</v>
      </c>
    </row>
    <row r="16" spans="1:23" ht="14.25" customHeight="1" x14ac:dyDescent="0.45">
      <c r="A16" s="100" t="s">
        <v>14</v>
      </c>
      <c r="B16" s="101">
        <f>Refrigeration!G37</f>
        <v>63355.950000000004</v>
      </c>
      <c r="C16" s="102">
        <f>IF(ISERROR(B16/$B$22),"",B16/$B$22)</f>
        <v>0.91692652875000014</v>
      </c>
      <c r="D16" s="196">
        <f>Refrigeration!I37</f>
        <v>7702.1828415000009</v>
      </c>
      <c r="E16" s="104">
        <f>IF(ISERROR(D16/$D$22),"",D16/$D$22)</f>
        <v>0.91692652875000014</v>
      </c>
      <c r="F16" s="82"/>
      <c r="G16" s="82"/>
      <c r="H16" s="82"/>
      <c r="I16" s="82"/>
      <c r="J16" s="82"/>
      <c r="K16" s="82"/>
      <c r="L16" s="82"/>
      <c r="M16" s="82"/>
      <c r="N16" s="82"/>
      <c r="O16" s="82"/>
      <c r="P16" s="82"/>
      <c r="Q16" s="82"/>
      <c r="R16" s="82"/>
      <c r="S16" s="82"/>
      <c r="T16" s="82"/>
      <c r="U16" s="141" t="str">
        <f t="shared" si="0"/>
        <v>Refrigeration</v>
      </c>
      <c r="V16" s="217">
        <f t="shared" si="1"/>
        <v>7702.1828415000009</v>
      </c>
    </row>
    <row r="17" spans="1:23" ht="14.25" hidden="1" customHeight="1" x14ac:dyDescent="0.45">
      <c r="A17" s="100" t="s">
        <v>64</v>
      </c>
      <c r="B17" s="101"/>
      <c r="C17" s="102"/>
      <c r="D17" s="196"/>
      <c r="E17" s="104"/>
      <c r="F17" s="82"/>
      <c r="G17" s="82"/>
      <c r="M17" s="82"/>
      <c r="N17" s="82"/>
      <c r="O17" s="82"/>
      <c r="P17" s="82"/>
      <c r="Q17" s="82"/>
      <c r="R17" s="82"/>
      <c r="S17" s="82"/>
      <c r="T17" s="82"/>
      <c r="U17" s="141" t="str">
        <f t="shared" si="0"/>
        <v>Boilers</v>
      </c>
      <c r="V17" s="217">
        <f t="shared" si="1"/>
        <v>0</v>
      </c>
    </row>
    <row r="18" spans="1:23" ht="14.25" hidden="1" customHeight="1" x14ac:dyDescent="0.45">
      <c r="A18" s="100" t="s">
        <v>13</v>
      </c>
      <c r="B18" s="101">
        <f>'Compressed Air'!G26</f>
        <v>0</v>
      </c>
      <c r="C18" s="102">
        <f>IF(ISERROR(B18/$B$22),"",B18/$B$22)</f>
        <v>0</v>
      </c>
      <c r="D18" s="196">
        <f>'Compressed Air'!I26</f>
        <v>0</v>
      </c>
      <c r="E18" s="104">
        <f>IF(ISERROR(D18/$D$22),"",D18/$D$22)</f>
        <v>0</v>
      </c>
      <c r="F18" s="82"/>
      <c r="G18" s="82"/>
      <c r="H18" s="82"/>
      <c r="I18" s="82"/>
      <c r="J18" s="82"/>
      <c r="K18" s="82"/>
      <c r="L18" s="82"/>
      <c r="M18" s="82"/>
      <c r="N18" s="82"/>
      <c r="O18" s="82"/>
      <c r="P18" s="82"/>
      <c r="Q18" s="82"/>
      <c r="R18" s="82"/>
      <c r="S18" s="82"/>
      <c r="T18" s="82"/>
      <c r="U18" s="141" t="str">
        <f t="shared" si="0"/>
        <v>Compressed Air</v>
      </c>
      <c r="V18" s="217">
        <f t="shared" si="1"/>
        <v>0</v>
      </c>
    </row>
    <row r="19" spans="1:23" ht="14.25" customHeight="1" x14ac:dyDescent="0.45">
      <c r="A19" s="100" t="s">
        <v>152</v>
      </c>
      <c r="B19" s="101">
        <f>'Other Electrical Equipment'!G36</f>
        <v>0</v>
      </c>
      <c r="C19" s="102">
        <f>IF(ISERROR(B19/$B$22),"",B19/$B$22)</f>
        <v>0</v>
      </c>
      <c r="D19" s="196">
        <f>'Other Electrical Equipment'!I36</f>
        <v>0</v>
      </c>
      <c r="E19" s="104">
        <f>IF(ISERROR(D19/$D$22),"",D19/$D$22)</f>
        <v>0</v>
      </c>
      <c r="F19" s="82"/>
      <c r="G19" s="82"/>
      <c r="H19" s="82"/>
      <c r="I19" s="82"/>
      <c r="J19" s="82"/>
      <c r="K19" s="82"/>
      <c r="L19" s="82"/>
      <c r="M19" s="82"/>
      <c r="N19" s="82"/>
      <c r="O19" s="82"/>
      <c r="P19" s="82"/>
      <c r="Q19" s="82"/>
      <c r="R19" s="82"/>
      <c r="S19" s="82"/>
      <c r="T19" s="82"/>
      <c r="U19" s="141" t="str">
        <f t="shared" si="0"/>
        <v>Other Electrical Equipment</v>
      </c>
      <c r="V19" s="217">
        <f t="shared" si="1"/>
        <v>0</v>
      </c>
    </row>
    <row r="20" spans="1:23" ht="14.25" customHeight="1" x14ac:dyDescent="0.45">
      <c r="A20" s="105" t="s">
        <v>81</v>
      </c>
      <c r="B20" s="106">
        <f>SUM(B16:B19)</f>
        <v>63355.950000000004</v>
      </c>
      <c r="C20" s="107">
        <f>IF(ISERROR(B20/$B$22),"",B20/$B$22)</f>
        <v>0.91692652875000014</v>
      </c>
      <c r="D20" s="197">
        <f>SUM(D13:D19)</f>
        <v>8625.4535007000013</v>
      </c>
      <c r="E20" s="109">
        <f>IF(ISERROR(D20/$D$22),"",D20/$D$22)</f>
        <v>1.0268397024642859</v>
      </c>
      <c r="F20" s="82"/>
      <c r="G20" s="82"/>
      <c r="H20" s="82"/>
      <c r="I20" s="82"/>
      <c r="J20" s="82"/>
      <c r="K20" s="82"/>
      <c r="L20" s="82"/>
      <c r="M20" s="82"/>
      <c r="N20" s="82"/>
      <c r="O20" s="82"/>
      <c r="P20" s="82"/>
      <c r="Q20" s="82"/>
      <c r="R20" s="82"/>
      <c r="S20" s="82"/>
      <c r="T20" s="82"/>
      <c r="U20" s="141" t="str">
        <f>A27</f>
        <v>Boilers</v>
      </c>
      <c r="V20" s="217">
        <f>D27</f>
        <v>0</v>
      </c>
    </row>
    <row r="21" spans="1:23" ht="14.25" customHeight="1" x14ac:dyDescent="0.45">
      <c r="A21" s="110" t="s">
        <v>85</v>
      </c>
      <c r="B21" s="111">
        <f>B22-B20</f>
        <v>5740.0440774862145</v>
      </c>
      <c r="C21" s="102">
        <f>IF(ISERROR(B21/$B$22),"",B21/$B$22)</f>
        <v>8.3073471249999892E-2</v>
      </c>
      <c r="D21" s="196">
        <f>D22-D20</f>
        <v>-225.45350070000131</v>
      </c>
      <c r="E21" s="104">
        <f>IF(ISERROR(D21/$D$22),"",D21/$D$22)</f>
        <v>-2.683970246428587E-2</v>
      </c>
      <c r="F21" s="82"/>
      <c r="G21" s="82" t="s">
        <v>271</v>
      </c>
      <c r="H21" s="82" t="s">
        <v>272</v>
      </c>
      <c r="I21" s="82" t="s">
        <v>273</v>
      </c>
      <c r="J21" s="82" t="s">
        <v>274</v>
      </c>
      <c r="K21" s="82"/>
      <c r="L21" s="82"/>
      <c r="M21" s="82"/>
      <c r="N21" s="82"/>
      <c r="O21" s="82"/>
      <c r="P21" s="82"/>
      <c r="Q21" s="82"/>
      <c r="R21" s="82"/>
      <c r="S21" s="82"/>
      <c r="T21" s="82"/>
      <c r="U21" s="141" t="str">
        <f>A28</f>
        <v>Other Thermal</v>
      </c>
      <c r="V21" s="217">
        <f>D28</f>
        <v>0</v>
      </c>
    </row>
    <row r="22" spans="1:23" ht="14.25" customHeight="1" thickBot="1" x14ac:dyDescent="0.5">
      <c r="A22" s="112" t="s">
        <v>84</v>
      </c>
      <c r="B22" s="73">
        <f>D22/ElecCost</f>
        <v>69095.994077486219</v>
      </c>
      <c r="C22" s="113" t="s">
        <v>5</v>
      </c>
      <c r="D22" s="198">
        <v>8400</v>
      </c>
      <c r="E22" s="114" t="s">
        <v>5</v>
      </c>
      <c r="F22" s="187"/>
      <c r="G22" s="82">
        <v>170</v>
      </c>
      <c r="H22" s="82">
        <v>50</v>
      </c>
      <c r="I22" s="82">
        <f>B22/G22</f>
        <v>406.44702398521304</v>
      </c>
      <c r="J22" s="82">
        <f>B22/H22</f>
        <v>1381.9198815497243</v>
      </c>
      <c r="K22" s="82"/>
      <c r="L22" s="82"/>
      <c r="M22" s="82"/>
      <c r="N22" s="82"/>
      <c r="O22" s="82"/>
      <c r="P22" s="82"/>
      <c r="Q22" s="82"/>
      <c r="R22" s="82"/>
      <c r="S22" s="82"/>
      <c r="T22" s="82"/>
      <c r="U22" s="141" t="s">
        <v>154</v>
      </c>
      <c r="V22" s="217">
        <f>D36</f>
        <v>0</v>
      </c>
    </row>
    <row r="23" spans="1:23" ht="25.5" customHeight="1" thickBot="1" x14ac:dyDescent="0.5">
      <c r="A23" s="115"/>
      <c r="B23" s="115"/>
      <c r="C23" s="115"/>
      <c r="D23" s="116"/>
      <c r="E23" s="116"/>
      <c r="F23" s="82"/>
      <c r="G23" s="82"/>
      <c r="H23" s="82"/>
      <c r="I23" s="82"/>
      <c r="J23" s="82"/>
      <c r="K23" s="82"/>
      <c r="L23" s="82"/>
      <c r="M23" s="82"/>
      <c r="N23" s="82"/>
      <c r="O23" s="82"/>
      <c r="P23" s="82"/>
      <c r="Q23" s="82"/>
      <c r="R23" s="82"/>
      <c r="S23" s="82"/>
      <c r="T23" s="82"/>
      <c r="U23" s="141" t="str">
        <f>A21</f>
        <v>Unaccounted for Shortfall (Excess)</v>
      </c>
      <c r="V23" s="217">
        <f>D21+D30+D38</f>
        <v>-225.45350070000131</v>
      </c>
    </row>
    <row r="24" spans="1:23" s="92" customFormat="1" ht="16.5" customHeight="1" x14ac:dyDescent="0.45">
      <c r="A24" s="88" t="s">
        <v>153</v>
      </c>
      <c r="B24" s="89"/>
      <c r="C24" s="89"/>
      <c r="D24" s="90"/>
      <c r="E24" s="91"/>
      <c r="F24" s="82"/>
      <c r="G24" s="82"/>
      <c r="H24" s="82"/>
      <c r="I24" s="82"/>
      <c r="J24" s="82"/>
      <c r="K24" s="82"/>
      <c r="L24" s="82"/>
      <c r="M24" s="82"/>
      <c r="N24" s="82"/>
      <c r="O24" s="82"/>
      <c r="P24" s="82"/>
      <c r="Q24" s="82"/>
      <c r="R24" s="82"/>
      <c r="S24" s="82"/>
      <c r="T24" s="82"/>
      <c r="U24" s="117"/>
      <c r="V24" s="117"/>
      <c r="W24" s="82"/>
    </row>
    <row r="25" spans="1:23" s="96" customFormat="1" ht="21" customHeight="1" x14ac:dyDescent="0.45">
      <c r="A25" s="225" t="s">
        <v>82</v>
      </c>
      <c r="B25" s="93" t="s">
        <v>10</v>
      </c>
      <c r="C25" s="94"/>
      <c r="D25" s="93" t="s">
        <v>7</v>
      </c>
      <c r="E25" s="95"/>
      <c r="F25" s="82"/>
      <c r="G25" s="82"/>
      <c r="H25" s="82"/>
      <c r="I25" s="82"/>
      <c r="J25" s="82"/>
      <c r="K25" s="82"/>
      <c r="L25" s="82"/>
      <c r="M25" s="82"/>
      <c r="N25" s="82"/>
      <c r="O25" s="82"/>
      <c r="P25" s="82"/>
      <c r="Q25" s="82"/>
      <c r="R25" s="82"/>
      <c r="S25" s="82"/>
      <c r="T25" s="82"/>
      <c r="U25" s="82"/>
      <c r="V25" s="82"/>
      <c r="W25" s="82"/>
    </row>
    <row r="26" spans="1:23" s="96" customFormat="1" ht="23.4" x14ac:dyDescent="0.4">
      <c r="A26" s="226"/>
      <c r="B26" s="97" t="s">
        <v>0</v>
      </c>
      <c r="C26" s="97" t="s">
        <v>86</v>
      </c>
      <c r="D26" s="97" t="s">
        <v>1</v>
      </c>
      <c r="E26" s="98" t="s">
        <v>87</v>
      </c>
      <c r="F26" s="99"/>
      <c r="G26" s="99"/>
      <c r="H26" s="99"/>
      <c r="I26" s="99"/>
      <c r="J26" s="99"/>
      <c r="K26" s="99"/>
      <c r="L26" s="99"/>
      <c r="M26" s="99"/>
      <c r="N26" s="99"/>
      <c r="O26" s="99"/>
      <c r="P26" s="99"/>
      <c r="Q26" s="99"/>
      <c r="R26" s="99"/>
      <c r="S26" s="99"/>
      <c r="T26" s="99"/>
      <c r="U26" s="99"/>
      <c r="V26" s="99"/>
      <c r="W26" s="99"/>
    </row>
    <row r="27" spans="1:23" ht="14.25" customHeight="1" x14ac:dyDescent="0.45">
      <c r="A27" s="100" t="s">
        <v>64</v>
      </c>
      <c r="B27" s="101"/>
      <c r="C27" s="102" t="str">
        <f>IF(ISERROR(B27/$B$31),"",B27/$B$31)</f>
        <v/>
      </c>
      <c r="D27" s="103"/>
      <c r="E27" s="104" t="str">
        <f>IF(ISERROR(D27/$D$31),"",D27/$D$31)</f>
        <v/>
      </c>
      <c r="F27" s="82"/>
      <c r="G27" s="82"/>
      <c r="H27" s="82"/>
      <c r="I27" s="82"/>
      <c r="J27" s="82"/>
      <c r="K27" s="82"/>
      <c r="L27" s="82"/>
      <c r="M27" s="82"/>
      <c r="N27" s="82"/>
      <c r="O27" s="82"/>
      <c r="P27" s="82"/>
      <c r="Q27" s="82"/>
      <c r="R27" s="82"/>
      <c r="S27" s="82"/>
      <c r="T27" s="82"/>
      <c r="U27" s="82"/>
      <c r="V27" s="82"/>
    </row>
    <row r="28" spans="1:23" ht="14.25" customHeight="1" x14ac:dyDescent="0.45">
      <c r="A28" s="100" t="s">
        <v>65</v>
      </c>
      <c r="B28" s="101">
        <f>'Other Thermal'!H16</f>
        <v>0</v>
      </c>
      <c r="C28" s="102" t="str">
        <f>IF(ISERROR(B28/$B$31),"",B28/$B$31)</f>
        <v/>
      </c>
      <c r="D28" s="103">
        <f>'Other Thermal'!J16</f>
        <v>0</v>
      </c>
      <c r="E28" s="104" t="str">
        <f>IF(ISERROR(D28/$D$31),"",D28/$D$31)</f>
        <v/>
      </c>
      <c r="F28" s="82"/>
      <c r="G28" s="82"/>
      <c r="H28" s="82"/>
      <c r="I28" s="82"/>
      <c r="J28" s="82"/>
      <c r="K28" s="82"/>
      <c r="L28" s="82"/>
      <c r="M28" s="82"/>
      <c r="N28" s="82"/>
      <c r="O28" s="82"/>
      <c r="P28" s="82"/>
      <c r="Q28" s="82"/>
      <c r="R28" s="82"/>
      <c r="S28" s="82"/>
      <c r="T28" s="82"/>
      <c r="U28" s="82"/>
      <c r="V28" s="82"/>
    </row>
    <row r="29" spans="1:23" s="118" customFormat="1" ht="14.25" customHeight="1" x14ac:dyDescent="0.45">
      <c r="A29" s="105" t="s">
        <v>81</v>
      </c>
      <c r="B29" s="106">
        <f>SUM(B27:B28)</f>
        <v>0</v>
      </c>
      <c r="C29" s="102" t="str">
        <f>IF(ISERROR(B29/$B$31),"",B29/$B$31)</f>
        <v/>
      </c>
      <c r="D29" s="108">
        <f>SUM(D27:D28)</f>
        <v>0</v>
      </c>
      <c r="E29" s="104" t="str">
        <f>IF(ISERROR(D29/$D$31),"",D29/$D$31)</f>
        <v/>
      </c>
    </row>
    <row r="30" spans="1:23" ht="14.25" customHeight="1" x14ac:dyDescent="0.45">
      <c r="A30" s="110" t="s">
        <v>85</v>
      </c>
      <c r="B30" s="111">
        <f>B31-B29</f>
        <v>0</v>
      </c>
      <c r="C30" s="102" t="str">
        <f>IF(ISERROR(B30/$B$31),"",B30/$B$31)</f>
        <v/>
      </c>
      <c r="D30" s="103">
        <f>D29</f>
        <v>0</v>
      </c>
      <c r="E30" s="104" t="str">
        <f>IF(ISERROR(D30/$D$31),"",D30/$D$31)</f>
        <v/>
      </c>
      <c r="F30" s="82"/>
      <c r="G30" s="82"/>
      <c r="H30" s="82"/>
      <c r="I30" s="82"/>
      <c r="J30" s="82"/>
      <c r="K30" s="82"/>
      <c r="L30" s="82"/>
      <c r="M30" s="82"/>
      <c r="N30" s="82"/>
      <c r="O30" s="82"/>
      <c r="P30" s="82"/>
      <c r="Q30" s="82"/>
      <c r="R30" s="82"/>
      <c r="S30" s="82"/>
      <c r="T30" s="82"/>
      <c r="U30" s="82"/>
      <c r="V30" s="82"/>
    </row>
    <row r="31" spans="1:23" ht="14.25" customHeight="1" thickBot="1" x14ac:dyDescent="0.5">
      <c r="A31" s="112" t="s">
        <v>84</v>
      </c>
      <c r="B31" s="73">
        <f>B29</f>
        <v>0</v>
      </c>
      <c r="C31" s="113" t="s">
        <v>5</v>
      </c>
      <c r="D31" s="192"/>
      <c r="E31" s="114" t="s">
        <v>5</v>
      </c>
      <c r="F31" s="187"/>
      <c r="G31" s="82"/>
      <c r="H31" s="82"/>
      <c r="I31" s="82"/>
      <c r="J31" s="82"/>
      <c r="K31" s="82"/>
      <c r="L31" s="82"/>
      <c r="M31" s="82"/>
      <c r="N31" s="82"/>
      <c r="O31" s="82"/>
      <c r="P31" s="82"/>
      <c r="Q31" s="82"/>
      <c r="R31" s="82"/>
      <c r="S31" s="82"/>
      <c r="T31" s="82"/>
      <c r="U31" s="82"/>
      <c r="V31" s="82"/>
    </row>
    <row r="32" spans="1:23" ht="25.5" customHeight="1" x14ac:dyDescent="0.45">
      <c r="A32" s="115"/>
      <c r="B32" s="115"/>
      <c r="C32" s="115"/>
      <c r="D32" s="116"/>
      <c r="E32" s="116"/>
      <c r="F32" s="82"/>
      <c r="G32" s="82"/>
      <c r="H32" s="82"/>
      <c r="I32" s="82"/>
      <c r="J32" s="82"/>
      <c r="K32" s="82"/>
      <c r="L32" s="82"/>
      <c r="M32" s="82"/>
      <c r="N32" s="82"/>
      <c r="O32" s="82"/>
      <c r="P32" s="82"/>
      <c r="Q32" s="82"/>
      <c r="R32" s="82"/>
      <c r="S32" s="82"/>
      <c r="T32" s="82"/>
      <c r="U32" s="82"/>
      <c r="V32" s="82"/>
    </row>
    <row r="33" spans="1:23" s="92" customFormat="1" ht="16.5" hidden="1" customHeight="1" x14ac:dyDescent="0.45">
      <c r="A33" s="88" t="s">
        <v>154</v>
      </c>
      <c r="B33" s="89"/>
      <c r="C33" s="89"/>
      <c r="D33" s="90"/>
      <c r="E33" s="91"/>
      <c r="F33" s="82"/>
      <c r="G33" s="82"/>
      <c r="H33" s="82"/>
      <c r="I33" s="82"/>
      <c r="J33" s="82"/>
      <c r="K33" s="82"/>
      <c r="L33" s="82"/>
      <c r="M33" s="82"/>
      <c r="N33" s="82"/>
      <c r="O33" s="82"/>
      <c r="P33" s="82"/>
      <c r="Q33" s="82"/>
      <c r="R33" s="82"/>
      <c r="S33" s="82"/>
      <c r="T33" s="82"/>
      <c r="U33" s="117"/>
      <c r="V33" s="117"/>
      <c r="W33" s="82"/>
    </row>
    <row r="34" spans="1:23" s="96" customFormat="1" ht="21" hidden="1" customHeight="1" x14ac:dyDescent="0.45">
      <c r="A34" s="225" t="s">
        <v>82</v>
      </c>
      <c r="B34" s="93" t="s">
        <v>10</v>
      </c>
      <c r="C34" s="94"/>
      <c r="D34" s="93" t="s">
        <v>7</v>
      </c>
      <c r="E34" s="95"/>
      <c r="F34" s="82"/>
      <c r="G34" s="82"/>
      <c r="H34" s="82"/>
      <c r="I34" s="82"/>
      <c r="J34" s="82"/>
      <c r="K34" s="82"/>
      <c r="L34" s="82"/>
      <c r="M34" s="82"/>
      <c r="N34" s="82"/>
      <c r="O34" s="82"/>
      <c r="P34" s="82"/>
      <c r="Q34" s="82"/>
      <c r="R34" s="82"/>
      <c r="S34" s="82"/>
      <c r="T34" s="82"/>
      <c r="U34" s="82"/>
      <c r="V34" s="82"/>
      <c r="W34" s="82"/>
    </row>
    <row r="35" spans="1:23" s="96" customFormat="1" ht="23.4" hidden="1" x14ac:dyDescent="0.4">
      <c r="A35" s="226"/>
      <c r="B35" s="97" t="s">
        <v>0</v>
      </c>
      <c r="C35" s="97" t="s">
        <v>86</v>
      </c>
      <c r="D35" s="97" t="s">
        <v>1</v>
      </c>
      <c r="E35" s="98" t="s">
        <v>87</v>
      </c>
      <c r="F35" s="99"/>
      <c r="G35" s="99"/>
      <c r="H35" s="99"/>
      <c r="I35" s="99"/>
      <c r="J35" s="99"/>
      <c r="K35" s="99"/>
      <c r="L35" s="99"/>
      <c r="M35" s="99"/>
      <c r="N35" s="99"/>
      <c r="O35" s="99"/>
      <c r="P35" s="99"/>
      <c r="Q35" s="99"/>
      <c r="R35" s="99"/>
      <c r="S35" s="99"/>
      <c r="T35" s="99"/>
      <c r="U35" s="99"/>
      <c r="V35" s="99"/>
      <c r="W35" s="99"/>
    </row>
    <row r="36" spans="1:23" ht="14.25" hidden="1" customHeight="1" x14ac:dyDescent="0.45">
      <c r="A36" s="100" t="s">
        <v>154</v>
      </c>
      <c r="B36" s="101">
        <f>Fleet!H26</f>
        <v>0</v>
      </c>
      <c r="C36" s="102" t="str">
        <f>IF(ISERROR(B36/$B$31),"",B36/$B$31)</f>
        <v/>
      </c>
      <c r="D36" s="103">
        <f>Fleet!K26</f>
        <v>0</v>
      </c>
      <c r="E36" s="104" t="str">
        <f>IF(ISERROR(D36/$D$31),"",D36/$D$31)</f>
        <v/>
      </c>
      <c r="F36" s="82"/>
      <c r="G36" s="82"/>
      <c r="H36" s="82"/>
      <c r="I36" s="82"/>
      <c r="J36" s="82"/>
      <c r="K36" s="82"/>
      <c r="L36" s="82"/>
      <c r="M36" s="82"/>
      <c r="N36" s="82"/>
      <c r="O36" s="82"/>
      <c r="P36" s="82"/>
      <c r="Q36" s="82"/>
      <c r="R36" s="82"/>
      <c r="S36" s="82"/>
      <c r="T36" s="82"/>
      <c r="U36" s="82"/>
      <c r="V36" s="82"/>
    </row>
    <row r="37" spans="1:23" s="118" customFormat="1" ht="14.25" hidden="1" customHeight="1" x14ac:dyDescent="0.45">
      <c r="A37" s="105" t="s">
        <v>81</v>
      </c>
      <c r="B37" s="106">
        <f>B36</f>
        <v>0</v>
      </c>
      <c r="C37" s="102" t="str">
        <f>IF(ISERROR(B37/$B$31),"",B37/$B$31)</f>
        <v/>
      </c>
      <c r="D37" s="108">
        <f>D36</f>
        <v>0</v>
      </c>
      <c r="E37" s="104" t="str">
        <f>IF(ISERROR(D37/$D$31),"",D37/$D$31)</f>
        <v/>
      </c>
    </row>
    <row r="38" spans="1:23" ht="14.25" hidden="1" customHeight="1" x14ac:dyDescent="0.45">
      <c r="A38" s="110" t="s">
        <v>85</v>
      </c>
      <c r="B38" s="111">
        <f>B39-B37</f>
        <v>0</v>
      </c>
      <c r="C38" s="102" t="str">
        <f>IF(ISERROR(B38/$B$31),"",B38/$B$31)</f>
        <v/>
      </c>
      <c r="D38" s="103">
        <f>D39-D37</f>
        <v>0</v>
      </c>
      <c r="E38" s="104" t="str">
        <f>IF(ISERROR(D38/$D$31),"",D38/$D$31)</f>
        <v/>
      </c>
      <c r="F38" s="82"/>
      <c r="G38" s="82"/>
      <c r="H38" s="82"/>
      <c r="I38" s="82"/>
      <c r="J38" s="82"/>
      <c r="K38" s="82"/>
      <c r="L38" s="82"/>
      <c r="M38" s="82"/>
      <c r="N38" s="82"/>
      <c r="O38" s="82"/>
      <c r="P38" s="82"/>
      <c r="Q38" s="82"/>
      <c r="R38" s="82"/>
      <c r="S38" s="82"/>
      <c r="T38" s="82"/>
      <c r="U38" s="82"/>
      <c r="V38" s="82"/>
    </row>
    <row r="39" spans="1:23" ht="14.25" hidden="1" customHeight="1" thickBot="1" x14ac:dyDescent="0.5">
      <c r="A39" s="112" t="s">
        <v>84</v>
      </c>
      <c r="B39" s="73"/>
      <c r="C39" s="113" t="s">
        <v>5</v>
      </c>
      <c r="D39" s="192"/>
      <c r="E39" s="114" t="s">
        <v>5</v>
      </c>
      <c r="F39" s="187"/>
      <c r="G39" s="82"/>
      <c r="H39" s="82"/>
      <c r="I39" s="82"/>
      <c r="J39" s="82"/>
      <c r="K39" s="82"/>
      <c r="L39" s="82"/>
      <c r="M39" s="82"/>
      <c r="N39" s="82"/>
      <c r="O39" s="82"/>
      <c r="P39" s="82"/>
      <c r="Q39" s="82"/>
      <c r="R39" s="82"/>
      <c r="S39" s="82"/>
      <c r="T39" s="82"/>
      <c r="U39" s="82"/>
      <c r="V39" s="82"/>
    </row>
    <row r="40" spans="1:23" ht="14.25" customHeight="1" x14ac:dyDescent="0.45">
      <c r="A40" s="115"/>
      <c r="B40" s="115"/>
      <c r="C40" s="115"/>
      <c r="D40" s="115"/>
      <c r="E40" s="115"/>
      <c r="F40" s="82"/>
      <c r="G40" s="82"/>
      <c r="H40" s="82"/>
      <c r="I40" s="82"/>
      <c r="J40" s="82"/>
      <c r="K40" s="82"/>
      <c r="L40" s="82"/>
      <c r="M40" s="82"/>
      <c r="N40" s="82"/>
      <c r="O40" s="82"/>
      <c r="P40" s="82"/>
      <c r="Q40" s="82"/>
      <c r="R40" s="82"/>
      <c r="S40" s="82"/>
      <c r="T40" s="82"/>
      <c r="U40" s="82"/>
      <c r="V40" s="82"/>
    </row>
    <row r="41" spans="1:23" ht="14.25" customHeight="1" x14ac:dyDescent="0.45">
      <c r="A41" s="115"/>
      <c r="B41" s="115"/>
      <c r="C41" s="115"/>
      <c r="D41" s="115"/>
      <c r="E41" s="115"/>
      <c r="F41" s="82"/>
      <c r="G41" s="82"/>
      <c r="H41" s="82"/>
      <c r="I41" s="82"/>
      <c r="J41" s="82"/>
      <c r="K41" s="82"/>
      <c r="L41" s="82"/>
      <c r="M41" s="82"/>
      <c r="N41" s="82"/>
      <c r="O41" s="82"/>
      <c r="P41" s="82"/>
      <c r="Q41" s="82"/>
      <c r="R41" s="82"/>
      <c r="S41" s="82"/>
      <c r="T41" s="82"/>
      <c r="U41" s="82"/>
      <c r="V41" s="82"/>
    </row>
    <row r="42" spans="1:23" ht="14.25" customHeight="1" x14ac:dyDescent="0.45">
      <c r="A42" s="115"/>
      <c r="B42" s="115"/>
      <c r="C42" s="115"/>
      <c r="D42" s="115"/>
      <c r="E42" s="115"/>
      <c r="F42" s="82"/>
      <c r="G42" s="82"/>
      <c r="H42" s="82"/>
      <c r="I42" s="82"/>
      <c r="J42" s="82"/>
      <c r="K42" s="82"/>
      <c r="L42" s="82"/>
      <c r="M42" s="82"/>
      <c r="N42" s="82"/>
      <c r="O42" s="82"/>
      <c r="P42" s="82"/>
      <c r="Q42" s="82"/>
      <c r="R42" s="82"/>
      <c r="S42" s="82"/>
      <c r="T42" s="82"/>
      <c r="U42" s="82"/>
      <c r="V42" s="82"/>
    </row>
    <row r="43" spans="1:23" ht="14.25" customHeight="1" x14ac:dyDescent="0.45">
      <c r="A43" s="115"/>
      <c r="B43" s="115"/>
      <c r="C43" s="115"/>
      <c r="D43" s="115"/>
      <c r="E43" s="115"/>
      <c r="F43" s="82"/>
      <c r="G43" s="82"/>
      <c r="H43" s="82"/>
      <c r="I43" s="82"/>
      <c r="J43" s="82"/>
      <c r="K43" s="82"/>
      <c r="L43" s="82"/>
      <c r="M43" s="82"/>
      <c r="N43" s="82"/>
      <c r="O43" s="82"/>
      <c r="P43" s="82"/>
      <c r="Q43" s="82"/>
      <c r="R43" s="82"/>
      <c r="S43" s="82"/>
      <c r="T43" s="82"/>
      <c r="U43" s="82"/>
      <c r="V43" s="82"/>
    </row>
    <row r="44" spans="1:23" ht="14.25" customHeight="1" x14ac:dyDescent="0.45">
      <c r="A44" s="115"/>
      <c r="B44" s="115"/>
      <c r="C44" s="115"/>
      <c r="D44" s="115"/>
      <c r="E44" s="115"/>
      <c r="F44" s="82"/>
      <c r="G44" s="82"/>
      <c r="H44" s="82"/>
      <c r="I44" s="82"/>
      <c r="J44" s="82"/>
      <c r="K44" s="82"/>
      <c r="L44" s="82"/>
      <c r="M44" s="82"/>
      <c r="N44" s="82"/>
      <c r="O44" s="82"/>
      <c r="P44" s="82"/>
      <c r="Q44" s="82"/>
      <c r="R44" s="82"/>
      <c r="S44" s="82"/>
      <c r="T44" s="82"/>
      <c r="U44" s="82"/>
      <c r="V44" s="82"/>
    </row>
    <row r="45" spans="1:23" ht="14.25" customHeight="1" x14ac:dyDescent="0.45">
      <c r="A45" s="115"/>
      <c r="B45" s="115"/>
      <c r="C45" s="115"/>
      <c r="D45" s="115"/>
      <c r="E45" s="115"/>
      <c r="F45" s="82"/>
      <c r="G45" s="82"/>
      <c r="H45" s="82"/>
      <c r="I45" s="82"/>
      <c r="J45" s="82"/>
      <c r="K45" s="82"/>
      <c r="L45" s="82"/>
      <c r="M45" s="82"/>
      <c r="N45" s="82"/>
      <c r="O45" s="82"/>
      <c r="P45" s="82"/>
      <c r="Q45" s="82"/>
      <c r="R45" s="82"/>
      <c r="S45" s="82"/>
      <c r="T45" s="82"/>
      <c r="U45" s="82"/>
      <c r="V45" s="82"/>
    </row>
    <row r="46" spans="1:23" ht="14.25" customHeight="1" x14ac:dyDescent="0.45">
      <c r="A46" s="115"/>
      <c r="B46" s="115"/>
      <c r="C46" s="115"/>
      <c r="D46" s="115"/>
      <c r="E46" s="115"/>
      <c r="F46" s="82"/>
      <c r="G46" s="82"/>
      <c r="H46" s="82"/>
      <c r="I46" s="82"/>
      <c r="J46" s="82"/>
      <c r="K46" s="82"/>
      <c r="L46" s="82"/>
      <c r="M46" s="82"/>
      <c r="N46" s="82"/>
      <c r="O46" s="82"/>
      <c r="P46" s="82"/>
      <c r="Q46" s="82"/>
      <c r="R46" s="82"/>
      <c r="S46" s="82"/>
      <c r="T46" s="82"/>
      <c r="U46" s="82"/>
      <c r="V46" s="82"/>
    </row>
    <row r="47" spans="1:23" ht="14.25" customHeight="1" x14ac:dyDescent="0.45">
      <c r="A47" s="115"/>
      <c r="B47" s="115"/>
      <c r="C47" s="115"/>
      <c r="D47" s="115"/>
      <c r="E47" s="115"/>
      <c r="F47" s="82"/>
      <c r="G47" s="82"/>
      <c r="H47" s="82"/>
      <c r="I47" s="82"/>
      <c r="J47" s="82"/>
      <c r="K47" s="82"/>
      <c r="L47" s="82"/>
      <c r="M47" s="82"/>
      <c r="N47" s="82"/>
      <c r="O47" s="82"/>
      <c r="P47" s="82"/>
      <c r="Q47" s="82"/>
      <c r="R47" s="82"/>
      <c r="S47" s="82"/>
      <c r="T47" s="82"/>
      <c r="U47" s="82"/>
      <c r="V47" s="82"/>
    </row>
    <row r="48" spans="1:23" ht="14.25" customHeight="1" x14ac:dyDescent="0.45">
      <c r="A48" s="115"/>
      <c r="B48" s="115"/>
      <c r="C48" s="115"/>
      <c r="D48" s="115"/>
      <c r="E48" s="115"/>
      <c r="F48" s="82"/>
      <c r="G48" s="82"/>
      <c r="H48" s="82"/>
      <c r="I48" s="82"/>
      <c r="J48" s="82"/>
      <c r="K48" s="82"/>
      <c r="L48" s="82"/>
      <c r="M48" s="82"/>
      <c r="N48" s="82"/>
      <c r="O48" s="82"/>
      <c r="P48" s="82"/>
      <c r="Q48" s="82"/>
      <c r="R48" s="82"/>
      <c r="S48" s="82"/>
      <c r="T48" s="82"/>
      <c r="U48" s="82"/>
      <c r="V48" s="82"/>
    </row>
    <row r="49" spans="1:23" ht="14.25" customHeight="1" x14ac:dyDescent="0.45">
      <c r="A49" s="115"/>
      <c r="B49" s="115"/>
      <c r="C49" s="115"/>
      <c r="D49" s="115"/>
      <c r="E49" s="115"/>
      <c r="F49" s="82"/>
      <c r="G49" s="82"/>
      <c r="H49" s="82"/>
      <c r="I49" s="82"/>
      <c r="J49" s="82"/>
      <c r="K49" s="82"/>
      <c r="L49" s="82"/>
      <c r="M49" s="82"/>
      <c r="N49" s="82"/>
      <c r="O49" s="82"/>
      <c r="P49" s="82"/>
      <c r="Q49" s="82"/>
      <c r="R49" s="82"/>
      <c r="S49" s="82"/>
      <c r="T49" s="82"/>
      <c r="U49" s="82"/>
      <c r="V49" s="82"/>
    </row>
    <row r="50" spans="1:23" ht="14.25" customHeight="1" x14ac:dyDescent="0.45">
      <c r="A50" s="115"/>
      <c r="B50" s="115"/>
      <c r="C50" s="115"/>
      <c r="D50" s="115"/>
      <c r="E50" s="115"/>
      <c r="F50" s="82"/>
      <c r="G50" s="82"/>
      <c r="H50" s="82"/>
      <c r="I50" s="82"/>
      <c r="J50" s="82"/>
      <c r="K50" s="82"/>
      <c r="L50" s="82"/>
      <c r="M50" s="82"/>
      <c r="N50" s="82"/>
      <c r="O50" s="82"/>
      <c r="P50" s="82"/>
      <c r="Q50" s="82"/>
      <c r="R50" s="82"/>
      <c r="S50" s="82"/>
      <c r="T50" s="82"/>
      <c r="U50" s="82"/>
      <c r="V50" s="82"/>
    </row>
    <row r="51" spans="1:23" ht="14.25" customHeight="1" x14ac:dyDescent="0.45">
      <c r="A51" s="115"/>
      <c r="B51" s="115"/>
      <c r="C51" s="115"/>
      <c r="D51" s="115"/>
      <c r="E51" s="115"/>
      <c r="F51" s="82"/>
      <c r="G51" s="82"/>
      <c r="H51" s="82"/>
      <c r="I51" s="82"/>
      <c r="J51" s="82"/>
      <c r="K51" s="82"/>
      <c r="L51" s="82"/>
      <c r="M51" s="82"/>
      <c r="N51" s="82"/>
      <c r="O51" s="82"/>
      <c r="P51" s="82"/>
      <c r="Q51" s="82"/>
      <c r="R51" s="82"/>
      <c r="S51" s="82"/>
      <c r="T51" s="82"/>
      <c r="U51" s="82"/>
      <c r="V51" s="82"/>
    </row>
    <row r="52" spans="1:23" ht="14.25" customHeight="1" x14ac:dyDescent="0.45">
      <c r="A52" s="115"/>
      <c r="B52" s="115"/>
      <c r="C52" s="115"/>
      <c r="D52" s="115"/>
      <c r="E52" s="115"/>
      <c r="F52" s="82"/>
      <c r="G52" s="82"/>
      <c r="H52" s="82"/>
      <c r="I52" s="82"/>
      <c r="J52" s="82"/>
      <c r="K52" s="82"/>
      <c r="L52" s="82"/>
      <c r="M52" s="82"/>
      <c r="N52" s="82"/>
      <c r="O52" s="82"/>
      <c r="P52" s="82"/>
      <c r="Q52" s="82"/>
      <c r="R52" s="82"/>
      <c r="S52" s="82"/>
      <c r="T52" s="82"/>
      <c r="U52" s="82"/>
      <c r="V52" s="82"/>
    </row>
    <row r="53" spans="1:23" s="119" customFormat="1" ht="14.25" customHeight="1" x14ac:dyDescent="0.45">
      <c r="A53" s="115"/>
      <c r="B53" s="115"/>
      <c r="C53" s="115"/>
      <c r="D53" s="115"/>
      <c r="E53" s="115"/>
      <c r="F53" s="82"/>
      <c r="G53" s="82"/>
      <c r="H53" s="82"/>
      <c r="I53" s="82"/>
      <c r="J53" s="82"/>
      <c r="K53" s="82"/>
      <c r="L53" s="82"/>
      <c r="M53" s="82"/>
      <c r="N53" s="82"/>
      <c r="O53" s="82"/>
      <c r="P53" s="82"/>
      <c r="Q53" s="82"/>
      <c r="R53" s="82"/>
      <c r="S53" s="82"/>
      <c r="T53" s="82"/>
      <c r="U53" s="82"/>
      <c r="V53" s="82"/>
      <c r="W53" s="82"/>
    </row>
    <row r="54" spans="1:23" x14ac:dyDescent="0.45">
      <c r="A54" s="115"/>
      <c r="B54" s="115"/>
      <c r="C54" s="115"/>
      <c r="D54" s="115"/>
      <c r="E54" s="115"/>
      <c r="F54" s="82"/>
      <c r="G54" s="82"/>
      <c r="H54" s="82"/>
      <c r="I54" s="82"/>
      <c r="J54" s="82"/>
      <c r="K54" s="82"/>
      <c r="L54" s="82"/>
      <c r="M54" s="82"/>
      <c r="N54" s="82"/>
      <c r="O54" s="82"/>
      <c r="P54" s="82"/>
      <c r="Q54" s="82"/>
      <c r="R54" s="82"/>
      <c r="S54" s="82"/>
      <c r="T54" s="82"/>
      <c r="U54" s="82"/>
      <c r="V54" s="82"/>
    </row>
    <row r="55" spans="1:23" x14ac:dyDescent="0.45">
      <c r="A55" s="115"/>
      <c r="B55" s="115"/>
      <c r="C55" s="115"/>
      <c r="D55" s="115"/>
      <c r="E55" s="115"/>
      <c r="F55" s="82"/>
      <c r="G55" s="82"/>
      <c r="H55" s="82"/>
      <c r="I55" s="82"/>
      <c r="J55" s="82"/>
      <c r="K55" s="82"/>
      <c r="L55" s="82"/>
      <c r="M55" s="82"/>
      <c r="N55" s="82"/>
      <c r="O55" s="82"/>
      <c r="P55" s="82"/>
      <c r="Q55" s="82"/>
      <c r="R55" s="82"/>
      <c r="S55" s="82"/>
      <c r="T55" s="82"/>
      <c r="U55" s="82"/>
      <c r="V55" s="82"/>
    </row>
    <row r="56" spans="1:23" x14ac:dyDescent="0.45">
      <c r="F56" s="82"/>
    </row>
    <row r="60" spans="1:23" x14ac:dyDescent="0.45">
      <c r="K60" s="82"/>
      <c r="O60" s="78">
        <v>550</v>
      </c>
      <c r="P60" s="78">
        <v>10.5</v>
      </c>
      <c r="Q60" s="78">
        <f>P60*$O$60</f>
        <v>5775</v>
      </c>
    </row>
    <row r="61" spans="1:23" x14ac:dyDescent="0.45">
      <c r="K61" s="82"/>
      <c r="P61" s="78">
        <v>8</v>
      </c>
      <c r="Q61" s="78">
        <f t="shared" ref="Q61:Q62" si="2">P61*$O$60</f>
        <v>4400</v>
      </c>
    </row>
    <row r="62" spans="1:23" x14ac:dyDescent="0.45">
      <c r="P62" s="78">
        <v>28</v>
      </c>
      <c r="Q62" s="78">
        <f t="shared" si="2"/>
        <v>15400</v>
      </c>
    </row>
    <row r="65" spans="17:18" x14ac:dyDescent="0.45">
      <c r="Q65" s="78">
        <f>SUM(Q60:Q62)</f>
        <v>25575</v>
      </c>
    </row>
    <row r="68" spans="17:18" x14ac:dyDescent="0.45">
      <c r="Q68" s="78">
        <v>24412.5</v>
      </c>
      <c r="R68" s="78">
        <f>Q65-Q68</f>
        <v>1162.5</v>
      </c>
    </row>
  </sheetData>
  <mergeCells count="6">
    <mergeCell ref="A34:A35"/>
    <mergeCell ref="U12:V12"/>
    <mergeCell ref="A25:A26"/>
    <mergeCell ref="B1:E1"/>
    <mergeCell ref="A11:A12"/>
    <mergeCell ref="F1:J1"/>
  </mergeCells>
  <phoneticPr fontId="1" type="noConversion"/>
  <pageMargins left="0.15748031496062992" right="0.15748031496062992" top="0.98425196850393704" bottom="0.98425196850393704" header="0.51181102362204722" footer="0.51181102362204722"/>
  <pageSetup paperSize="9" orientation="landscape" r:id="rId1"/>
  <headerFooter alignWithMargins="0"/>
  <rowBreaks count="1" manualBreakCount="1">
    <brk id="6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B14:I20"/>
  <sheetViews>
    <sheetView topLeftCell="A4" workbookViewId="0">
      <selection activeCell="H24" sqref="H24"/>
    </sheetView>
  </sheetViews>
  <sheetFormatPr defaultRowHeight="12.3" x14ac:dyDescent="0.4"/>
  <cols>
    <col min="2" max="2" width="24.21875" customWidth="1"/>
    <col min="3" max="3" width="32.77734375" customWidth="1"/>
    <col min="4" max="4" width="13.609375" customWidth="1"/>
    <col min="5" max="5" width="23" customWidth="1"/>
    <col min="6" max="6" width="13.44140625" customWidth="1"/>
    <col min="7" max="7" width="14.38671875" customWidth="1"/>
    <col min="8" max="8" width="13.109375" customWidth="1"/>
    <col min="9" max="9" width="12.44140625" customWidth="1"/>
  </cols>
  <sheetData>
    <row r="14" spans="2:9" ht="36.9" x14ac:dyDescent="0.4">
      <c r="B14" s="206" t="s">
        <v>231</v>
      </c>
      <c r="C14" s="206" t="s">
        <v>232</v>
      </c>
      <c r="D14" s="206" t="s">
        <v>239</v>
      </c>
      <c r="E14" s="206" t="s">
        <v>233</v>
      </c>
      <c r="F14" s="206" t="s">
        <v>234</v>
      </c>
      <c r="G14" s="206" t="s">
        <v>241</v>
      </c>
      <c r="H14" s="206" t="s">
        <v>235</v>
      </c>
      <c r="I14" s="206" t="s">
        <v>236</v>
      </c>
    </row>
    <row r="15" spans="2:9" ht="24.6" x14ac:dyDescent="0.4">
      <c r="B15" s="205" t="s">
        <v>255</v>
      </c>
      <c r="C15" s="205" t="s">
        <v>256</v>
      </c>
      <c r="D15" s="213">
        <f>Refrigeration!I6</f>
        <v>4828.3956900000012</v>
      </c>
      <c r="E15" s="205" t="s">
        <v>257</v>
      </c>
      <c r="F15" s="213">
        <f>Refrigeration!I50</f>
        <v>2573.3937600000004</v>
      </c>
      <c r="G15" s="215">
        <v>8000</v>
      </c>
      <c r="H15" s="208">
        <f>D15-F15</f>
        <v>2255.0019300000008</v>
      </c>
      <c r="I15" s="209">
        <f>G15/H15</f>
        <v>3.5476688039907787</v>
      </c>
    </row>
    <row r="16" spans="2:9" ht="24.6" x14ac:dyDescent="0.4">
      <c r="B16" s="204" t="s">
        <v>249</v>
      </c>
      <c r="C16" s="204" t="s">
        <v>238</v>
      </c>
      <c r="D16" s="207">
        <f>Refrigeration!I9</f>
        <v>1573.1765849999999</v>
      </c>
      <c r="E16" s="204" t="s">
        <v>240</v>
      </c>
      <c r="F16" s="207">
        <f>D16*0.51</f>
        <v>802.32005834999995</v>
      </c>
      <c r="G16" s="207">
        <v>11350</v>
      </c>
      <c r="H16" s="208">
        <f>D16-F16</f>
        <v>770.85652664999998</v>
      </c>
      <c r="I16" s="209">
        <f>G16/H16</f>
        <v>14.72388130295141</v>
      </c>
    </row>
    <row r="17" spans="2:9" ht="24.6" x14ac:dyDescent="0.4">
      <c r="B17" s="204" t="s">
        <v>249</v>
      </c>
      <c r="C17" s="204" t="s">
        <v>242</v>
      </c>
      <c r="D17" s="207">
        <f>Refrigeration!I10</f>
        <v>1215.3960749999999</v>
      </c>
      <c r="E17" s="204" t="s">
        <v>240</v>
      </c>
      <c r="F17" s="207">
        <f>D17*0.51</f>
        <v>619.85199824999995</v>
      </c>
      <c r="G17" s="207">
        <v>11351</v>
      </c>
      <c r="H17" s="208">
        <f>D17-F17</f>
        <v>595.54407674999993</v>
      </c>
      <c r="I17" s="209">
        <f>G17/H17</f>
        <v>19.059882287713478</v>
      </c>
    </row>
    <row r="18" spans="2:9" ht="24.6" x14ac:dyDescent="0.4">
      <c r="B18" s="210" t="s">
        <v>12</v>
      </c>
      <c r="C18" s="210" t="s">
        <v>251</v>
      </c>
      <c r="D18" s="211">
        <f>Lighting!L6</f>
        <v>473.831232</v>
      </c>
      <c r="E18" s="210" t="s">
        <v>252</v>
      </c>
      <c r="F18" s="211">
        <f>Lighting!L45</f>
        <v>124.09865599999999</v>
      </c>
      <c r="G18" s="211">
        <f>Lighting!Q45</f>
        <v>142.4</v>
      </c>
      <c r="H18" s="208">
        <f>D18-F18</f>
        <v>349.73257599999999</v>
      </c>
      <c r="I18" s="212">
        <f>G18/H18</f>
        <v>0.40716824731820239</v>
      </c>
    </row>
    <row r="19" spans="2:9" ht="24.6" x14ac:dyDescent="0.4">
      <c r="B19" s="205" t="s">
        <v>12</v>
      </c>
      <c r="C19" s="205" t="s">
        <v>250</v>
      </c>
      <c r="D19" s="213">
        <f>Lighting!L8</f>
        <v>105.7659</v>
      </c>
      <c r="E19" s="205" t="s">
        <v>253</v>
      </c>
      <c r="F19" s="211">
        <f>Lighting!L46</f>
        <v>7.403613</v>
      </c>
      <c r="G19" s="211">
        <f>Lighting!Q46</f>
        <v>29.94</v>
      </c>
      <c r="H19" s="208">
        <f>D19-F19</f>
        <v>98.362287000000009</v>
      </c>
      <c r="I19" s="212">
        <f>G19/H19</f>
        <v>0.30438495192776471</v>
      </c>
    </row>
    <row r="20" spans="2:9" ht="13.8" x14ac:dyDescent="0.45">
      <c r="B20" s="202" t="s">
        <v>237</v>
      </c>
      <c r="C20" s="201"/>
      <c r="D20" s="201"/>
      <c r="E20" s="201"/>
      <c r="F20" s="201"/>
      <c r="G20" s="201"/>
      <c r="H20" s="201"/>
      <c r="I20" s="20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autoPageBreaks="0"/>
  </sheetPr>
  <dimension ref="A1:IW55"/>
  <sheetViews>
    <sheetView showGridLines="0" topLeftCell="E1" zoomScaleNormal="100" workbookViewId="0">
      <pane ySplit="5" topLeftCell="A44" activePane="bottomLeft" state="frozen"/>
      <selection activeCell="A2" sqref="A2"/>
      <selection pane="bottomLeft" activeCell="X60" sqref="X60"/>
    </sheetView>
  </sheetViews>
  <sheetFormatPr defaultColWidth="9.1640625" defaultRowHeight="11.7" x14ac:dyDescent="0.45"/>
  <cols>
    <col min="1" max="1" width="14.5546875" style="29" customWidth="1"/>
    <col min="2" max="2" width="15" style="29" customWidth="1"/>
    <col min="3" max="3" width="22" style="29" customWidth="1"/>
    <col min="4" max="4" width="14.27734375" style="29" customWidth="1"/>
    <col min="5" max="5" width="8.44140625" style="29" customWidth="1"/>
    <col min="6" max="6" width="9.83203125" style="29" customWidth="1"/>
    <col min="7" max="7" width="8.5546875" style="29" customWidth="1"/>
    <col min="8" max="8" width="8.1640625" style="29" customWidth="1"/>
    <col min="9" max="9" width="8.83203125" style="29" customWidth="1"/>
    <col min="10" max="10" width="10.44140625" style="29" customWidth="1"/>
    <col min="11" max="11" width="6.44140625" style="29" customWidth="1"/>
    <col min="12" max="12" width="10.44140625" style="29" customWidth="1"/>
    <col min="13" max="13" width="6.44140625" style="29" customWidth="1"/>
    <col min="14" max="14" width="23.44140625" style="29" customWidth="1"/>
    <col min="15" max="15" width="22" style="29" customWidth="1"/>
    <col min="16" max="16384" width="9.1640625" style="29"/>
  </cols>
  <sheetData>
    <row r="1" spans="1:257" s="60" customFormat="1" ht="51.75" customHeight="1" x14ac:dyDescent="0.7">
      <c r="C1" s="235" t="s">
        <v>34</v>
      </c>
      <c r="D1" s="235"/>
      <c r="E1" s="236"/>
      <c r="F1" s="236"/>
      <c r="G1" s="65"/>
      <c r="H1" s="241"/>
      <c r="I1" s="242"/>
      <c r="J1" s="242"/>
      <c r="K1" s="242"/>
      <c r="L1" s="242"/>
      <c r="M1" s="242"/>
      <c r="N1" s="61"/>
      <c r="O1" s="61"/>
      <c r="AI1" s="62"/>
      <c r="AJ1" s="62"/>
      <c r="AK1" s="62"/>
      <c r="AL1" s="62"/>
      <c r="AM1" s="62"/>
      <c r="AN1" s="62"/>
      <c r="AO1" s="62"/>
      <c r="AP1" s="62"/>
      <c r="AQ1" s="62"/>
      <c r="AR1" s="62"/>
      <c r="AS1" s="62"/>
      <c r="AT1" s="62"/>
    </row>
    <row r="2" spans="1:257" ht="15" customHeight="1" x14ac:dyDescent="0.45">
      <c r="A2" s="188" t="s">
        <v>182</v>
      </c>
      <c r="G2" s="65"/>
      <c r="H2" s="242"/>
      <c r="I2" s="242"/>
      <c r="J2" s="242"/>
      <c r="K2" s="242"/>
      <c r="L2" s="242"/>
      <c r="M2" s="242"/>
      <c r="N2" s="63"/>
      <c r="O2" s="63"/>
    </row>
    <row r="3" spans="1:257" ht="3" customHeight="1" thickBot="1" x14ac:dyDescent="0.5">
      <c r="B3" s="66"/>
    </row>
    <row r="4" spans="1:257" s="30" customFormat="1" ht="58.5" x14ac:dyDescent="0.45">
      <c r="A4" s="237" t="s">
        <v>17</v>
      </c>
      <c r="B4" s="239" t="s">
        <v>16</v>
      </c>
      <c r="C4" s="239" t="s">
        <v>28</v>
      </c>
      <c r="D4" s="239" t="s">
        <v>176</v>
      </c>
      <c r="E4" s="26" t="s">
        <v>33</v>
      </c>
      <c r="F4" s="26" t="s">
        <v>32</v>
      </c>
      <c r="G4" s="26" t="s">
        <v>18</v>
      </c>
      <c r="H4" s="180" t="s">
        <v>19</v>
      </c>
      <c r="I4" s="26" t="s">
        <v>20</v>
      </c>
      <c r="J4" s="27" t="s">
        <v>30</v>
      </c>
      <c r="K4" s="27"/>
      <c r="L4" s="27" t="s">
        <v>31</v>
      </c>
      <c r="M4" s="27"/>
      <c r="N4" s="231" t="s">
        <v>67</v>
      </c>
      <c r="O4" s="233" t="s">
        <v>66</v>
      </c>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row>
    <row r="5" spans="1:257" s="30" customFormat="1" ht="14.25" customHeight="1" x14ac:dyDescent="0.45">
      <c r="A5" s="238"/>
      <c r="B5" s="240"/>
      <c r="C5" s="240"/>
      <c r="D5" s="240"/>
      <c r="E5" s="31" t="s">
        <v>22</v>
      </c>
      <c r="F5" s="31" t="s">
        <v>22</v>
      </c>
      <c r="G5" s="31" t="s">
        <v>21</v>
      </c>
      <c r="H5" s="31" t="s">
        <v>22</v>
      </c>
      <c r="I5" s="31" t="s">
        <v>23</v>
      </c>
      <c r="J5" s="31" t="s">
        <v>0</v>
      </c>
      <c r="K5" s="31" t="s">
        <v>2</v>
      </c>
      <c r="L5" s="31" t="s">
        <v>186</v>
      </c>
      <c r="M5" s="31" t="s">
        <v>2</v>
      </c>
      <c r="N5" s="232"/>
      <c r="O5" s="234"/>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row>
    <row r="6" spans="1:257" s="37" customFormat="1" ht="23.4" x14ac:dyDescent="0.4">
      <c r="A6" s="39" t="s">
        <v>183</v>
      </c>
      <c r="B6" s="41" t="s">
        <v>188</v>
      </c>
      <c r="C6" s="41" t="s">
        <v>189</v>
      </c>
      <c r="D6" s="41" t="s">
        <v>185</v>
      </c>
      <c r="E6" s="41">
        <v>8</v>
      </c>
      <c r="F6" s="41">
        <v>2</v>
      </c>
      <c r="G6" s="41">
        <v>70</v>
      </c>
      <c r="H6" s="72">
        <v>1.2</v>
      </c>
      <c r="I6" s="41">
        <f>58*50</f>
        <v>2900</v>
      </c>
      <c r="J6" s="43">
        <f>E6*F6*G6*H6*I6/1000</f>
        <v>3897.6</v>
      </c>
      <c r="K6" s="44">
        <f>IF(ISERROR(J6/J$36),"",J6/J$36)</f>
        <v>0.69050554870530212</v>
      </c>
      <c r="L6" s="194">
        <f t="shared" ref="L6:L35" si="0">J6*ElecPrice</f>
        <v>473.831232</v>
      </c>
      <c r="M6" s="44">
        <f>IF(ISERROR(L6/L$36),"",L6/L$36)</f>
        <v>0.69050554870530201</v>
      </c>
      <c r="N6" s="41" t="s">
        <v>184</v>
      </c>
      <c r="O6" s="46" t="s">
        <v>225</v>
      </c>
    </row>
    <row r="7" spans="1:257" s="37" customFormat="1" ht="23.4" x14ac:dyDescent="0.4">
      <c r="A7" s="39" t="s">
        <v>190</v>
      </c>
      <c r="B7" s="41" t="s">
        <v>191</v>
      </c>
      <c r="C7" s="41" t="s">
        <v>192</v>
      </c>
      <c r="D7" s="41" t="s">
        <v>185</v>
      </c>
      <c r="E7" s="41">
        <v>7</v>
      </c>
      <c r="F7" s="41">
        <v>1</v>
      </c>
      <c r="G7" s="41">
        <v>60</v>
      </c>
      <c r="H7" s="72">
        <v>1.2</v>
      </c>
      <c r="I7" s="41">
        <f>58*30</f>
        <v>1740</v>
      </c>
      <c r="J7" s="43">
        <f t="shared" ref="J7:J35" si="1">E7*F7*G7*H7*I7/1000</f>
        <v>876.96</v>
      </c>
      <c r="K7" s="44">
        <f t="shared" ref="K7:K35" si="2">IF(ISERROR(J7/J$36),"",J7/J$36)</f>
        <v>0.155363748458693</v>
      </c>
      <c r="L7" s="194">
        <f t="shared" si="0"/>
        <v>106.6120272</v>
      </c>
      <c r="M7" s="44">
        <f t="shared" ref="M7:M35" si="3">IF(ISERROR(L7/L$36),"",L7/L$36)</f>
        <v>0.15536374845869297</v>
      </c>
      <c r="N7" s="41"/>
      <c r="O7" s="46" t="s">
        <v>187</v>
      </c>
    </row>
    <row r="8" spans="1:257" s="37" customFormat="1" ht="23.4" x14ac:dyDescent="0.4">
      <c r="A8" s="39" t="s">
        <v>193</v>
      </c>
      <c r="B8" s="41" t="s">
        <v>194</v>
      </c>
      <c r="C8" s="41" t="s">
        <v>195</v>
      </c>
      <c r="D8" s="41" t="s">
        <v>185</v>
      </c>
      <c r="E8" s="41">
        <v>6</v>
      </c>
      <c r="F8" s="41">
        <v>1</v>
      </c>
      <c r="G8" s="41">
        <v>50</v>
      </c>
      <c r="H8" s="72">
        <v>1</v>
      </c>
      <c r="I8" s="41">
        <f>58*50</f>
        <v>2900</v>
      </c>
      <c r="J8" s="43">
        <f t="shared" si="1"/>
        <v>870</v>
      </c>
      <c r="K8" s="44">
        <f t="shared" si="2"/>
        <v>0.15413070283600494</v>
      </c>
      <c r="L8" s="194">
        <f t="shared" si="0"/>
        <v>105.7659</v>
      </c>
      <c r="M8" s="44">
        <f t="shared" si="3"/>
        <v>0.15413070283600491</v>
      </c>
      <c r="N8" s="41"/>
      <c r="O8" s="46" t="s">
        <v>226</v>
      </c>
    </row>
    <row r="9" spans="1:257" s="37" customFormat="1" x14ac:dyDescent="0.4">
      <c r="A9" s="39"/>
      <c r="B9" s="41"/>
      <c r="C9" s="41"/>
      <c r="D9" s="41"/>
      <c r="E9" s="41"/>
      <c r="F9" s="41"/>
      <c r="G9" s="41"/>
      <c r="H9" s="72"/>
      <c r="I9" s="41"/>
      <c r="J9" s="43">
        <f t="shared" si="1"/>
        <v>0</v>
      </c>
      <c r="K9" s="44">
        <f t="shared" si="2"/>
        <v>0</v>
      </c>
      <c r="L9" s="194">
        <f t="shared" si="0"/>
        <v>0</v>
      </c>
      <c r="M9" s="44">
        <f t="shared" si="3"/>
        <v>0</v>
      </c>
      <c r="N9" s="41"/>
      <c r="O9" s="46"/>
    </row>
    <row r="10" spans="1:257" s="37" customFormat="1" x14ac:dyDescent="0.4">
      <c r="A10" s="39"/>
      <c r="B10" s="41"/>
      <c r="C10" s="41"/>
      <c r="D10" s="41"/>
      <c r="E10" s="41"/>
      <c r="F10" s="41"/>
      <c r="G10" s="41"/>
      <c r="H10" s="72"/>
      <c r="I10" s="41"/>
      <c r="J10" s="43">
        <f t="shared" si="1"/>
        <v>0</v>
      </c>
      <c r="K10" s="44">
        <f t="shared" si="2"/>
        <v>0</v>
      </c>
      <c r="L10" s="194">
        <f t="shared" si="0"/>
        <v>0</v>
      </c>
      <c r="M10" s="44">
        <f t="shared" si="3"/>
        <v>0</v>
      </c>
      <c r="N10" s="41"/>
      <c r="O10" s="46"/>
    </row>
    <row r="11" spans="1:257" s="37" customFormat="1" x14ac:dyDescent="0.4">
      <c r="A11" s="39"/>
      <c r="B11" s="41"/>
      <c r="C11" s="41"/>
      <c r="D11" s="41"/>
      <c r="E11" s="41"/>
      <c r="F11" s="41"/>
      <c r="G11" s="41"/>
      <c r="H11" s="72"/>
      <c r="I11" s="41"/>
      <c r="J11" s="43">
        <f t="shared" si="1"/>
        <v>0</v>
      </c>
      <c r="K11" s="44">
        <f t="shared" si="2"/>
        <v>0</v>
      </c>
      <c r="L11" s="194">
        <f t="shared" si="0"/>
        <v>0</v>
      </c>
      <c r="M11" s="44">
        <f t="shared" si="3"/>
        <v>0</v>
      </c>
      <c r="N11" s="41"/>
      <c r="O11" s="46"/>
    </row>
    <row r="12" spans="1:257" s="37" customFormat="1" x14ac:dyDescent="0.4">
      <c r="A12" s="39"/>
      <c r="B12" s="41"/>
      <c r="C12" s="41"/>
      <c r="D12" s="41"/>
      <c r="E12" s="41"/>
      <c r="F12" s="41"/>
      <c r="G12" s="41"/>
      <c r="H12" s="72"/>
      <c r="I12" s="41"/>
      <c r="J12" s="43">
        <f t="shared" si="1"/>
        <v>0</v>
      </c>
      <c r="K12" s="44">
        <f t="shared" si="2"/>
        <v>0</v>
      </c>
      <c r="L12" s="194">
        <f t="shared" si="0"/>
        <v>0</v>
      </c>
      <c r="M12" s="44">
        <f t="shared" si="3"/>
        <v>0</v>
      </c>
      <c r="N12" s="41"/>
      <c r="O12" s="46"/>
    </row>
    <row r="13" spans="1:257" s="37" customFormat="1" x14ac:dyDescent="0.4">
      <c r="A13" s="39"/>
      <c r="B13" s="41"/>
      <c r="C13" s="41"/>
      <c r="D13" s="41"/>
      <c r="E13" s="41"/>
      <c r="F13" s="41"/>
      <c r="G13" s="41"/>
      <c r="H13" s="72"/>
      <c r="I13" s="41"/>
      <c r="J13" s="43"/>
      <c r="K13" s="44"/>
      <c r="L13" s="194"/>
      <c r="M13" s="44"/>
      <c r="N13" s="41"/>
      <c r="O13" s="46"/>
    </row>
    <row r="14" spans="1:257" s="37" customFormat="1" x14ac:dyDescent="0.4">
      <c r="A14" s="39"/>
      <c r="B14" s="41"/>
      <c r="C14" s="41"/>
      <c r="D14" s="41"/>
      <c r="E14" s="41"/>
      <c r="F14" s="41"/>
      <c r="G14" s="41"/>
      <c r="H14" s="72"/>
      <c r="I14" s="41"/>
      <c r="J14" s="43">
        <f t="shared" si="1"/>
        <v>0</v>
      </c>
      <c r="K14" s="44">
        <f t="shared" si="2"/>
        <v>0</v>
      </c>
      <c r="L14" s="194">
        <f t="shared" si="0"/>
        <v>0</v>
      </c>
      <c r="M14" s="44">
        <f t="shared" si="3"/>
        <v>0</v>
      </c>
      <c r="N14" s="41"/>
      <c r="O14" s="46"/>
    </row>
    <row r="15" spans="1:257" s="37" customFormat="1" x14ac:dyDescent="0.4">
      <c r="A15" s="39"/>
      <c r="B15" s="41"/>
      <c r="C15" s="41"/>
      <c r="D15" s="41"/>
      <c r="E15" s="41"/>
      <c r="F15" s="41"/>
      <c r="G15" s="41"/>
      <c r="H15" s="72"/>
      <c r="I15" s="41"/>
      <c r="J15" s="43">
        <f t="shared" si="1"/>
        <v>0</v>
      </c>
      <c r="K15" s="44">
        <f t="shared" si="2"/>
        <v>0</v>
      </c>
      <c r="L15" s="194">
        <f t="shared" si="0"/>
        <v>0</v>
      </c>
      <c r="M15" s="44">
        <f t="shared" si="3"/>
        <v>0</v>
      </c>
      <c r="N15" s="41"/>
      <c r="O15" s="46"/>
    </row>
    <row r="16" spans="1:257" s="37" customFormat="1" x14ac:dyDescent="0.4">
      <c r="A16" s="39"/>
      <c r="B16" s="41"/>
      <c r="C16" s="41"/>
      <c r="D16" s="41"/>
      <c r="E16" s="41"/>
      <c r="F16" s="41"/>
      <c r="G16" s="41"/>
      <c r="H16" s="72"/>
      <c r="I16" s="41"/>
      <c r="J16" s="43">
        <f t="shared" si="1"/>
        <v>0</v>
      </c>
      <c r="K16" s="44">
        <f t="shared" si="2"/>
        <v>0</v>
      </c>
      <c r="L16" s="194">
        <f t="shared" si="0"/>
        <v>0</v>
      </c>
      <c r="M16" s="44">
        <f t="shared" si="3"/>
        <v>0</v>
      </c>
      <c r="N16" s="41"/>
      <c r="O16" s="46"/>
    </row>
    <row r="17" spans="1:15" s="37" customFormat="1" x14ac:dyDescent="0.4">
      <c r="A17" s="39"/>
      <c r="B17" s="41"/>
      <c r="C17" s="41"/>
      <c r="D17" s="41"/>
      <c r="E17" s="41"/>
      <c r="F17" s="41"/>
      <c r="G17" s="41"/>
      <c r="H17" s="72"/>
      <c r="I17" s="41"/>
      <c r="J17" s="43">
        <f t="shared" si="1"/>
        <v>0</v>
      </c>
      <c r="K17" s="44">
        <f t="shared" si="2"/>
        <v>0</v>
      </c>
      <c r="L17" s="194">
        <f t="shared" si="0"/>
        <v>0</v>
      </c>
      <c r="M17" s="44">
        <f t="shared" si="3"/>
        <v>0</v>
      </c>
      <c r="N17" s="41"/>
      <c r="O17" s="46"/>
    </row>
    <row r="18" spans="1:15" s="37" customFormat="1" x14ac:dyDescent="0.4">
      <c r="A18" s="39"/>
      <c r="B18" s="41"/>
      <c r="C18" s="41"/>
      <c r="D18" s="41"/>
      <c r="E18" s="41"/>
      <c r="F18" s="41"/>
      <c r="G18" s="41"/>
      <c r="H18" s="72"/>
      <c r="I18" s="41"/>
      <c r="J18" s="43">
        <f t="shared" si="1"/>
        <v>0</v>
      </c>
      <c r="K18" s="44">
        <f t="shared" si="2"/>
        <v>0</v>
      </c>
      <c r="L18" s="194">
        <f t="shared" si="0"/>
        <v>0</v>
      </c>
      <c r="M18" s="44">
        <f t="shared" si="3"/>
        <v>0</v>
      </c>
      <c r="N18" s="41"/>
      <c r="O18" s="46"/>
    </row>
    <row r="19" spans="1:15" s="37" customFormat="1" x14ac:dyDescent="0.4">
      <c r="A19" s="39"/>
      <c r="B19" s="41"/>
      <c r="C19" s="41"/>
      <c r="D19" s="41"/>
      <c r="E19" s="41"/>
      <c r="F19" s="41"/>
      <c r="G19" s="41"/>
      <c r="H19" s="72"/>
      <c r="I19" s="41"/>
      <c r="J19" s="43">
        <f t="shared" si="1"/>
        <v>0</v>
      </c>
      <c r="K19" s="44">
        <f t="shared" si="2"/>
        <v>0</v>
      </c>
      <c r="L19" s="194">
        <f t="shared" si="0"/>
        <v>0</v>
      </c>
      <c r="M19" s="44">
        <f t="shared" si="3"/>
        <v>0</v>
      </c>
      <c r="N19" s="41"/>
      <c r="O19" s="46"/>
    </row>
    <row r="20" spans="1:15" s="37" customFormat="1" x14ac:dyDescent="0.4">
      <c r="A20" s="39"/>
      <c r="B20" s="41"/>
      <c r="C20" s="41"/>
      <c r="D20" s="41"/>
      <c r="E20" s="41"/>
      <c r="F20" s="41"/>
      <c r="G20" s="41"/>
      <c r="H20" s="72"/>
      <c r="I20" s="41"/>
      <c r="J20" s="43">
        <f t="shared" si="1"/>
        <v>0</v>
      </c>
      <c r="K20" s="44">
        <f t="shared" si="2"/>
        <v>0</v>
      </c>
      <c r="L20" s="194">
        <f t="shared" si="0"/>
        <v>0</v>
      </c>
      <c r="M20" s="44">
        <f t="shared" si="3"/>
        <v>0</v>
      </c>
      <c r="N20" s="41"/>
      <c r="O20" s="46"/>
    </row>
    <row r="21" spans="1:15" s="37" customFormat="1" x14ac:dyDescent="0.4">
      <c r="A21" s="39"/>
      <c r="B21" s="41"/>
      <c r="C21" s="41"/>
      <c r="D21" s="41"/>
      <c r="E21" s="41"/>
      <c r="F21" s="41"/>
      <c r="G21" s="41"/>
      <c r="H21" s="72"/>
      <c r="I21" s="41"/>
      <c r="J21" s="43">
        <f t="shared" si="1"/>
        <v>0</v>
      </c>
      <c r="K21" s="44">
        <f t="shared" si="2"/>
        <v>0</v>
      </c>
      <c r="L21" s="194">
        <f t="shared" si="0"/>
        <v>0</v>
      </c>
      <c r="M21" s="44">
        <f t="shared" si="3"/>
        <v>0</v>
      </c>
      <c r="N21" s="41"/>
      <c r="O21" s="46"/>
    </row>
    <row r="22" spans="1:15" s="37" customFormat="1" x14ac:dyDescent="0.4">
      <c r="A22" s="39"/>
      <c r="B22" s="41"/>
      <c r="C22" s="41"/>
      <c r="D22" s="41"/>
      <c r="E22" s="41"/>
      <c r="F22" s="41"/>
      <c r="G22" s="41"/>
      <c r="H22" s="72"/>
      <c r="I22" s="41"/>
      <c r="J22" s="43">
        <f t="shared" si="1"/>
        <v>0</v>
      </c>
      <c r="K22" s="44">
        <f t="shared" si="2"/>
        <v>0</v>
      </c>
      <c r="L22" s="194">
        <f t="shared" si="0"/>
        <v>0</v>
      </c>
      <c r="M22" s="44">
        <f t="shared" si="3"/>
        <v>0</v>
      </c>
      <c r="N22" s="41"/>
      <c r="O22" s="46"/>
    </row>
    <row r="23" spans="1:15" s="37" customFormat="1" x14ac:dyDescent="0.4">
      <c r="A23" s="39"/>
      <c r="B23" s="41"/>
      <c r="C23" s="41"/>
      <c r="D23" s="41"/>
      <c r="E23" s="41"/>
      <c r="F23" s="41"/>
      <c r="G23" s="41"/>
      <c r="H23" s="72"/>
      <c r="I23" s="41"/>
      <c r="J23" s="43">
        <f t="shared" si="1"/>
        <v>0</v>
      </c>
      <c r="K23" s="44">
        <f t="shared" si="2"/>
        <v>0</v>
      </c>
      <c r="L23" s="194">
        <f t="shared" si="0"/>
        <v>0</v>
      </c>
      <c r="M23" s="44">
        <f t="shared" si="3"/>
        <v>0</v>
      </c>
      <c r="N23" s="41"/>
      <c r="O23" s="46"/>
    </row>
    <row r="24" spans="1:15" s="37" customFormat="1" x14ac:dyDescent="0.4">
      <c r="A24" s="39"/>
      <c r="B24" s="41"/>
      <c r="C24" s="41"/>
      <c r="D24" s="41"/>
      <c r="E24" s="41"/>
      <c r="F24" s="41"/>
      <c r="G24" s="41"/>
      <c r="H24" s="72"/>
      <c r="I24" s="41"/>
      <c r="J24" s="43">
        <f t="shared" si="1"/>
        <v>0</v>
      </c>
      <c r="K24" s="44">
        <f t="shared" si="2"/>
        <v>0</v>
      </c>
      <c r="L24" s="194">
        <f t="shared" si="0"/>
        <v>0</v>
      </c>
      <c r="M24" s="44">
        <f t="shared" si="3"/>
        <v>0</v>
      </c>
      <c r="N24" s="41"/>
      <c r="O24" s="46"/>
    </row>
    <row r="25" spans="1:15" s="37" customFormat="1" x14ac:dyDescent="0.4">
      <c r="A25" s="39"/>
      <c r="B25" s="41"/>
      <c r="C25" s="41"/>
      <c r="D25" s="41"/>
      <c r="E25" s="41"/>
      <c r="F25" s="41"/>
      <c r="G25" s="41"/>
      <c r="H25" s="72"/>
      <c r="I25" s="41"/>
      <c r="J25" s="43">
        <f t="shared" si="1"/>
        <v>0</v>
      </c>
      <c r="K25" s="44">
        <f t="shared" si="2"/>
        <v>0</v>
      </c>
      <c r="L25" s="194">
        <f t="shared" si="0"/>
        <v>0</v>
      </c>
      <c r="M25" s="44">
        <f t="shared" si="3"/>
        <v>0</v>
      </c>
      <c r="N25" s="41"/>
      <c r="O25" s="46"/>
    </row>
    <row r="26" spans="1:15" s="37" customFormat="1" x14ac:dyDescent="0.4">
      <c r="A26" s="39"/>
      <c r="B26" s="41"/>
      <c r="C26" s="41"/>
      <c r="D26" s="41"/>
      <c r="E26" s="41"/>
      <c r="F26" s="41"/>
      <c r="G26" s="41"/>
      <c r="H26" s="72"/>
      <c r="I26" s="41"/>
      <c r="J26" s="43">
        <f t="shared" si="1"/>
        <v>0</v>
      </c>
      <c r="K26" s="44">
        <f t="shared" si="2"/>
        <v>0</v>
      </c>
      <c r="L26" s="194">
        <f t="shared" si="0"/>
        <v>0</v>
      </c>
      <c r="M26" s="44">
        <f t="shared" si="3"/>
        <v>0</v>
      </c>
      <c r="N26" s="41"/>
      <c r="O26" s="46"/>
    </row>
    <row r="27" spans="1:15" s="37" customFormat="1" x14ac:dyDescent="0.4">
      <c r="A27" s="39"/>
      <c r="B27" s="41"/>
      <c r="C27" s="41"/>
      <c r="D27" s="41"/>
      <c r="E27" s="41"/>
      <c r="F27" s="41"/>
      <c r="G27" s="41"/>
      <c r="H27" s="72"/>
      <c r="I27" s="41"/>
      <c r="J27" s="43">
        <f t="shared" si="1"/>
        <v>0</v>
      </c>
      <c r="K27" s="44">
        <f t="shared" si="2"/>
        <v>0</v>
      </c>
      <c r="L27" s="194">
        <f t="shared" si="0"/>
        <v>0</v>
      </c>
      <c r="M27" s="44">
        <f t="shared" si="3"/>
        <v>0</v>
      </c>
      <c r="N27" s="41"/>
      <c r="O27" s="46"/>
    </row>
    <row r="28" spans="1:15" s="37" customFormat="1" x14ac:dyDescent="0.4">
      <c r="A28" s="39"/>
      <c r="B28" s="41"/>
      <c r="C28" s="41"/>
      <c r="D28" s="41"/>
      <c r="E28" s="41"/>
      <c r="F28" s="41"/>
      <c r="G28" s="41"/>
      <c r="H28" s="72"/>
      <c r="I28" s="41"/>
      <c r="J28" s="43">
        <f t="shared" si="1"/>
        <v>0</v>
      </c>
      <c r="K28" s="44">
        <f t="shared" si="2"/>
        <v>0</v>
      </c>
      <c r="L28" s="194">
        <f t="shared" si="0"/>
        <v>0</v>
      </c>
      <c r="M28" s="44">
        <f t="shared" si="3"/>
        <v>0</v>
      </c>
      <c r="N28" s="41"/>
      <c r="O28" s="46"/>
    </row>
    <row r="29" spans="1:15" s="37" customFormat="1" x14ac:dyDescent="0.4">
      <c r="A29" s="39"/>
      <c r="B29" s="41"/>
      <c r="C29" s="41"/>
      <c r="D29" s="41"/>
      <c r="E29" s="41"/>
      <c r="F29" s="41"/>
      <c r="G29" s="41"/>
      <c r="H29" s="72"/>
      <c r="I29" s="41"/>
      <c r="J29" s="43">
        <f t="shared" si="1"/>
        <v>0</v>
      </c>
      <c r="K29" s="44">
        <f t="shared" si="2"/>
        <v>0</v>
      </c>
      <c r="L29" s="194">
        <f t="shared" si="0"/>
        <v>0</v>
      </c>
      <c r="M29" s="44">
        <f t="shared" si="3"/>
        <v>0</v>
      </c>
      <c r="N29" s="41"/>
      <c r="O29" s="46"/>
    </row>
    <row r="30" spans="1:15" s="37" customFormat="1" x14ac:dyDescent="0.4">
      <c r="A30" s="39"/>
      <c r="B30" s="41"/>
      <c r="C30" s="41"/>
      <c r="D30" s="41"/>
      <c r="E30" s="41"/>
      <c r="F30" s="41"/>
      <c r="G30" s="41"/>
      <c r="H30" s="72"/>
      <c r="I30" s="41"/>
      <c r="J30" s="43">
        <f t="shared" si="1"/>
        <v>0</v>
      </c>
      <c r="K30" s="44">
        <f t="shared" si="2"/>
        <v>0</v>
      </c>
      <c r="L30" s="194">
        <f t="shared" si="0"/>
        <v>0</v>
      </c>
      <c r="M30" s="44">
        <f t="shared" si="3"/>
        <v>0</v>
      </c>
      <c r="N30" s="41"/>
      <c r="O30" s="46"/>
    </row>
    <row r="31" spans="1:15" s="37" customFormat="1" x14ac:dyDescent="0.4">
      <c r="A31" s="39"/>
      <c r="B31" s="41"/>
      <c r="C31" s="41"/>
      <c r="D31" s="41"/>
      <c r="E31" s="41"/>
      <c r="F31" s="41"/>
      <c r="G31" s="41"/>
      <c r="H31" s="72"/>
      <c r="I31" s="41"/>
      <c r="J31" s="43">
        <f t="shared" si="1"/>
        <v>0</v>
      </c>
      <c r="K31" s="44">
        <f t="shared" si="2"/>
        <v>0</v>
      </c>
      <c r="L31" s="194">
        <f t="shared" si="0"/>
        <v>0</v>
      </c>
      <c r="M31" s="44">
        <f t="shared" si="3"/>
        <v>0</v>
      </c>
      <c r="N31" s="41"/>
      <c r="O31" s="46"/>
    </row>
    <row r="32" spans="1:15" s="37" customFormat="1" x14ac:dyDescent="0.4">
      <c r="A32" s="39"/>
      <c r="B32" s="41"/>
      <c r="C32" s="41"/>
      <c r="D32" s="41"/>
      <c r="E32" s="41"/>
      <c r="F32" s="41"/>
      <c r="G32" s="41"/>
      <c r="H32" s="72"/>
      <c r="I32" s="41"/>
      <c r="J32" s="43">
        <f t="shared" si="1"/>
        <v>0</v>
      </c>
      <c r="K32" s="44">
        <f t="shared" si="2"/>
        <v>0</v>
      </c>
      <c r="L32" s="194">
        <f t="shared" si="0"/>
        <v>0</v>
      </c>
      <c r="M32" s="44">
        <f t="shared" si="3"/>
        <v>0</v>
      </c>
      <c r="N32" s="41"/>
      <c r="O32" s="46"/>
    </row>
    <row r="33" spans="1:257" s="37" customFormat="1" x14ac:dyDescent="0.4">
      <c r="A33" s="39"/>
      <c r="B33" s="41"/>
      <c r="C33" s="41"/>
      <c r="D33" s="41"/>
      <c r="E33" s="41"/>
      <c r="F33" s="41"/>
      <c r="G33" s="41"/>
      <c r="H33" s="72"/>
      <c r="I33" s="41"/>
      <c r="J33" s="43">
        <f t="shared" si="1"/>
        <v>0</v>
      </c>
      <c r="K33" s="44">
        <f t="shared" si="2"/>
        <v>0</v>
      </c>
      <c r="L33" s="194">
        <f t="shared" si="0"/>
        <v>0</v>
      </c>
      <c r="M33" s="44">
        <f t="shared" si="3"/>
        <v>0</v>
      </c>
      <c r="N33" s="41"/>
      <c r="O33" s="46"/>
    </row>
    <row r="34" spans="1:257" s="37" customFormat="1" x14ac:dyDescent="0.4">
      <c r="A34" s="39"/>
      <c r="B34" s="41"/>
      <c r="C34" s="41"/>
      <c r="D34" s="41"/>
      <c r="E34" s="41"/>
      <c r="F34" s="41"/>
      <c r="G34" s="41"/>
      <c r="H34" s="72"/>
      <c r="I34" s="41"/>
      <c r="J34" s="43">
        <f t="shared" si="1"/>
        <v>0</v>
      </c>
      <c r="K34" s="44">
        <f t="shared" si="2"/>
        <v>0</v>
      </c>
      <c r="L34" s="194">
        <f t="shared" si="0"/>
        <v>0</v>
      </c>
      <c r="M34" s="44">
        <f t="shared" si="3"/>
        <v>0</v>
      </c>
      <c r="N34" s="41"/>
      <c r="O34" s="46"/>
    </row>
    <row r="35" spans="1:257" s="37" customFormat="1" x14ac:dyDescent="0.4">
      <c r="A35" s="39"/>
      <c r="B35" s="41"/>
      <c r="C35" s="41"/>
      <c r="D35" s="41"/>
      <c r="E35" s="41"/>
      <c r="F35" s="41"/>
      <c r="G35" s="41"/>
      <c r="H35" s="72"/>
      <c r="I35" s="41"/>
      <c r="J35" s="43">
        <f t="shared" si="1"/>
        <v>0</v>
      </c>
      <c r="K35" s="44">
        <f t="shared" si="2"/>
        <v>0</v>
      </c>
      <c r="L35" s="194">
        <f t="shared" si="0"/>
        <v>0</v>
      </c>
      <c r="M35" s="44">
        <f t="shared" si="3"/>
        <v>0</v>
      </c>
      <c r="N35" s="41"/>
      <c r="O35" s="46"/>
    </row>
    <row r="36" spans="1:257" ht="12" thickBot="1" x14ac:dyDescent="0.5">
      <c r="A36" s="47" t="s">
        <v>4</v>
      </c>
      <c r="B36" s="49"/>
      <c r="C36" s="49"/>
      <c r="D36" s="49"/>
      <c r="E36" s="49">
        <f>SUM(E6:E35)</f>
        <v>21</v>
      </c>
      <c r="F36" s="49"/>
      <c r="G36" s="49"/>
      <c r="H36" s="76"/>
      <c r="I36" s="49"/>
      <c r="J36" s="49">
        <f>SUM(J6:J35)</f>
        <v>5644.5599999999995</v>
      </c>
      <c r="K36" s="50"/>
      <c r="L36" s="195">
        <f>SUM(L6:L35)</f>
        <v>686.20915920000004</v>
      </c>
      <c r="M36" s="50"/>
      <c r="N36" s="49"/>
      <c r="O36" s="52"/>
    </row>
    <row r="37" spans="1:257" ht="12" thickBot="1" x14ac:dyDescent="0.5">
      <c r="N37" s="64"/>
      <c r="O37" s="64"/>
    </row>
    <row r="38" spans="1:257" s="190" customFormat="1" ht="31.2" thickTop="1" thickBot="1" x14ac:dyDescent="1.1499999999999999">
      <c r="A38" s="189" t="s">
        <v>107</v>
      </c>
    </row>
    <row r="39" spans="1:257" s="30" customFormat="1" ht="58.5" x14ac:dyDescent="0.45">
      <c r="A39" s="237" t="s">
        <v>17</v>
      </c>
      <c r="B39" s="239" t="s">
        <v>16</v>
      </c>
      <c r="C39" s="239" t="s">
        <v>28</v>
      </c>
      <c r="D39" s="239" t="s">
        <v>176</v>
      </c>
      <c r="E39" s="26" t="s">
        <v>33</v>
      </c>
      <c r="F39" s="26" t="s">
        <v>32</v>
      </c>
      <c r="G39" s="26" t="s">
        <v>18</v>
      </c>
      <c r="H39" s="180" t="s">
        <v>19</v>
      </c>
      <c r="I39" s="26" t="s">
        <v>20</v>
      </c>
      <c r="J39" s="27" t="s">
        <v>30</v>
      </c>
      <c r="K39" s="27"/>
      <c r="L39" s="27" t="s">
        <v>31</v>
      </c>
      <c r="M39" s="27"/>
      <c r="N39" s="231" t="s">
        <v>67</v>
      </c>
      <c r="O39" s="233" t="s">
        <v>66</v>
      </c>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row>
    <row r="40" spans="1:257" s="30" customFormat="1" ht="14.25" customHeight="1" x14ac:dyDescent="0.45">
      <c r="A40" s="238"/>
      <c r="B40" s="240"/>
      <c r="C40" s="240"/>
      <c r="D40" s="240"/>
      <c r="E40" s="31" t="s">
        <v>22</v>
      </c>
      <c r="F40" s="31" t="s">
        <v>22</v>
      </c>
      <c r="G40" s="31" t="s">
        <v>21</v>
      </c>
      <c r="H40" s="31" t="s">
        <v>22</v>
      </c>
      <c r="I40" s="31" t="s">
        <v>23</v>
      </c>
      <c r="J40" s="31" t="s">
        <v>0</v>
      </c>
      <c r="K40" s="31" t="s">
        <v>2</v>
      </c>
      <c r="L40" s="31" t="s">
        <v>1</v>
      </c>
      <c r="M40" s="31" t="s">
        <v>2</v>
      </c>
      <c r="N40" s="232"/>
      <c r="O40" s="234"/>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row>
    <row r="41" spans="1:257" s="38" customFormat="1" x14ac:dyDescent="0.4">
      <c r="A41" s="53" t="s">
        <v>25</v>
      </c>
      <c r="B41" s="55" t="s">
        <v>24</v>
      </c>
      <c r="C41" s="55" t="s">
        <v>11</v>
      </c>
      <c r="D41" s="55" t="s">
        <v>180</v>
      </c>
      <c r="E41" s="55">
        <v>24</v>
      </c>
      <c r="F41" s="55">
        <v>4</v>
      </c>
      <c r="G41" s="55">
        <v>12</v>
      </c>
      <c r="H41" s="77">
        <v>1.1499999999999999</v>
      </c>
      <c r="I41" s="55">
        <f>10*5*52</f>
        <v>2600</v>
      </c>
      <c r="J41" s="33">
        <f>E41*F41*G41*H41*I41/1000</f>
        <v>3444.48</v>
      </c>
      <c r="K41" s="34" t="s">
        <v>5</v>
      </c>
      <c r="L41" s="35">
        <f>J41*0.14</f>
        <v>482.22720000000004</v>
      </c>
      <c r="M41" s="34" t="s">
        <v>5</v>
      </c>
      <c r="N41" s="55" t="s">
        <v>77</v>
      </c>
      <c r="O41" s="57" t="s">
        <v>76</v>
      </c>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row>
    <row r="42" spans="1:257" s="150" customFormat="1" ht="12" thickBot="1" x14ac:dyDescent="0.5">
      <c r="A42" s="151" t="s">
        <v>4</v>
      </c>
      <c r="B42" s="144"/>
      <c r="C42" s="144"/>
      <c r="D42" s="144"/>
      <c r="E42" s="144">
        <f>E41</f>
        <v>24</v>
      </c>
      <c r="F42" s="144"/>
      <c r="G42" s="144"/>
      <c r="H42" s="155"/>
      <c r="I42" s="144"/>
      <c r="J42" s="144">
        <f>J41</f>
        <v>3444.48</v>
      </c>
      <c r="K42" s="145"/>
      <c r="L42" s="147">
        <f>L41</f>
        <v>482.22720000000004</v>
      </c>
      <c r="M42" s="145"/>
      <c r="N42" s="144"/>
      <c r="O42" s="149"/>
    </row>
    <row r="44" spans="1:257" x14ac:dyDescent="0.45">
      <c r="A44" s="203" t="s">
        <v>243</v>
      </c>
      <c r="P44" s="29" t="s">
        <v>244</v>
      </c>
      <c r="Q44" s="29" t="s">
        <v>245</v>
      </c>
      <c r="R44" s="29" t="s">
        <v>246</v>
      </c>
    </row>
    <row r="45" spans="1:257" s="37" customFormat="1" ht="23.4" x14ac:dyDescent="0.4">
      <c r="A45" s="39" t="s">
        <v>183</v>
      </c>
      <c r="B45" s="41" t="s">
        <v>188</v>
      </c>
      <c r="C45" s="41" t="s">
        <v>189</v>
      </c>
      <c r="D45" s="41" t="s">
        <v>185</v>
      </c>
      <c r="E45" s="41">
        <v>8</v>
      </c>
      <c r="F45" s="41">
        <v>2</v>
      </c>
      <c r="G45" s="41">
        <v>22</v>
      </c>
      <c r="H45" s="72">
        <v>1</v>
      </c>
      <c r="I45" s="41">
        <f>58*50</f>
        <v>2900</v>
      </c>
      <c r="J45" s="43">
        <f>E45*F45*G45*H45*I45/1000</f>
        <v>1020.8</v>
      </c>
      <c r="K45" s="44">
        <f>IF(ISERROR(J45/J$36),"",J45/J$36)</f>
        <v>0.18084669132757913</v>
      </c>
      <c r="L45" s="194">
        <f>J45*ElecPrice</f>
        <v>124.09865599999999</v>
      </c>
      <c r="M45" s="44">
        <f>IF(ISERROR(L45/L$36),"",L45/L$36)</f>
        <v>0.18084669132757911</v>
      </c>
      <c r="N45" s="41" t="s">
        <v>184</v>
      </c>
      <c r="O45" s="46" t="s">
        <v>225</v>
      </c>
      <c r="P45" s="37">
        <v>8.9</v>
      </c>
      <c r="Q45" s="37">
        <f>P45*(E45*F45)</f>
        <v>142.4</v>
      </c>
      <c r="R45" s="216" t="s">
        <v>248</v>
      </c>
    </row>
    <row r="46" spans="1:257" s="37" customFormat="1" ht="23.4" x14ac:dyDescent="0.4">
      <c r="A46" s="39" t="s">
        <v>193</v>
      </c>
      <c r="B46" s="41" t="s">
        <v>194</v>
      </c>
      <c r="C46" s="41" t="s">
        <v>195</v>
      </c>
      <c r="D46" s="41" t="s">
        <v>185</v>
      </c>
      <c r="E46" s="41">
        <v>6</v>
      </c>
      <c r="F46" s="41">
        <v>1</v>
      </c>
      <c r="G46" s="71">
        <v>3.5</v>
      </c>
      <c r="H46" s="72">
        <v>1</v>
      </c>
      <c r="I46" s="41">
        <f>58*50</f>
        <v>2900</v>
      </c>
      <c r="J46" s="43">
        <f>E46*F46*G46*H46*I46/1000</f>
        <v>60.9</v>
      </c>
      <c r="K46" s="44">
        <f>IF(ISERROR(J46/J$36),"",J46/J$36)</f>
        <v>1.0789149198520346E-2</v>
      </c>
      <c r="L46" s="194">
        <f>J46*ElecPrice</f>
        <v>7.403613</v>
      </c>
      <c r="M46" s="44">
        <f>IF(ISERROR(L46/L$36),"",L46/L$36)</f>
        <v>1.0789149198520344E-2</v>
      </c>
      <c r="N46" s="41"/>
      <c r="O46" s="46" t="s">
        <v>226</v>
      </c>
      <c r="P46" s="37">
        <v>4.99</v>
      </c>
      <c r="Q46" s="37">
        <f>P46*(E46*F46)</f>
        <v>29.94</v>
      </c>
      <c r="R46" s="216" t="s">
        <v>247</v>
      </c>
    </row>
    <row r="47" spans="1:257" s="64" customFormat="1" x14ac:dyDescent="0.45">
      <c r="N47" s="29"/>
      <c r="O47" s="29"/>
    </row>
    <row r="48" spans="1:257" x14ac:dyDescent="0.45">
      <c r="L48" s="29" t="s">
        <v>266</v>
      </c>
    </row>
    <row r="49" spans="11:12" x14ac:dyDescent="0.45">
      <c r="K49" s="219" t="s">
        <v>264</v>
      </c>
      <c r="L49" s="29">
        <v>580</v>
      </c>
    </row>
    <row r="50" spans="11:12" x14ac:dyDescent="0.45">
      <c r="K50" s="219" t="s">
        <v>265</v>
      </c>
      <c r="L50" s="29">
        <v>130</v>
      </c>
    </row>
    <row r="51" spans="11:12" x14ac:dyDescent="0.45">
      <c r="K51" s="219" t="s">
        <v>268</v>
      </c>
      <c r="L51" s="29">
        <f>L49-L50</f>
        <v>450</v>
      </c>
    </row>
    <row r="52" spans="11:12" x14ac:dyDescent="0.45">
      <c r="K52" s="219" t="s">
        <v>267</v>
      </c>
      <c r="L52" s="29">
        <v>150</v>
      </c>
    </row>
    <row r="53" spans="11:12" x14ac:dyDescent="0.45">
      <c r="K53" s="219"/>
      <c r="L53" s="29">
        <f>L52/L51</f>
        <v>0.33333333333333331</v>
      </c>
    </row>
    <row r="54" spans="11:12" x14ac:dyDescent="0.45">
      <c r="K54" s="219"/>
    </row>
    <row r="55" spans="11:12" x14ac:dyDescent="0.45">
      <c r="K55" s="219"/>
    </row>
  </sheetData>
  <mergeCells count="14">
    <mergeCell ref="A39:A40"/>
    <mergeCell ref="B39:B40"/>
    <mergeCell ref="C39:C40"/>
    <mergeCell ref="N39:N40"/>
    <mergeCell ref="O39:O40"/>
    <mergeCell ref="D39:D40"/>
    <mergeCell ref="N4:N5"/>
    <mergeCell ref="O4:O5"/>
    <mergeCell ref="C1:F1"/>
    <mergeCell ref="A4:A5"/>
    <mergeCell ref="B4:B5"/>
    <mergeCell ref="C4:C5"/>
    <mergeCell ref="H1:M2"/>
    <mergeCell ref="D4:D5"/>
  </mergeCells>
  <phoneticPr fontId="1" type="noConversion"/>
  <hyperlinks>
    <hyperlink ref="R45" r:id="rId1" xr:uid="{00000000-0004-0000-0300-000000000000}"/>
    <hyperlink ref="R46" r:id="rId2" xr:uid="{00000000-0004-0000-0300-000001000000}"/>
  </hyperlinks>
  <pageMargins left="0.75" right="0.75" top="1" bottom="1" header="0.5" footer="0.5"/>
  <pageSetup paperSize="9" orientation="portrait"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autoPageBreaks="0"/>
  </sheetPr>
  <dimension ref="A1:IV47"/>
  <sheetViews>
    <sheetView showGridLines="0" zoomScaleNormal="100" workbookViewId="0">
      <pane ySplit="5" topLeftCell="A6" activePane="bottomLeft" state="frozen"/>
      <selection activeCell="A2" sqref="A2"/>
      <selection pane="bottomLeft" activeCell="I6" sqref="I6"/>
    </sheetView>
  </sheetViews>
  <sheetFormatPr defaultColWidth="9.1640625" defaultRowHeight="11.7" x14ac:dyDescent="0.45"/>
  <cols>
    <col min="1" max="1" width="21.44140625" style="29" customWidth="1"/>
    <col min="2" max="2" width="9.5546875" style="29" customWidth="1"/>
    <col min="3" max="3" width="25.83203125" style="29" customWidth="1"/>
    <col min="4" max="4" width="14" style="29" customWidth="1"/>
    <col min="5" max="5" width="8.83203125" style="29" customWidth="1"/>
    <col min="6" max="6" width="13.5546875" style="29" customWidth="1"/>
    <col min="7" max="7" width="9.83203125" style="29" customWidth="1"/>
    <col min="8" max="8" width="9.44140625" style="29" customWidth="1"/>
    <col min="9" max="9" width="10.44140625" style="29" customWidth="1"/>
    <col min="10" max="10" width="6.44140625" style="29" customWidth="1"/>
    <col min="11" max="11" width="10.44140625" style="29" customWidth="1"/>
    <col min="12" max="12" width="6.44140625" style="29" customWidth="1"/>
    <col min="13" max="13" width="45.6640625" style="29" customWidth="1"/>
    <col min="14" max="14" width="22" style="29" customWidth="1"/>
    <col min="15" max="16384" width="9.1640625" style="29"/>
  </cols>
  <sheetData>
    <row r="1" spans="1:256" s="60" customFormat="1" ht="51.75" customHeight="1" x14ac:dyDescent="0.7">
      <c r="C1" s="235" t="s">
        <v>150</v>
      </c>
      <c r="D1" s="235"/>
      <c r="E1" s="235"/>
      <c r="F1" s="236"/>
      <c r="G1" s="236"/>
      <c r="H1" s="182"/>
      <c r="I1" s="183"/>
      <c r="J1" s="183"/>
      <c r="K1" s="183"/>
      <c r="L1" s="183"/>
      <c r="M1" s="61"/>
      <c r="N1" s="61"/>
      <c r="AH1" s="62"/>
      <c r="AI1" s="62"/>
      <c r="AJ1" s="62"/>
      <c r="AK1" s="62"/>
      <c r="AL1" s="62"/>
      <c r="AM1" s="62"/>
      <c r="AN1" s="62"/>
      <c r="AO1" s="62"/>
      <c r="AP1" s="62"/>
      <c r="AQ1" s="62"/>
      <c r="AR1" s="62"/>
      <c r="AS1" s="62"/>
    </row>
    <row r="2" spans="1:256" ht="15" customHeight="1" x14ac:dyDescent="0.45">
      <c r="A2" s="188" t="s">
        <v>181</v>
      </c>
      <c r="H2" s="183"/>
      <c r="I2" s="183"/>
      <c r="J2" s="183"/>
      <c r="K2" s="183"/>
      <c r="L2" s="183"/>
      <c r="M2" s="63"/>
      <c r="N2" s="63"/>
    </row>
    <row r="3" spans="1:256" ht="3" customHeight="1" thickBot="1" x14ac:dyDescent="0.5"/>
    <row r="4" spans="1:256" s="30" customFormat="1" ht="58.5" x14ac:dyDescent="0.45">
      <c r="A4" s="237" t="s">
        <v>17</v>
      </c>
      <c r="B4" s="239" t="s">
        <v>173</v>
      </c>
      <c r="C4" s="239" t="s">
        <v>28</v>
      </c>
      <c r="D4" s="239" t="s">
        <v>177</v>
      </c>
      <c r="E4" s="239" t="s">
        <v>6</v>
      </c>
      <c r="F4" s="193" t="s">
        <v>174</v>
      </c>
      <c r="G4" s="26" t="s">
        <v>26</v>
      </c>
      <c r="H4" s="26" t="s">
        <v>20</v>
      </c>
      <c r="I4" s="27" t="s">
        <v>30</v>
      </c>
      <c r="J4" s="27"/>
      <c r="K4" s="27" t="s">
        <v>31</v>
      </c>
      <c r="L4" s="27"/>
      <c r="M4" s="231" t="s">
        <v>67</v>
      </c>
      <c r="N4" s="233" t="s">
        <v>66</v>
      </c>
      <c r="O4" s="29" t="s">
        <v>215</v>
      </c>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30" customFormat="1" ht="14.25" customHeight="1" x14ac:dyDescent="0.45">
      <c r="A5" s="238"/>
      <c r="B5" s="240"/>
      <c r="C5" s="240"/>
      <c r="D5" s="243"/>
      <c r="E5" s="240"/>
      <c r="F5" s="31" t="s">
        <v>3</v>
      </c>
      <c r="G5" s="31" t="s">
        <v>2</v>
      </c>
      <c r="H5" s="31" t="s">
        <v>23</v>
      </c>
      <c r="I5" s="31" t="s">
        <v>0</v>
      </c>
      <c r="J5" s="31" t="s">
        <v>2</v>
      </c>
      <c r="K5" s="31" t="s">
        <v>186</v>
      </c>
      <c r="L5" s="31" t="s">
        <v>2</v>
      </c>
      <c r="M5" s="232"/>
      <c r="N5" s="234"/>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7" customFormat="1" ht="93.6" x14ac:dyDescent="0.4">
      <c r="A6" s="39" t="s">
        <v>183</v>
      </c>
      <c r="B6" s="40"/>
      <c r="C6" s="41" t="s">
        <v>212</v>
      </c>
      <c r="D6" s="41" t="s">
        <v>214</v>
      </c>
      <c r="E6" s="41">
        <v>1</v>
      </c>
      <c r="F6" s="71">
        <v>5</v>
      </c>
      <c r="G6" s="42">
        <v>0.65</v>
      </c>
      <c r="H6" s="41">
        <f>5*6*20</f>
        <v>600</v>
      </c>
      <c r="I6" s="43">
        <f>E6*F6*G6*H6</f>
        <v>1950</v>
      </c>
      <c r="J6" s="44">
        <f t="shared" ref="J6:J34" si="0">IF(ISERROR(I6/I$35),"",I6/I$35)</f>
        <v>1</v>
      </c>
      <c r="K6" s="194">
        <f>I6*ElecPrice</f>
        <v>237.0615</v>
      </c>
      <c r="L6" s="44">
        <f t="shared" ref="L6:L34" si="1">IF(ISERROR(K6/K$35),"",K6/K$35)</f>
        <v>1</v>
      </c>
      <c r="M6" s="41" t="s">
        <v>217</v>
      </c>
      <c r="N6" s="46" t="s">
        <v>213</v>
      </c>
      <c r="O6" s="37" t="s">
        <v>216</v>
      </c>
    </row>
    <row r="7" spans="1:256" s="37" customFormat="1" x14ac:dyDescent="0.4">
      <c r="A7" s="39"/>
      <c r="B7" s="40"/>
      <c r="C7" s="41"/>
      <c r="D7" s="41"/>
      <c r="E7" s="41"/>
      <c r="F7" s="71"/>
      <c r="G7" s="42"/>
      <c r="H7" s="41"/>
      <c r="I7" s="43">
        <f t="shared" ref="I7:I34" si="2">E7*F7*G7*H7</f>
        <v>0</v>
      </c>
      <c r="J7" s="44">
        <f t="shared" si="0"/>
        <v>0</v>
      </c>
      <c r="K7" s="194">
        <f t="shared" ref="K7:K34" si="3">I7*ElecPrice</f>
        <v>0</v>
      </c>
      <c r="L7" s="44">
        <f t="shared" si="1"/>
        <v>0</v>
      </c>
      <c r="M7" s="41"/>
      <c r="N7" s="46"/>
    </row>
    <row r="8" spans="1:256" s="37" customFormat="1" x14ac:dyDescent="0.4">
      <c r="A8" s="39"/>
      <c r="B8" s="40"/>
      <c r="C8" s="41"/>
      <c r="D8" s="41"/>
      <c r="E8" s="41"/>
      <c r="F8" s="71"/>
      <c r="G8" s="42"/>
      <c r="H8" s="41"/>
      <c r="I8" s="43">
        <f t="shared" si="2"/>
        <v>0</v>
      </c>
      <c r="J8" s="44">
        <f t="shared" si="0"/>
        <v>0</v>
      </c>
      <c r="K8" s="194">
        <f t="shared" si="3"/>
        <v>0</v>
      </c>
      <c r="L8" s="44">
        <f t="shared" si="1"/>
        <v>0</v>
      </c>
      <c r="M8" s="41"/>
      <c r="N8" s="46"/>
    </row>
    <row r="9" spans="1:256" s="37" customFormat="1" x14ac:dyDescent="0.4">
      <c r="A9" s="39"/>
      <c r="B9" s="40"/>
      <c r="C9" s="41"/>
      <c r="D9" s="41"/>
      <c r="E9" s="41"/>
      <c r="F9" s="71"/>
      <c r="G9" s="42"/>
      <c r="H9" s="41"/>
      <c r="I9" s="43">
        <f t="shared" si="2"/>
        <v>0</v>
      </c>
      <c r="J9" s="44">
        <f t="shared" si="0"/>
        <v>0</v>
      </c>
      <c r="K9" s="194">
        <f t="shared" si="3"/>
        <v>0</v>
      </c>
      <c r="L9" s="44">
        <f t="shared" si="1"/>
        <v>0</v>
      </c>
      <c r="M9" s="41"/>
      <c r="N9" s="46"/>
    </row>
    <row r="10" spans="1:256" s="37" customFormat="1" x14ac:dyDescent="0.4">
      <c r="A10" s="39"/>
      <c r="B10" s="40"/>
      <c r="C10" s="41"/>
      <c r="D10" s="41"/>
      <c r="E10" s="41"/>
      <c r="F10" s="71"/>
      <c r="G10" s="42"/>
      <c r="H10" s="41"/>
      <c r="I10" s="43">
        <f t="shared" si="2"/>
        <v>0</v>
      </c>
      <c r="J10" s="44">
        <f t="shared" si="0"/>
        <v>0</v>
      </c>
      <c r="K10" s="194">
        <f t="shared" si="3"/>
        <v>0</v>
      </c>
      <c r="L10" s="44">
        <f t="shared" si="1"/>
        <v>0</v>
      </c>
      <c r="M10" s="41"/>
      <c r="N10" s="46"/>
    </row>
    <row r="11" spans="1:256" s="37" customFormat="1" x14ac:dyDescent="0.4">
      <c r="A11" s="39"/>
      <c r="B11" s="40"/>
      <c r="C11" s="41"/>
      <c r="D11" s="41"/>
      <c r="E11" s="41"/>
      <c r="F11" s="71"/>
      <c r="G11" s="42"/>
      <c r="H11" s="41"/>
      <c r="I11" s="43">
        <f t="shared" si="2"/>
        <v>0</v>
      </c>
      <c r="J11" s="44">
        <f t="shared" si="0"/>
        <v>0</v>
      </c>
      <c r="K11" s="194">
        <f t="shared" si="3"/>
        <v>0</v>
      </c>
      <c r="L11" s="44">
        <f t="shared" si="1"/>
        <v>0</v>
      </c>
      <c r="M11" s="41"/>
      <c r="N11" s="46"/>
    </row>
    <row r="12" spans="1:256" s="37" customFormat="1" x14ac:dyDescent="0.4">
      <c r="A12" s="39"/>
      <c r="B12" s="40"/>
      <c r="C12" s="41"/>
      <c r="D12" s="41"/>
      <c r="E12" s="41"/>
      <c r="F12" s="71"/>
      <c r="G12" s="42"/>
      <c r="H12" s="41"/>
      <c r="I12" s="43">
        <f t="shared" si="2"/>
        <v>0</v>
      </c>
      <c r="J12" s="44">
        <f t="shared" si="0"/>
        <v>0</v>
      </c>
      <c r="K12" s="194">
        <f t="shared" si="3"/>
        <v>0</v>
      </c>
      <c r="L12" s="44">
        <f t="shared" si="1"/>
        <v>0</v>
      </c>
      <c r="M12" s="41"/>
      <c r="N12" s="46"/>
    </row>
    <row r="13" spans="1:256" s="37" customFormat="1" x14ac:dyDescent="0.4">
      <c r="A13" s="39"/>
      <c r="B13" s="40"/>
      <c r="C13" s="41"/>
      <c r="D13" s="41"/>
      <c r="E13" s="41"/>
      <c r="F13" s="71"/>
      <c r="G13" s="42"/>
      <c r="H13" s="41"/>
      <c r="I13" s="43">
        <f t="shared" si="2"/>
        <v>0</v>
      </c>
      <c r="J13" s="44">
        <f t="shared" si="0"/>
        <v>0</v>
      </c>
      <c r="K13" s="194">
        <f t="shared" si="3"/>
        <v>0</v>
      </c>
      <c r="L13" s="44">
        <f t="shared" si="1"/>
        <v>0</v>
      </c>
      <c r="M13" s="41"/>
      <c r="N13" s="46"/>
    </row>
    <row r="14" spans="1:256" s="37" customFormat="1" x14ac:dyDescent="0.4">
      <c r="A14" s="39"/>
      <c r="B14" s="40"/>
      <c r="C14" s="41"/>
      <c r="D14" s="41"/>
      <c r="E14" s="41"/>
      <c r="F14" s="71"/>
      <c r="G14" s="42"/>
      <c r="H14" s="41"/>
      <c r="I14" s="43">
        <f t="shared" si="2"/>
        <v>0</v>
      </c>
      <c r="J14" s="44">
        <f t="shared" si="0"/>
        <v>0</v>
      </c>
      <c r="K14" s="194">
        <f t="shared" si="3"/>
        <v>0</v>
      </c>
      <c r="L14" s="44">
        <f t="shared" si="1"/>
        <v>0</v>
      </c>
      <c r="M14" s="41"/>
      <c r="N14" s="46"/>
    </row>
    <row r="15" spans="1:256" s="37" customFormat="1" x14ac:dyDescent="0.4">
      <c r="A15" s="39"/>
      <c r="B15" s="40"/>
      <c r="C15" s="41"/>
      <c r="D15" s="41"/>
      <c r="E15" s="41"/>
      <c r="F15" s="71"/>
      <c r="G15" s="42"/>
      <c r="H15" s="41"/>
      <c r="I15" s="43">
        <f t="shared" si="2"/>
        <v>0</v>
      </c>
      <c r="J15" s="44">
        <f t="shared" si="0"/>
        <v>0</v>
      </c>
      <c r="K15" s="194">
        <f t="shared" si="3"/>
        <v>0</v>
      </c>
      <c r="L15" s="44">
        <f t="shared" si="1"/>
        <v>0</v>
      </c>
      <c r="M15" s="41"/>
      <c r="N15" s="46"/>
    </row>
    <row r="16" spans="1:256" s="37" customFormat="1" x14ac:dyDescent="0.4">
      <c r="A16" s="39"/>
      <c r="B16" s="40"/>
      <c r="C16" s="41"/>
      <c r="D16" s="41"/>
      <c r="E16" s="41"/>
      <c r="F16" s="71"/>
      <c r="G16" s="42"/>
      <c r="H16" s="41"/>
      <c r="I16" s="43">
        <f t="shared" si="2"/>
        <v>0</v>
      </c>
      <c r="J16" s="44">
        <f t="shared" si="0"/>
        <v>0</v>
      </c>
      <c r="K16" s="194">
        <f t="shared" si="3"/>
        <v>0</v>
      </c>
      <c r="L16" s="44">
        <f t="shared" si="1"/>
        <v>0</v>
      </c>
      <c r="M16" s="41"/>
      <c r="N16" s="46"/>
    </row>
    <row r="17" spans="1:14" s="37" customFormat="1" x14ac:dyDescent="0.4">
      <c r="A17" s="39"/>
      <c r="B17" s="40"/>
      <c r="C17" s="41"/>
      <c r="D17" s="41"/>
      <c r="E17" s="41"/>
      <c r="F17" s="71"/>
      <c r="G17" s="42"/>
      <c r="H17" s="41"/>
      <c r="I17" s="43">
        <f t="shared" si="2"/>
        <v>0</v>
      </c>
      <c r="J17" s="44">
        <f t="shared" si="0"/>
        <v>0</v>
      </c>
      <c r="K17" s="194">
        <f t="shared" si="3"/>
        <v>0</v>
      </c>
      <c r="L17" s="44">
        <f t="shared" si="1"/>
        <v>0</v>
      </c>
      <c r="M17" s="41"/>
      <c r="N17" s="46"/>
    </row>
    <row r="18" spans="1:14" s="37" customFormat="1" x14ac:dyDescent="0.4">
      <c r="A18" s="39"/>
      <c r="B18" s="40"/>
      <c r="C18" s="41"/>
      <c r="D18" s="41"/>
      <c r="E18" s="41"/>
      <c r="F18" s="71"/>
      <c r="G18" s="42"/>
      <c r="H18" s="41"/>
      <c r="I18" s="43">
        <f t="shared" si="2"/>
        <v>0</v>
      </c>
      <c r="J18" s="44">
        <f t="shared" si="0"/>
        <v>0</v>
      </c>
      <c r="K18" s="194">
        <f t="shared" si="3"/>
        <v>0</v>
      </c>
      <c r="L18" s="44">
        <f t="shared" si="1"/>
        <v>0</v>
      </c>
      <c r="M18" s="41"/>
      <c r="N18" s="46"/>
    </row>
    <row r="19" spans="1:14" s="37" customFormat="1" x14ac:dyDescent="0.4">
      <c r="A19" s="39"/>
      <c r="B19" s="40"/>
      <c r="C19" s="41"/>
      <c r="D19" s="41"/>
      <c r="E19" s="41"/>
      <c r="F19" s="71"/>
      <c r="G19" s="42"/>
      <c r="H19" s="41"/>
      <c r="I19" s="43">
        <f t="shared" si="2"/>
        <v>0</v>
      </c>
      <c r="J19" s="44">
        <f t="shared" si="0"/>
        <v>0</v>
      </c>
      <c r="K19" s="194">
        <f t="shared" si="3"/>
        <v>0</v>
      </c>
      <c r="L19" s="44">
        <f t="shared" si="1"/>
        <v>0</v>
      </c>
      <c r="M19" s="41"/>
      <c r="N19" s="46"/>
    </row>
    <row r="20" spans="1:14" s="37" customFormat="1" x14ac:dyDescent="0.4">
      <c r="A20" s="39"/>
      <c r="B20" s="40"/>
      <c r="C20" s="41"/>
      <c r="D20" s="41"/>
      <c r="E20" s="41"/>
      <c r="F20" s="71"/>
      <c r="G20" s="42"/>
      <c r="H20" s="41"/>
      <c r="I20" s="43">
        <f t="shared" si="2"/>
        <v>0</v>
      </c>
      <c r="J20" s="44">
        <f t="shared" si="0"/>
        <v>0</v>
      </c>
      <c r="K20" s="194">
        <f t="shared" si="3"/>
        <v>0</v>
      </c>
      <c r="L20" s="44">
        <f t="shared" si="1"/>
        <v>0</v>
      </c>
      <c r="M20" s="41"/>
      <c r="N20" s="46"/>
    </row>
    <row r="21" spans="1:14" s="37" customFormat="1" x14ac:dyDescent="0.4">
      <c r="A21" s="39"/>
      <c r="B21" s="40"/>
      <c r="C21" s="41"/>
      <c r="D21" s="41"/>
      <c r="E21" s="41"/>
      <c r="F21" s="71"/>
      <c r="G21" s="42"/>
      <c r="H21" s="41"/>
      <c r="I21" s="43">
        <f t="shared" si="2"/>
        <v>0</v>
      </c>
      <c r="J21" s="44">
        <f t="shared" si="0"/>
        <v>0</v>
      </c>
      <c r="K21" s="194">
        <f t="shared" si="3"/>
        <v>0</v>
      </c>
      <c r="L21" s="44">
        <f t="shared" si="1"/>
        <v>0</v>
      </c>
      <c r="M21" s="41"/>
      <c r="N21" s="46"/>
    </row>
    <row r="22" spans="1:14" s="37" customFormat="1" x14ac:dyDescent="0.4">
      <c r="A22" s="39"/>
      <c r="B22" s="40"/>
      <c r="C22" s="41"/>
      <c r="D22" s="41"/>
      <c r="E22" s="41"/>
      <c r="F22" s="71"/>
      <c r="G22" s="42"/>
      <c r="H22" s="41"/>
      <c r="I22" s="43">
        <f t="shared" si="2"/>
        <v>0</v>
      </c>
      <c r="J22" s="44">
        <f t="shared" si="0"/>
        <v>0</v>
      </c>
      <c r="K22" s="194">
        <f t="shared" si="3"/>
        <v>0</v>
      </c>
      <c r="L22" s="44">
        <f t="shared" si="1"/>
        <v>0</v>
      </c>
      <c r="M22" s="41"/>
      <c r="N22" s="46"/>
    </row>
    <row r="23" spans="1:14" s="37" customFormat="1" x14ac:dyDescent="0.4">
      <c r="A23" s="39"/>
      <c r="B23" s="40"/>
      <c r="C23" s="41"/>
      <c r="D23" s="41"/>
      <c r="E23" s="41"/>
      <c r="F23" s="71"/>
      <c r="G23" s="42"/>
      <c r="H23" s="41"/>
      <c r="I23" s="43">
        <f t="shared" si="2"/>
        <v>0</v>
      </c>
      <c r="J23" s="44">
        <f t="shared" si="0"/>
        <v>0</v>
      </c>
      <c r="K23" s="194">
        <f t="shared" si="3"/>
        <v>0</v>
      </c>
      <c r="L23" s="44">
        <f t="shared" si="1"/>
        <v>0</v>
      </c>
      <c r="M23" s="41"/>
      <c r="N23" s="46"/>
    </row>
    <row r="24" spans="1:14" s="37" customFormat="1" x14ac:dyDescent="0.4">
      <c r="A24" s="39"/>
      <c r="B24" s="40"/>
      <c r="C24" s="41"/>
      <c r="D24" s="41"/>
      <c r="E24" s="41"/>
      <c r="F24" s="71"/>
      <c r="G24" s="42"/>
      <c r="H24" s="41"/>
      <c r="I24" s="43">
        <f t="shared" si="2"/>
        <v>0</v>
      </c>
      <c r="J24" s="44">
        <f t="shared" si="0"/>
        <v>0</v>
      </c>
      <c r="K24" s="194">
        <f t="shared" si="3"/>
        <v>0</v>
      </c>
      <c r="L24" s="44">
        <f t="shared" si="1"/>
        <v>0</v>
      </c>
      <c r="M24" s="41"/>
      <c r="N24" s="46"/>
    </row>
    <row r="25" spans="1:14" s="37" customFormat="1" x14ac:dyDescent="0.4">
      <c r="A25" s="39"/>
      <c r="B25" s="40"/>
      <c r="C25" s="41"/>
      <c r="D25" s="41"/>
      <c r="E25" s="41"/>
      <c r="F25" s="71"/>
      <c r="G25" s="42"/>
      <c r="H25" s="41"/>
      <c r="I25" s="43">
        <f t="shared" si="2"/>
        <v>0</v>
      </c>
      <c r="J25" s="44">
        <f t="shared" si="0"/>
        <v>0</v>
      </c>
      <c r="K25" s="194">
        <f t="shared" si="3"/>
        <v>0</v>
      </c>
      <c r="L25" s="44">
        <f t="shared" si="1"/>
        <v>0</v>
      </c>
      <c r="M25" s="41"/>
      <c r="N25" s="46"/>
    </row>
    <row r="26" spans="1:14" s="37" customFormat="1" x14ac:dyDescent="0.4">
      <c r="A26" s="39"/>
      <c r="B26" s="40"/>
      <c r="C26" s="41"/>
      <c r="D26" s="41"/>
      <c r="E26" s="41"/>
      <c r="F26" s="71"/>
      <c r="G26" s="42"/>
      <c r="H26" s="41"/>
      <c r="I26" s="43">
        <f t="shared" si="2"/>
        <v>0</v>
      </c>
      <c r="J26" s="44">
        <f t="shared" si="0"/>
        <v>0</v>
      </c>
      <c r="K26" s="194">
        <f t="shared" si="3"/>
        <v>0</v>
      </c>
      <c r="L26" s="44">
        <f t="shared" si="1"/>
        <v>0</v>
      </c>
      <c r="M26" s="41"/>
      <c r="N26" s="46"/>
    </row>
    <row r="27" spans="1:14" s="37" customFormat="1" x14ac:dyDescent="0.4">
      <c r="A27" s="39"/>
      <c r="B27" s="40"/>
      <c r="C27" s="41"/>
      <c r="D27" s="41"/>
      <c r="E27" s="41"/>
      <c r="F27" s="71"/>
      <c r="G27" s="42"/>
      <c r="H27" s="41"/>
      <c r="I27" s="43">
        <f t="shared" si="2"/>
        <v>0</v>
      </c>
      <c r="J27" s="44">
        <f t="shared" si="0"/>
        <v>0</v>
      </c>
      <c r="K27" s="194">
        <f t="shared" si="3"/>
        <v>0</v>
      </c>
      <c r="L27" s="44">
        <f t="shared" si="1"/>
        <v>0</v>
      </c>
      <c r="M27" s="41"/>
      <c r="N27" s="46"/>
    </row>
    <row r="28" spans="1:14" s="37" customFormat="1" x14ac:dyDescent="0.4">
      <c r="A28" s="39"/>
      <c r="B28" s="40"/>
      <c r="C28" s="41"/>
      <c r="D28" s="41"/>
      <c r="E28" s="41"/>
      <c r="F28" s="71"/>
      <c r="G28" s="42"/>
      <c r="H28" s="41"/>
      <c r="I28" s="43">
        <f t="shared" si="2"/>
        <v>0</v>
      </c>
      <c r="J28" s="44">
        <f t="shared" si="0"/>
        <v>0</v>
      </c>
      <c r="K28" s="194">
        <f t="shared" si="3"/>
        <v>0</v>
      </c>
      <c r="L28" s="44">
        <f t="shared" si="1"/>
        <v>0</v>
      </c>
      <c r="M28" s="41"/>
      <c r="N28" s="46"/>
    </row>
    <row r="29" spans="1:14" s="37" customFormat="1" x14ac:dyDescent="0.4">
      <c r="A29" s="39"/>
      <c r="B29" s="40"/>
      <c r="C29" s="41"/>
      <c r="D29" s="41"/>
      <c r="E29" s="41"/>
      <c r="F29" s="71"/>
      <c r="G29" s="42"/>
      <c r="H29" s="41"/>
      <c r="I29" s="43">
        <f t="shared" si="2"/>
        <v>0</v>
      </c>
      <c r="J29" s="44">
        <f t="shared" si="0"/>
        <v>0</v>
      </c>
      <c r="K29" s="194">
        <f t="shared" si="3"/>
        <v>0</v>
      </c>
      <c r="L29" s="44">
        <f t="shared" si="1"/>
        <v>0</v>
      </c>
      <c r="M29" s="41"/>
      <c r="N29" s="46"/>
    </row>
    <row r="30" spans="1:14" s="37" customFormat="1" x14ac:dyDescent="0.4">
      <c r="A30" s="39"/>
      <c r="B30" s="40"/>
      <c r="C30" s="41"/>
      <c r="D30" s="41"/>
      <c r="E30" s="41"/>
      <c r="F30" s="71"/>
      <c r="G30" s="42"/>
      <c r="H30" s="41"/>
      <c r="I30" s="43">
        <f t="shared" si="2"/>
        <v>0</v>
      </c>
      <c r="J30" s="44">
        <f t="shared" si="0"/>
        <v>0</v>
      </c>
      <c r="K30" s="194">
        <f t="shared" si="3"/>
        <v>0</v>
      </c>
      <c r="L30" s="44">
        <f t="shared" si="1"/>
        <v>0</v>
      </c>
      <c r="M30" s="41"/>
      <c r="N30" s="46"/>
    </row>
    <row r="31" spans="1:14" s="37" customFormat="1" x14ac:dyDescent="0.4">
      <c r="A31" s="39"/>
      <c r="B31" s="40"/>
      <c r="C31" s="41"/>
      <c r="D31" s="41"/>
      <c r="E31" s="41"/>
      <c r="F31" s="71"/>
      <c r="G31" s="42"/>
      <c r="H31" s="41"/>
      <c r="I31" s="43">
        <f t="shared" si="2"/>
        <v>0</v>
      </c>
      <c r="J31" s="44">
        <f t="shared" si="0"/>
        <v>0</v>
      </c>
      <c r="K31" s="194">
        <f t="shared" si="3"/>
        <v>0</v>
      </c>
      <c r="L31" s="44">
        <f t="shared" si="1"/>
        <v>0</v>
      </c>
      <c r="M31" s="41"/>
      <c r="N31" s="46"/>
    </row>
    <row r="32" spans="1:14" s="37" customFormat="1" x14ac:dyDescent="0.4">
      <c r="A32" s="39"/>
      <c r="B32" s="40"/>
      <c r="C32" s="41"/>
      <c r="D32" s="41"/>
      <c r="E32" s="41"/>
      <c r="F32" s="71"/>
      <c r="G32" s="42"/>
      <c r="H32" s="41"/>
      <c r="I32" s="43">
        <f t="shared" si="2"/>
        <v>0</v>
      </c>
      <c r="J32" s="44">
        <f t="shared" si="0"/>
        <v>0</v>
      </c>
      <c r="K32" s="194">
        <f t="shared" si="3"/>
        <v>0</v>
      </c>
      <c r="L32" s="44">
        <f t="shared" si="1"/>
        <v>0</v>
      </c>
      <c r="M32" s="41"/>
      <c r="N32" s="46"/>
    </row>
    <row r="33" spans="1:256" s="37" customFormat="1" x14ac:dyDescent="0.4">
      <c r="A33" s="39"/>
      <c r="B33" s="40"/>
      <c r="C33" s="41"/>
      <c r="D33" s="41"/>
      <c r="E33" s="41"/>
      <c r="F33" s="71"/>
      <c r="G33" s="42"/>
      <c r="H33" s="41"/>
      <c r="I33" s="43">
        <f t="shared" si="2"/>
        <v>0</v>
      </c>
      <c r="J33" s="44">
        <f t="shared" si="0"/>
        <v>0</v>
      </c>
      <c r="K33" s="194">
        <f t="shared" si="3"/>
        <v>0</v>
      </c>
      <c r="L33" s="44">
        <f t="shared" si="1"/>
        <v>0</v>
      </c>
      <c r="M33" s="41"/>
      <c r="N33" s="46"/>
    </row>
    <row r="34" spans="1:256" s="37" customFormat="1" x14ac:dyDescent="0.4">
      <c r="A34" s="39"/>
      <c r="B34" s="40"/>
      <c r="C34" s="41"/>
      <c r="D34" s="41"/>
      <c r="E34" s="41"/>
      <c r="F34" s="71"/>
      <c r="G34" s="42"/>
      <c r="H34" s="41"/>
      <c r="I34" s="43">
        <f t="shared" si="2"/>
        <v>0</v>
      </c>
      <c r="J34" s="44">
        <f t="shared" si="0"/>
        <v>0</v>
      </c>
      <c r="K34" s="194">
        <f t="shared" si="3"/>
        <v>0</v>
      </c>
      <c r="L34" s="44">
        <f t="shared" si="1"/>
        <v>0</v>
      </c>
      <c r="M34" s="41"/>
      <c r="N34" s="46"/>
    </row>
    <row r="35" spans="1:256" ht="12" thickBot="1" x14ac:dyDescent="0.5">
      <c r="A35" s="47" t="s">
        <v>4</v>
      </c>
      <c r="B35" s="48"/>
      <c r="C35" s="49"/>
      <c r="D35" s="49"/>
      <c r="E35" s="49"/>
      <c r="F35" s="49"/>
      <c r="G35" s="49"/>
      <c r="H35" s="49"/>
      <c r="I35" s="49">
        <f>SUM(I6:I34)</f>
        <v>1950</v>
      </c>
      <c r="J35" s="50"/>
      <c r="K35" s="195">
        <f>SUM(K6:K34)</f>
        <v>237.0615</v>
      </c>
      <c r="L35" s="50"/>
      <c r="M35" s="73"/>
      <c r="N35" s="74"/>
    </row>
    <row r="36" spans="1:256" ht="12" thickBot="1" x14ac:dyDescent="0.5">
      <c r="M36" s="64"/>
      <c r="N36" s="64"/>
    </row>
    <row r="37" spans="1:256" s="190" customFormat="1" ht="31.2" thickTop="1" thickBot="1" x14ac:dyDescent="1.1499999999999999">
      <c r="A37" s="189" t="s">
        <v>107</v>
      </c>
    </row>
    <row r="38" spans="1:256" s="30" customFormat="1" ht="58.5" x14ac:dyDescent="0.45">
      <c r="A38" s="237" t="s">
        <v>17</v>
      </c>
      <c r="B38" s="239" t="s">
        <v>173</v>
      </c>
      <c r="C38" s="239" t="s">
        <v>28</v>
      </c>
      <c r="D38" s="239" t="s">
        <v>177</v>
      </c>
      <c r="E38" s="239" t="s">
        <v>6</v>
      </c>
      <c r="F38" s="193" t="s">
        <v>174</v>
      </c>
      <c r="G38" s="193" t="s">
        <v>26</v>
      </c>
      <c r="H38" s="26" t="s">
        <v>20</v>
      </c>
      <c r="I38" s="27" t="s">
        <v>30</v>
      </c>
      <c r="J38" s="27"/>
      <c r="K38" s="27" t="s">
        <v>31</v>
      </c>
      <c r="L38" s="27"/>
      <c r="M38" s="231" t="s">
        <v>67</v>
      </c>
      <c r="N38" s="233" t="s">
        <v>66</v>
      </c>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s="30" customFormat="1" ht="14.25" customHeight="1" x14ac:dyDescent="0.45">
      <c r="A39" s="238"/>
      <c r="B39" s="240"/>
      <c r="C39" s="240"/>
      <c r="D39" s="243"/>
      <c r="E39" s="240"/>
      <c r="F39" s="31" t="s">
        <v>3</v>
      </c>
      <c r="G39" s="31" t="s">
        <v>2</v>
      </c>
      <c r="H39" s="31" t="s">
        <v>23</v>
      </c>
      <c r="I39" s="31" t="s">
        <v>0</v>
      </c>
      <c r="J39" s="31" t="s">
        <v>2</v>
      </c>
      <c r="K39" s="31" t="s">
        <v>1</v>
      </c>
      <c r="L39" s="31" t="s">
        <v>2</v>
      </c>
      <c r="M39" s="232"/>
      <c r="N39" s="234"/>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s="38" customFormat="1" ht="23.4" x14ac:dyDescent="0.4">
      <c r="A40" s="53" t="s">
        <v>43</v>
      </c>
      <c r="B40" s="54" t="s">
        <v>37</v>
      </c>
      <c r="C40" s="55" t="s">
        <v>44</v>
      </c>
      <c r="D40" s="55" t="s">
        <v>178</v>
      </c>
      <c r="E40" s="55">
        <v>25</v>
      </c>
      <c r="F40" s="75">
        <v>1.5</v>
      </c>
      <c r="G40" s="56">
        <v>1</v>
      </c>
      <c r="H40" s="55">
        <v>2080</v>
      </c>
      <c r="I40" s="33">
        <f>E40*F40*G40*H40</f>
        <v>78000</v>
      </c>
      <c r="J40" s="34" t="s">
        <v>5</v>
      </c>
      <c r="K40" s="35">
        <f>I40*0.14</f>
        <v>10920.000000000002</v>
      </c>
      <c r="L40" s="34" t="s">
        <v>5</v>
      </c>
      <c r="M40" s="55" t="s">
        <v>72</v>
      </c>
      <c r="N40" s="57" t="s">
        <v>73</v>
      </c>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row>
    <row r="41" spans="1:256" s="150" customFormat="1" ht="12" thickBot="1" x14ac:dyDescent="0.5">
      <c r="A41" s="151" t="s">
        <v>4</v>
      </c>
      <c r="B41" s="152"/>
      <c r="C41" s="144"/>
      <c r="D41" s="144"/>
      <c r="E41" s="144"/>
      <c r="F41" s="144"/>
      <c r="G41" s="144"/>
      <c r="H41" s="144"/>
      <c r="I41" s="144">
        <f>I40</f>
        <v>78000</v>
      </c>
      <c r="J41" s="145"/>
      <c r="K41" s="147">
        <f>K40</f>
        <v>10920.000000000002</v>
      </c>
      <c r="L41" s="145"/>
      <c r="M41" s="153"/>
      <c r="N41" s="154"/>
    </row>
    <row r="46" spans="1:256" s="64" customFormat="1" x14ac:dyDescent="0.45">
      <c r="M46" s="29"/>
      <c r="N46" s="29"/>
    </row>
    <row r="47" spans="1:256" s="64" customFormat="1" x14ac:dyDescent="0.45">
      <c r="M47" s="29"/>
      <c r="N47" s="29"/>
    </row>
  </sheetData>
  <mergeCells count="15">
    <mergeCell ref="N38:N39"/>
    <mergeCell ref="A38:A39"/>
    <mergeCell ref="B38:B39"/>
    <mergeCell ref="C38:C39"/>
    <mergeCell ref="E38:E39"/>
    <mergeCell ref="M38:M39"/>
    <mergeCell ref="D38:D39"/>
    <mergeCell ref="M4:M5"/>
    <mergeCell ref="N4:N5"/>
    <mergeCell ref="C1:G1"/>
    <mergeCell ref="A4:A5"/>
    <mergeCell ref="C4:C5"/>
    <mergeCell ref="B4:B5"/>
    <mergeCell ref="E4:E5"/>
    <mergeCell ref="D4:D5"/>
  </mergeCells>
  <phoneticPr fontId="1" type="noConversion"/>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autoPageBreaks="0"/>
  </sheetPr>
  <dimension ref="A1:IT48"/>
  <sheetViews>
    <sheetView showGridLines="0" zoomScaleNormal="100" workbookViewId="0">
      <pane ySplit="5" topLeftCell="A6" activePane="bottomLeft" state="frozen"/>
      <selection activeCell="A2" sqref="A2"/>
      <selection pane="bottomLeft" activeCell="A6" sqref="A6"/>
    </sheetView>
  </sheetViews>
  <sheetFormatPr defaultColWidth="9.1640625" defaultRowHeight="11.7" x14ac:dyDescent="0.45"/>
  <cols>
    <col min="1" max="1" width="17.5546875" style="29" customWidth="1"/>
    <col min="2" max="2" width="11" style="29" customWidth="1"/>
    <col min="3" max="3" width="25.83203125" style="29" customWidth="1"/>
    <col min="4" max="4" width="8.83203125" style="29" customWidth="1"/>
    <col min="5" max="5" width="13.5546875" style="29" customWidth="1"/>
    <col min="6" max="6" width="9.44140625" style="29" customWidth="1"/>
    <col min="7" max="7" width="10.44140625" style="29" customWidth="1"/>
    <col min="8" max="8" width="6.44140625" style="29" customWidth="1"/>
    <col min="9" max="9" width="10.44140625" style="29" customWidth="1"/>
    <col min="10" max="10" width="6.44140625" style="29" customWidth="1"/>
    <col min="11" max="11" width="23.44140625" style="29" customWidth="1"/>
    <col min="12" max="12" width="22" style="29" customWidth="1"/>
    <col min="13" max="16384" width="9.1640625" style="29"/>
  </cols>
  <sheetData>
    <row r="1" spans="1:254" s="60" customFormat="1" ht="51.75" customHeight="1" x14ac:dyDescent="0.7">
      <c r="C1" s="235" t="s">
        <v>116</v>
      </c>
      <c r="D1" s="235"/>
      <c r="E1" s="236"/>
      <c r="F1" s="182"/>
      <c r="G1" s="183"/>
      <c r="H1" s="183"/>
      <c r="I1" s="183"/>
      <c r="J1" s="183"/>
      <c r="K1" s="61"/>
      <c r="L1" s="61"/>
      <c r="AF1" s="62"/>
      <c r="AG1" s="62"/>
      <c r="AH1" s="62"/>
      <c r="AI1" s="62"/>
      <c r="AJ1" s="62"/>
      <c r="AK1" s="62"/>
      <c r="AL1" s="62"/>
      <c r="AM1" s="62"/>
      <c r="AN1" s="62"/>
      <c r="AO1" s="62"/>
      <c r="AP1" s="62"/>
      <c r="AQ1" s="62"/>
    </row>
    <row r="2" spans="1:254" ht="15" customHeight="1" x14ac:dyDescent="0.45">
      <c r="A2" s="188" t="s">
        <v>115</v>
      </c>
      <c r="F2" s="183"/>
      <c r="G2" s="183"/>
      <c r="H2" s="183"/>
      <c r="I2" s="183"/>
      <c r="J2" s="183"/>
      <c r="K2" s="63"/>
      <c r="L2" s="63"/>
    </row>
    <row r="3" spans="1:254" ht="3" customHeight="1" thickBot="1" x14ac:dyDescent="0.5"/>
    <row r="4" spans="1:254" s="30" customFormat="1" ht="58.5" x14ac:dyDescent="0.45">
      <c r="A4" s="237" t="s">
        <v>17</v>
      </c>
      <c r="B4" s="239" t="s">
        <v>113</v>
      </c>
      <c r="C4" s="239" t="s">
        <v>28</v>
      </c>
      <c r="D4" s="239" t="s">
        <v>6</v>
      </c>
      <c r="E4" s="26" t="s">
        <v>114</v>
      </c>
      <c r="F4" s="26" t="s">
        <v>20</v>
      </c>
      <c r="G4" s="27" t="s">
        <v>30</v>
      </c>
      <c r="H4" s="27"/>
      <c r="I4" s="27" t="s">
        <v>31</v>
      </c>
      <c r="J4" s="27"/>
      <c r="K4" s="231" t="s">
        <v>67</v>
      </c>
      <c r="L4" s="233" t="s">
        <v>66</v>
      </c>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30" customFormat="1" ht="14.25" customHeight="1" x14ac:dyDescent="0.45">
      <c r="A5" s="238"/>
      <c r="B5" s="240"/>
      <c r="C5" s="240"/>
      <c r="D5" s="240"/>
      <c r="E5" s="31" t="s">
        <v>3</v>
      </c>
      <c r="F5" s="31" t="s">
        <v>23</v>
      </c>
      <c r="G5" s="31" t="s">
        <v>0</v>
      </c>
      <c r="H5" s="31" t="s">
        <v>2</v>
      </c>
      <c r="I5" s="31" t="s">
        <v>1</v>
      </c>
      <c r="J5" s="31" t="s">
        <v>2</v>
      </c>
      <c r="K5" s="232"/>
      <c r="L5" s="234"/>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37" customFormat="1" ht="23.4" x14ac:dyDescent="0.4">
      <c r="A6" s="39"/>
      <c r="B6" s="40"/>
      <c r="C6" s="41"/>
      <c r="D6" s="41"/>
      <c r="E6" s="72"/>
      <c r="F6" s="41"/>
      <c r="G6" s="43">
        <f>D6*E6*F6</f>
        <v>0</v>
      </c>
      <c r="H6" s="44" t="str">
        <f t="shared" ref="H6:H35" si="0">IF(ISERROR(G6/G$36),"",G6/G$36)</f>
        <v/>
      </c>
      <c r="I6" s="194">
        <f t="shared" ref="I6:I35" si="1">G6*ElecPrice</f>
        <v>0</v>
      </c>
      <c r="J6" s="44" t="str">
        <f t="shared" ref="J6:J35" si="2">IF(ISERROR(I6/I$36),"",I6/I$36)</f>
        <v/>
      </c>
      <c r="K6" s="41" t="s">
        <v>218</v>
      </c>
      <c r="L6" s="46"/>
    </row>
    <row r="7" spans="1:254" s="37" customFormat="1" x14ac:dyDescent="0.4">
      <c r="A7" s="39"/>
      <c r="B7" s="40"/>
      <c r="C7" s="41"/>
      <c r="D7" s="41"/>
      <c r="E7" s="72"/>
      <c r="F7" s="41"/>
      <c r="G7" s="43">
        <f t="shared" ref="G7:G35" si="3">D7*E7*F7</f>
        <v>0</v>
      </c>
      <c r="H7" s="44" t="str">
        <f t="shared" si="0"/>
        <v/>
      </c>
      <c r="I7" s="194">
        <f t="shared" si="1"/>
        <v>0</v>
      </c>
      <c r="J7" s="44" t="str">
        <f t="shared" si="2"/>
        <v/>
      </c>
      <c r="K7" s="41"/>
      <c r="L7" s="46"/>
    </row>
    <row r="8" spans="1:254" s="37" customFormat="1" x14ac:dyDescent="0.4">
      <c r="A8" s="39"/>
      <c r="B8" s="40"/>
      <c r="C8" s="41"/>
      <c r="D8" s="41"/>
      <c r="E8" s="72"/>
      <c r="F8" s="41"/>
      <c r="G8" s="43">
        <f t="shared" si="3"/>
        <v>0</v>
      </c>
      <c r="H8" s="44" t="str">
        <f t="shared" si="0"/>
        <v/>
      </c>
      <c r="I8" s="194">
        <f t="shared" si="1"/>
        <v>0</v>
      </c>
      <c r="J8" s="44" t="str">
        <f t="shared" si="2"/>
        <v/>
      </c>
      <c r="K8" s="41"/>
      <c r="L8" s="46"/>
    </row>
    <row r="9" spans="1:254" s="37" customFormat="1" x14ac:dyDescent="0.4">
      <c r="A9" s="39"/>
      <c r="B9" s="40"/>
      <c r="C9" s="41"/>
      <c r="D9" s="41"/>
      <c r="E9" s="72"/>
      <c r="F9" s="41"/>
      <c r="G9" s="43">
        <f t="shared" si="3"/>
        <v>0</v>
      </c>
      <c r="H9" s="44" t="str">
        <f t="shared" si="0"/>
        <v/>
      </c>
      <c r="I9" s="194">
        <f t="shared" si="1"/>
        <v>0</v>
      </c>
      <c r="J9" s="44" t="str">
        <f t="shared" si="2"/>
        <v/>
      </c>
      <c r="K9" s="41"/>
      <c r="L9" s="46"/>
    </row>
    <row r="10" spans="1:254" s="37" customFormat="1" x14ac:dyDescent="0.4">
      <c r="A10" s="39"/>
      <c r="B10" s="40"/>
      <c r="C10" s="41"/>
      <c r="D10" s="41"/>
      <c r="E10" s="72"/>
      <c r="F10" s="41"/>
      <c r="G10" s="43">
        <f t="shared" si="3"/>
        <v>0</v>
      </c>
      <c r="H10" s="44" t="str">
        <f t="shared" si="0"/>
        <v/>
      </c>
      <c r="I10" s="194">
        <f t="shared" si="1"/>
        <v>0</v>
      </c>
      <c r="J10" s="44" t="str">
        <f t="shared" si="2"/>
        <v/>
      </c>
      <c r="K10" s="41"/>
      <c r="L10" s="46"/>
    </row>
    <row r="11" spans="1:254" s="37" customFormat="1" x14ac:dyDescent="0.4">
      <c r="A11" s="39"/>
      <c r="B11" s="40"/>
      <c r="C11" s="41"/>
      <c r="D11" s="41"/>
      <c r="E11" s="72"/>
      <c r="F11" s="41"/>
      <c r="G11" s="43">
        <f t="shared" si="3"/>
        <v>0</v>
      </c>
      <c r="H11" s="44" t="str">
        <f t="shared" si="0"/>
        <v/>
      </c>
      <c r="I11" s="194">
        <f t="shared" si="1"/>
        <v>0</v>
      </c>
      <c r="J11" s="44" t="str">
        <f t="shared" si="2"/>
        <v/>
      </c>
      <c r="K11" s="41"/>
      <c r="L11" s="46"/>
    </row>
    <row r="12" spans="1:254" s="37" customFormat="1" x14ac:dyDescent="0.4">
      <c r="A12" s="39"/>
      <c r="B12" s="40"/>
      <c r="C12" s="41"/>
      <c r="D12" s="41"/>
      <c r="E12" s="72"/>
      <c r="F12" s="41"/>
      <c r="G12" s="43">
        <f t="shared" si="3"/>
        <v>0</v>
      </c>
      <c r="H12" s="44" t="str">
        <f t="shared" si="0"/>
        <v/>
      </c>
      <c r="I12" s="194">
        <f t="shared" si="1"/>
        <v>0</v>
      </c>
      <c r="J12" s="44" t="str">
        <f t="shared" si="2"/>
        <v/>
      </c>
      <c r="K12" s="41"/>
      <c r="L12" s="46"/>
    </row>
    <row r="13" spans="1:254" s="37" customFormat="1" x14ac:dyDescent="0.4">
      <c r="A13" s="39"/>
      <c r="B13" s="40"/>
      <c r="C13" s="41"/>
      <c r="D13" s="41"/>
      <c r="E13" s="72"/>
      <c r="F13" s="41"/>
      <c r="G13" s="43">
        <f t="shared" si="3"/>
        <v>0</v>
      </c>
      <c r="H13" s="44" t="str">
        <f t="shared" si="0"/>
        <v/>
      </c>
      <c r="I13" s="194">
        <f t="shared" si="1"/>
        <v>0</v>
      </c>
      <c r="J13" s="44" t="str">
        <f t="shared" si="2"/>
        <v/>
      </c>
      <c r="K13" s="41"/>
      <c r="L13" s="46"/>
    </row>
    <row r="14" spans="1:254" s="37" customFormat="1" x14ac:dyDescent="0.4">
      <c r="A14" s="39"/>
      <c r="B14" s="40"/>
      <c r="C14" s="41"/>
      <c r="D14" s="41"/>
      <c r="E14" s="72"/>
      <c r="F14" s="41"/>
      <c r="G14" s="43">
        <f t="shared" si="3"/>
        <v>0</v>
      </c>
      <c r="H14" s="44" t="str">
        <f t="shared" si="0"/>
        <v/>
      </c>
      <c r="I14" s="194">
        <f t="shared" si="1"/>
        <v>0</v>
      </c>
      <c r="J14" s="44" t="str">
        <f t="shared" si="2"/>
        <v/>
      </c>
      <c r="K14" s="41"/>
      <c r="L14" s="46"/>
    </row>
    <row r="15" spans="1:254" s="37" customFormat="1" x14ac:dyDescent="0.4">
      <c r="A15" s="39"/>
      <c r="B15" s="40"/>
      <c r="C15" s="41"/>
      <c r="D15" s="41"/>
      <c r="E15" s="72"/>
      <c r="F15" s="41"/>
      <c r="G15" s="43">
        <f t="shared" si="3"/>
        <v>0</v>
      </c>
      <c r="H15" s="44" t="str">
        <f t="shared" si="0"/>
        <v/>
      </c>
      <c r="I15" s="194">
        <f t="shared" si="1"/>
        <v>0</v>
      </c>
      <c r="J15" s="44" t="str">
        <f t="shared" si="2"/>
        <v/>
      </c>
      <c r="K15" s="41"/>
      <c r="L15" s="46"/>
    </row>
    <row r="16" spans="1:254" s="37" customFormat="1" x14ac:dyDescent="0.4">
      <c r="A16" s="39"/>
      <c r="B16" s="40"/>
      <c r="C16" s="41"/>
      <c r="D16" s="41"/>
      <c r="E16" s="72"/>
      <c r="F16" s="41"/>
      <c r="G16" s="43">
        <f t="shared" si="3"/>
        <v>0</v>
      </c>
      <c r="H16" s="44" t="str">
        <f t="shared" si="0"/>
        <v/>
      </c>
      <c r="I16" s="194">
        <f t="shared" si="1"/>
        <v>0</v>
      </c>
      <c r="J16" s="44" t="str">
        <f t="shared" si="2"/>
        <v/>
      </c>
      <c r="K16" s="41"/>
      <c r="L16" s="46"/>
    </row>
    <row r="17" spans="1:12" s="37" customFormat="1" x14ac:dyDescent="0.4">
      <c r="A17" s="39"/>
      <c r="B17" s="40"/>
      <c r="C17" s="41"/>
      <c r="D17" s="41"/>
      <c r="E17" s="72"/>
      <c r="F17" s="41"/>
      <c r="G17" s="43">
        <f t="shared" si="3"/>
        <v>0</v>
      </c>
      <c r="H17" s="44" t="str">
        <f t="shared" si="0"/>
        <v/>
      </c>
      <c r="I17" s="194">
        <f t="shared" si="1"/>
        <v>0</v>
      </c>
      <c r="J17" s="44" t="str">
        <f t="shared" si="2"/>
        <v/>
      </c>
      <c r="K17" s="41"/>
      <c r="L17" s="46"/>
    </row>
    <row r="18" spans="1:12" s="37" customFormat="1" x14ac:dyDescent="0.4">
      <c r="A18" s="39"/>
      <c r="B18" s="40"/>
      <c r="C18" s="41"/>
      <c r="D18" s="41"/>
      <c r="E18" s="72"/>
      <c r="F18" s="41"/>
      <c r="G18" s="43">
        <f t="shared" si="3"/>
        <v>0</v>
      </c>
      <c r="H18" s="44" t="str">
        <f t="shared" si="0"/>
        <v/>
      </c>
      <c r="I18" s="194">
        <f t="shared" si="1"/>
        <v>0</v>
      </c>
      <c r="J18" s="44" t="str">
        <f t="shared" si="2"/>
        <v/>
      </c>
      <c r="K18" s="41"/>
      <c r="L18" s="46"/>
    </row>
    <row r="19" spans="1:12" s="37" customFormat="1" x14ac:dyDescent="0.4">
      <c r="A19" s="39"/>
      <c r="B19" s="40"/>
      <c r="C19" s="41"/>
      <c r="D19" s="41"/>
      <c r="E19" s="72"/>
      <c r="F19" s="41"/>
      <c r="G19" s="43">
        <f t="shared" si="3"/>
        <v>0</v>
      </c>
      <c r="H19" s="44" t="str">
        <f t="shared" si="0"/>
        <v/>
      </c>
      <c r="I19" s="194">
        <f t="shared" si="1"/>
        <v>0</v>
      </c>
      <c r="J19" s="44" t="str">
        <f t="shared" si="2"/>
        <v/>
      </c>
      <c r="K19" s="41"/>
      <c r="L19" s="46"/>
    </row>
    <row r="20" spans="1:12" s="37" customFormat="1" x14ac:dyDescent="0.4">
      <c r="A20" s="39"/>
      <c r="B20" s="40"/>
      <c r="C20" s="41"/>
      <c r="D20" s="41"/>
      <c r="E20" s="72"/>
      <c r="F20" s="41"/>
      <c r="G20" s="43">
        <f t="shared" si="3"/>
        <v>0</v>
      </c>
      <c r="H20" s="44" t="str">
        <f t="shared" si="0"/>
        <v/>
      </c>
      <c r="I20" s="194">
        <f t="shared" si="1"/>
        <v>0</v>
      </c>
      <c r="J20" s="44" t="str">
        <f t="shared" si="2"/>
        <v/>
      </c>
      <c r="K20" s="41"/>
      <c r="L20" s="46"/>
    </row>
    <row r="21" spans="1:12" s="37" customFormat="1" x14ac:dyDescent="0.4">
      <c r="A21" s="39"/>
      <c r="B21" s="40"/>
      <c r="C21" s="41"/>
      <c r="D21" s="41"/>
      <c r="E21" s="72"/>
      <c r="F21" s="41"/>
      <c r="G21" s="43">
        <f t="shared" si="3"/>
        <v>0</v>
      </c>
      <c r="H21" s="44" t="str">
        <f t="shared" si="0"/>
        <v/>
      </c>
      <c r="I21" s="194">
        <f t="shared" si="1"/>
        <v>0</v>
      </c>
      <c r="J21" s="44" t="str">
        <f t="shared" si="2"/>
        <v/>
      </c>
      <c r="K21" s="41"/>
      <c r="L21" s="46"/>
    </row>
    <row r="22" spans="1:12" s="37" customFormat="1" x14ac:dyDescent="0.4">
      <c r="A22" s="39"/>
      <c r="B22" s="40"/>
      <c r="C22" s="41"/>
      <c r="D22" s="41"/>
      <c r="E22" s="72"/>
      <c r="F22" s="41"/>
      <c r="G22" s="43">
        <f t="shared" si="3"/>
        <v>0</v>
      </c>
      <c r="H22" s="44" t="str">
        <f t="shared" si="0"/>
        <v/>
      </c>
      <c r="I22" s="194">
        <f t="shared" si="1"/>
        <v>0</v>
      </c>
      <c r="J22" s="44" t="str">
        <f t="shared" si="2"/>
        <v/>
      </c>
      <c r="K22" s="41"/>
      <c r="L22" s="46"/>
    </row>
    <row r="23" spans="1:12" s="37" customFormat="1" x14ac:dyDescent="0.4">
      <c r="A23" s="39"/>
      <c r="B23" s="40"/>
      <c r="C23" s="41"/>
      <c r="D23" s="41"/>
      <c r="E23" s="72"/>
      <c r="F23" s="41"/>
      <c r="G23" s="43">
        <f t="shared" si="3"/>
        <v>0</v>
      </c>
      <c r="H23" s="44" t="str">
        <f t="shared" si="0"/>
        <v/>
      </c>
      <c r="I23" s="194">
        <f t="shared" si="1"/>
        <v>0</v>
      </c>
      <c r="J23" s="44" t="str">
        <f t="shared" si="2"/>
        <v/>
      </c>
      <c r="K23" s="41"/>
      <c r="L23" s="46"/>
    </row>
    <row r="24" spans="1:12" s="37" customFormat="1" x14ac:dyDescent="0.4">
      <c r="A24" s="39"/>
      <c r="B24" s="40"/>
      <c r="C24" s="41"/>
      <c r="D24" s="41"/>
      <c r="E24" s="72"/>
      <c r="F24" s="41"/>
      <c r="G24" s="43">
        <f t="shared" si="3"/>
        <v>0</v>
      </c>
      <c r="H24" s="44" t="str">
        <f t="shared" si="0"/>
        <v/>
      </c>
      <c r="I24" s="194">
        <f t="shared" si="1"/>
        <v>0</v>
      </c>
      <c r="J24" s="44" t="str">
        <f t="shared" si="2"/>
        <v/>
      </c>
      <c r="K24" s="41"/>
      <c r="L24" s="46"/>
    </row>
    <row r="25" spans="1:12" s="37" customFormat="1" x14ac:dyDescent="0.4">
      <c r="A25" s="39"/>
      <c r="B25" s="40"/>
      <c r="C25" s="41"/>
      <c r="D25" s="41"/>
      <c r="E25" s="72"/>
      <c r="F25" s="41"/>
      <c r="G25" s="43">
        <f t="shared" si="3"/>
        <v>0</v>
      </c>
      <c r="H25" s="44" t="str">
        <f t="shared" si="0"/>
        <v/>
      </c>
      <c r="I25" s="194">
        <f t="shared" si="1"/>
        <v>0</v>
      </c>
      <c r="J25" s="44" t="str">
        <f t="shared" si="2"/>
        <v/>
      </c>
      <c r="K25" s="41"/>
      <c r="L25" s="46"/>
    </row>
    <row r="26" spans="1:12" s="37" customFormat="1" x14ac:dyDescent="0.4">
      <c r="A26" s="39"/>
      <c r="B26" s="40"/>
      <c r="C26" s="41"/>
      <c r="D26" s="41"/>
      <c r="E26" s="72"/>
      <c r="F26" s="41"/>
      <c r="G26" s="43">
        <f t="shared" si="3"/>
        <v>0</v>
      </c>
      <c r="H26" s="44" t="str">
        <f t="shared" si="0"/>
        <v/>
      </c>
      <c r="I26" s="194">
        <f t="shared" si="1"/>
        <v>0</v>
      </c>
      <c r="J26" s="44" t="str">
        <f t="shared" si="2"/>
        <v/>
      </c>
      <c r="K26" s="41"/>
      <c r="L26" s="46"/>
    </row>
    <row r="27" spans="1:12" s="37" customFormat="1" x14ac:dyDescent="0.4">
      <c r="A27" s="39"/>
      <c r="B27" s="40"/>
      <c r="C27" s="41"/>
      <c r="D27" s="41"/>
      <c r="E27" s="72"/>
      <c r="F27" s="41"/>
      <c r="G27" s="43">
        <f t="shared" si="3"/>
        <v>0</v>
      </c>
      <c r="H27" s="44" t="str">
        <f t="shared" si="0"/>
        <v/>
      </c>
      <c r="I27" s="194">
        <f t="shared" si="1"/>
        <v>0</v>
      </c>
      <c r="J27" s="44" t="str">
        <f t="shared" si="2"/>
        <v/>
      </c>
      <c r="K27" s="41"/>
      <c r="L27" s="46"/>
    </row>
    <row r="28" spans="1:12" s="37" customFormat="1" x14ac:dyDescent="0.4">
      <c r="A28" s="39"/>
      <c r="B28" s="40"/>
      <c r="C28" s="41"/>
      <c r="D28" s="41"/>
      <c r="E28" s="72"/>
      <c r="F28" s="41"/>
      <c r="G28" s="43">
        <f t="shared" si="3"/>
        <v>0</v>
      </c>
      <c r="H28" s="44" t="str">
        <f t="shared" si="0"/>
        <v/>
      </c>
      <c r="I28" s="194">
        <f t="shared" si="1"/>
        <v>0</v>
      </c>
      <c r="J28" s="44" t="str">
        <f t="shared" si="2"/>
        <v/>
      </c>
      <c r="K28" s="41"/>
      <c r="L28" s="46"/>
    </row>
    <row r="29" spans="1:12" s="37" customFormat="1" x14ac:dyDescent="0.4">
      <c r="A29" s="39"/>
      <c r="B29" s="40"/>
      <c r="C29" s="41"/>
      <c r="D29" s="41"/>
      <c r="E29" s="72"/>
      <c r="F29" s="41"/>
      <c r="G29" s="43">
        <f t="shared" si="3"/>
        <v>0</v>
      </c>
      <c r="H29" s="44" t="str">
        <f t="shared" si="0"/>
        <v/>
      </c>
      <c r="I29" s="194">
        <f t="shared" si="1"/>
        <v>0</v>
      </c>
      <c r="J29" s="44" t="str">
        <f t="shared" si="2"/>
        <v/>
      </c>
      <c r="K29" s="41"/>
      <c r="L29" s="46"/>
    </row>
    <row r="30" spans="1:12" s="37" customFormat="1" x14ac:dyDescent="0.4">
      <c r="A30" s="39"/>
      <c r="B30" s="40"/>
      <c r="C30" s="41"/>
      <c r="D30" s="41"/>
      <c r="E30" s="72"/>
      <c r="F30" s="41"/>
      <c r="G30" s="43">
        <f t="shared" si="3"/>
        <v>0</v>
      </c>
      <c r="H30" s="44" t="str">
        <f t="shared" si="0"/>
        <v/>
      </c>
      <c r="I30" s="194">
        <f t="shared" si="1"/>
        <v>0</v>
      </c>
      <c r="J30" s="44" t="str">
        <f t="shared" si="2"/>
        <v/>
      </c>
      <c r="K30" s="41"/>
      <c r="L30" s="46"/>
    </row>
    <row r="31" spans="1:12" s="37" customFormat="1" x14ac:dyDescent="0.4">
      <c r="A31" s="39"/>
      <c r="B31" s="40"/>
      <c r="C31" s="41"/>
      <c r="D31" s="41"/>
      <c r="E31" s="72"/>
      <c r="F31" s="41"/>
      <c r="G31" s="43">
        <f t="shared" si="3"/>
        <v>0</v>
      </c>
      <c r="H31" s="44" t="str">
        <f t="shared" si="0"/>
        <v/>
      </c>
      <c r="I31" s="194">
        <f t="shared" si="1"/>
        <v>0</v>
      </c>
      <c r="J31" s="44" t="str">
        <f t="shared" si="2"/>
        <v/>
      </c>
      <c r="K31" s="41"/>
      <c r="L31" s="46"/>
    </row>
    <row r="32" spans="1:12" s="37" customFormat="1" x14ac:dyDescent="0.4">
      <c r="A32" s="39"/>
      <c r="B32" s="40"/>
      <c r="C32" s="41"/>
      <c r="D32" s="41"/>
      <c r="E32" s="72"/>
      <c r="F32" s="41"/>
      <c r="G32" s="43">
        <f t="shared" si="3"/>
        <v>0</v>
      </c>
      <c r="H32" s="44" t="str">
        <f t="shared" si="0"/>
        <v/>
      </c>
      <c r="I32" s="194">
        <f t="shared" si="1"/>
        <v>0</v>
      </c>
      <c r="J32" s="44" t="str">
        <f t="shared" si="2"/>
        <v/>
      </c>
      <c r="K32" s="41"/>
      <c r="L32" s="46"/>
    </row>
    <row r="33" spans="1:254" s="37" customFormat="1" x14ac:dyDescent="0.4">
      <c r="A33" s="39"/>
      <c r="B33" s="40"/>
      <c r="C33" s="41"/>
      <c r="D33" s="41"/>
      <c r="E33" s="72"/>
      <c r="F33" s="41"/>
      <c r="G33" s="43">
        <f t="shared" si="3"/>
        <v>0</v>
      </c>
      <c r="H33" s="44" t="str">
        <f t="shared" si="0"/>
        <v/>
      </c>
      <c r="I33" s="194">
        <f t="shared" si="1"/>
        <v>0</v>
      </c>
      <c r="J33" s="44" t="str">
        <f t="shared" si="2"/>
        <v/>
      </c>
      <c r="K33" s="41"/>
      <c r="L33" s="46"/>
    </row>
    <row r="34" spans="1:254" s="37" customFormat="1" x14ac:dyDescent="0.4">
      <c r="A34" s="39"/>
      <c r="B34" s="40"/>
      <c r="C34" s="41"/>
      <c r="D34" s="41"/>
      <c r="E34" s="72"/>
      <c r="F34" s="41"/>
      <c r="G34" s="43">
        <f t="shared" si="3"/>
        <v>0</v>
      </c>
      <c r="H34" s="44" t="str">
        <f t="shared" si="0"/>
        <v/>
      </c>
      <c r="I34" s="194">
        <f t="shared" si="1"/>
        <v>0</v>
      </c>
      <c r="J34" s="44" t="str">
        <f t="shared" si="2"/>
        <v/>
      </c>
      <c r="K34" s="41"/>
      <c r="L34" s="46"/>
    </row>
    <row r="35" spans="1:254" s="37" customFormat="1" x14ac:dyDescent="0.4">
      <c r="A35" s="39"/>
      <c r="B35" s="40"/>
      <c r="C35" s="41"/>
      <c r="D35" s="41"/>
      <c r="E35" s="72"/>
      <c r="F35" s="41"/>
      <c r="G35" s="43">
        <f t="shared" si="3"/>
        <v>0</v>
      </c>
      <c r="H35" s="44" t="str">
        <f t="shared" si="0"/>
        <v/>
      </c>
      <c r="I35" s="194">
        <f t="shared" si="1"/>
        <v>0</v>
      </c>
      <c r="J35" s="44" t="str">
        <f t="shared" si="2"/>
        <v/>
      </c>
      <c r="K35" s="41"/>
      <c r="L35" s="46"/>
    </row>
    <row r="36" spans="1:254" ht="12" thickBot="1" x14ac:dyDescent="0.5">
      <c r="A36" s="47" t="s">
        <v>4</v>
      </c>
      <c r="B36" s="48"/>
      <c r="C36" s="49"/>
      <c r="D36" s="49"/>
      <c r="E36" s="49"/>
      <c r="F36" s="49"/>
      <c r="G36" s="49">
        <f>SUM(G6:G35)</f>
        <v>0</v>
      </c>
      <c r="H36" s="50"/>
      <c r="I36" s="195">
        <f>SUM(I6:I35)</f>
        <v>0</v>
      </c>
      <c r="J36" s="50"/>
      <c r="K36" s="49"/>
      <c r="L36" s="52"/>
    </row>
    <row r="37" spans="1:254" ht="12" thickBot="1" x14ac:dyDescent="0.5">
      <c r="K37" s="64"/>
      <c r="L37" s="64"/>
    </row>
    <row r="38" spans="1:254" s="190" customFormat="1" ht="31.2" thickTop="1" thickBot="1" x14ac:dyDescent="1.1499999999999999">
      <c r="A38" s="189" t="s">
        <v>107</v>
      </c>
    </row>
    <row r="39" spans="1:254" s="30" customFormat="1" ht="58.5" x14ac:dyDescent="0.45">
      <c r="A39" s="237" t="s">
        <v>17</v>
      </c>
      <c r="B39" s="239" t="str">
        <f>B4</f>
        <v>ICT Equipment Ref</v>
      </c>
      <c r="C39" s="239" t="s">
        <v>28</v>
      </c>
      <c r="D39" s="239" t="s">
        <v>6</v>
      </c>
      <c r="E39" s="26" t="str">
        <f>E4</f>
        <v>ICT Equipment Power Rating (each)</v>
      </c>
      <c r="F39" s="26" t="s">
        <v>20</v>
      </c>
      <c r="G39" s="27" t="s">
        <v>30</v>
      </c>
      <c r="H39" s="27"/>
      <c r="I39" s="27" t="s">
        <v>31</v>
      </c>
      <c r="J39" s="27"/>
      <c r="K39" s="231" t="s">
        <v>67</v>
      </c>
      <c r="L39" s="233" t="s">
        <v>66</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s="30" customFormat="1" ht="14.25" customHeight="1" x14ac:dyDescent="0.45">
      <c r="A40" s="238"/>
      <c r="B40" s="240"/>
      <c r="C40" s="240"/>
      <c r="D40" s="240"/>
      <c r="E40" s="31" t="s">
        <v>3</v>
      </c>
      <c r="F40" s="31" t="s">
        <v>23</v>
      </c>
      <c r="G40" s="31" t="s">
        <v>0</v>
      </c>
      <c r="H40" s="31" t="s">
        <v>2</v>
      </c>
      <c r="I40" s="31" t="s">
        <v>1</v>
      </c>
      <c r="J40" s="31" t="s">
        <v>2</v>
      </c>
      <c r="K40" s="232"/>
      <c r="L40" s="234"/>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s="38" customFormat="1" x14ac:dyDescent="0.4">
      <c r="A41" s="53" t="s">
        <v>117</v>
      </c>
      <c r="B41" s="54" t="s">
        <v>37</v>
      </c>
      <c r="C41" s="55" t="s">
        <v>118</v>
      </c>
      <c r="D41" s="55">
        <v>10</v>
      </c>
      <c r="E41" s="77">
        <v>0.12</v>
      </c>
      <c r="F41" s="55">
        <f>5*9*52</f>
        <v>2340</v>
      </c>
      <c r="G41" s="33">
        <f>D41*E41*F41</f>
        <v>2808</v>
      </c>
      <c r="H41" s="34" t="s">
        <v>5</v>
      </c>
      <c r="I41" s="35">
        <f>G41*0.14</f>
        <v>393.12000000000006</v>
      </c>
      <c r="J41" s="34" t="s">
        <v>5</v>
      </c>
      <c r="K41" s="55" t="s">
        <v>120</v>
      </c>
      <c r="L41" s="57" t="s">
        <v>119</v>
      </c>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row>
    <row r="42" spans="1:254" s="150" customFormat="1" ht="12" thickBot="1" x14ac:dyDescent="0.5">
      <c r="A42" s="151" t="s">
        <v>4</v>
      </c>
      <c r="B42" s="152"/>
      <c r="C42" s="144"/>
      <c r="D42" s="144"/>
      <c r="E42" s="144"/>
      <c r="F42" s="144"/>
      <c r="G42" s="144">
        <f>G41</f>
        <v>2808</v>
      </c>
      <c r="H42" s="145"/>
      <c r="I42" s="147">
        <f>I41</f>
        <v>393.12000000000006</v>
      </c>
      <c r="J42" s="145"/>
      <c r="K42" s="144"/>
      <c r="L42" s="149"/>
    </row>
    <row r="47" spans="1:254" s="64" customFormat="1" x14ac:dyDescent="0.45">
      <c r="K47" s="29"/>
      <c r="L47" s="29"/>
    </row>
    <row r="48" spans="1:254" s="64" customFormat="1" x14ac:dyDescent="0.45">
      <c r="K48" s="29"/>
      <c r="L48" s="29"/>
    </row>
  </sheetData>
  <mergeCells count="13">
    <mergeCell ref="K4:K5"/>
    <mergeCell ref="L4:L5"/>
    <mergeCell ref="A39:A40"/>
    <mergeCell ref="B39:B40"/>
    <mergeCell ref="C39:C40"/>
    <mergeCell ref="D39:D40"/>
    <mergeCell ref="K39:K40"/>
    <mergeCell ref="L39:L40"/>
    <mergeCell ref="C1:E1"/>
    <mergeCell ref="A4:A5"/>
    <mergeCell ref="B4:B5"/>
    <mergeCell ref="C4:C5"/>
    <mergeCell ref="D4:D5"/>
  </mergeCell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autoPageBreaks="0"/>
  </sheetPr>
  <dimension ref="A1:IV66"/>
  <sheetViews>
    <sheetView showGridLines="0" zoomScaleNormal="100" workbookViewId="0">
      <pane ySplit="5" topLeftCell="A15" activePane="bottomLeft" state="frozen"/>
      <selection activeCell="A2" sqref="A2"/>
      <selection pane="bottomLeft" activeCell="K9" sqref="K9"/>
    </sheetView>
  </sheetViews>
  <sheetFormatPr defaultColWidth="9.1640625" defaultRowHeight="11.7" x14ac:dyDescent="0.45"/>
  <cols>
    <col min="1" max="1" width="23.1640625" style="29" customWidth="1"/>
    <col min="2" max="2" width="9.5546875" style="29" customWidth="1"/>
    <col min="3" max="3" width="28.71875" style="29" customWidth="1"/>
    <col min="4" max="4" width="12.5546875" style="29" customWidth="1"/>
    <col min="5" max="5" width="9.83203125" style="29" customWidth="1"/>
    <col min="6" max="6" width="9.44140625" style="29" customWidth="1"/>
    <col min="7" max="7" width="10.44140625" style="29" customWidth="1"/>
    <col min="8" max="8" width="6.44140625" style="29" customWidth="1"/>
    <col min="9" max="9" width="10.44140625" style="29" customWidth="1"/>
    <col min="10" max="10" width="6.44140625" style="29" customWidth="1"/>
    <col min="11" max="11" width="23.44140625" style="29" customWidth="1"/>
    <col min="12" max="12" width="22" style="29" customWidth="1"/>
    <col min="13" max="13" width="14.27734375" style="29" customWidth="1"/>
    <col min="14" max="16384" width="9.1640625" style="29"/>
  </cols>
  <sheetData>
    <row r="1" spans="1:256" s="60" customFormat="1" ht="51.75" customHeight="1" x14ac:dyDescent="0.7">
      <c r="C1" s="235" t="s">
        <v>42</v>
      </c>
      <c r="D1" s="236"/>
      <c r="E1" s="236"/>
      <c r="F1" s="182"/>
      <c r="G1" s="183"/>
      <c r="H1" s="183"/>
      <c r="I1" s="183"/>
      <c r="J1" s="183"/>
      <c r="K1" s="61"/>
      <c r="L1" s="61"/>
      <c r="AH1" s="62"/>
      <c r="AI1" s="62"/>
      <c r="AJ1" s="62"/>
      <c r="AK1" s="62"/>
      <c r="AL1" s="62"/>
      <c r="AM1" s="62"/>
      <c r="AN1" s="62"/>
      <c r="AO1" s="62"/>
      <c r="AP1" s="62"/>
      <c r="AQ1" s="62"/>
      <c r="AR1" s="62"/>
      <c r="AS1" s="62"/>
    </row>
    <row r="2" spans="1:256" ht="15" customHeight="1" x14ac:dyDescent="0.45">
      <c r="A2" s="188" t="s">
        <v>110</v>
      </c>
      <c r="F2" s="183"/>
      <c r="G2" s="183"/>
      <c r="H2" s="183"/>
      <c r="I2" s="183"/>
      <c r="J2" s="183"/>
      <c r="K2" s="63"/>
      <c r="L2" s="63"/>
    </row>
    <row r="3" spans="1:256" ht="3" customHeight="1" thickBot="1" x14ac:dyDescent="0.5"/>
    <row r="4" spans="1:256" s="30" customFormat="1" ht="58.5" x14ac:dyDescent="0.45">
      <c r="A4" s="237" t="s">
        <v>17</v>
      </c>
      <c r="B4" s="239" t="s">
        <v>27</v>
      </c>
      <c r="C4" s="239" t="s">
        <v>28</v>
      </c>
      <c r="D4" s="26" t="s">
        <v>48</v>
      </c>
      <c r="E4" s="26" t="s">
        <v>26</v>
      </c>
      <c r="F4" s="26" t="s">
        <v>20</v>
      </c>
      <c r="G4" s="27" t="s">
        <v>30</v>
      </c>
      <c r="H4" s="27"/>
      <c r="I4" s="27" t="s">
        <v>31</v>
      </c>
      <c r="J4" s="27"/>
      <c r="K4" s="231" t="s">
        <v>67</v>
      </c>
      <c r="L4" s="233" t="s">
        <v>66</v>
      </c>
      <c r="M4" s="29" t="s">
        <v>211</v>
      </c>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30" customFormat="1" ht="14.25" customHeight="1" x14ac:dyDescent="0.45">
      <c r="A5" s="238"/>
      <c r="B5" s="240"/>
      <c r="C5" s="240"/>
      <c r="D5" s="31" t="s">
        <v>3</v>
      </c>
      <c r="E5" s="31" t="s">
        <v>2</v>
      </c>
      <c r="F5" s="31" t="s">
        <v>23</v>
      </c>
      <c r="G5" s="31" t="s">
        <v>0</v>
      </c>
      <c r="H5" s="31" t="s">
        <v>2</v>
      </c>
      <c r="I5" s="31" t="s">
        <v>186</v>
      </c>
      <c r="J5" s="31" t="s">
        <v>2</v>
      </c>
      <c r="K5" s="232"/>
      <c r="L5" s="234"/>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7" customFormat="1" ht="46.8" x14ac:dyDescent="0.4">
      <c r="A6" s="39" t="s">
        <v>183</v>
      </c>
      <c r="B6" s="40"/>
      <c r="C6" s="41" t="s">
        <v>254</v>
      </c>
      <c r="D6" s="200"/>
      <c r="E6" s="42">
        <v>1</v>
      </c>
      <c r="F6" s="41">
        <f>8*6*50</f>
        <v>2400</v>
      </c>
      <c r="G6" s="43">
        <f>Q6</f>
        <v>39717.000000000007</v>
      </c>
      <c r="H6" s="44">
        <f>IF(ISERROR(G6/G$37),"",G6/G$37)</f>
        <v>0.62688666178946106</v>
      </c>
      <c r="I6" s="194">
        <f t="shared" ref="I6:I36" si="0">G6*ElecPrice</f>
        <v>4828.3956900000012</v>
      </c>
      <c r="J6" s="44">
        <f>IF(ISERROR(I6/I$37),"",I6/I$37)</f>
        <v>0.62688666178946106</v>
      </c>
      <c r="K6" s="41" t="s">
        <v>203</v>
      </c>
      <c r="L6" s="46" t="s">
        <v>204</v>
      </c>
      <c r="N6" s="37">
        <f>N7*1.5</f>
        <v>22.065000000000001</v>
      </c>
      <c r="O6" s="37">
        <f>N6*(12*1.5)</f>
        <v>397.17</v>
      </c>
      <c r="P6" s="37">
        <f>O6/24</f>
        <v>16.548750000000002</v>
      </c>
      <c r="Q6" s="37">
        <f>P6*F6</f>
        <v>39717.000000000007</v>
      </c>
    </row>
    <row r="7" spans="1:256" s="37" customFormat="1" ht="46.8" x14ac:dyDescent="0.4">
      <c r="A7" s="39" t="s">
        <v>199</v>
      </c>
      <c r="B7" s="40"/>
      <c r="C7" s="41" t="s">
        <v>200</v>
      </c>
      <c r="D7" s="200"/>
      <c r="E7" s="42">
        <v>1</v>
      </c>
      <c r="F7" s="41">
        <v>200</v>
      </c>
      <c r="G7" s="43">
        <f>G6/5*(F7/F6)</f>
        <v>661.95</v>
      </c>
      <c r="H7" s="44">
        <f>IF(ISERROR(G7/G$37),"",G7/G$37)</f>
        <v>1.0448111029824349E-2</v>
      </c>
      <c r="I7" s="194">
        <f t="shared" si="0"/>
        <v>80.473261500000007</v>
      </c>
      <c r="J7" s="44">
        <f>IF(ISERROR(I7/I$37),"",I7/I$37)</f>
        <v>1.0448111029824349E-2</v>
      </c>
      <c r="K7" s="41" t="s">
        <v>203</v>
      </c>
      <c r="L7" s="46" t="s">
        <v>227</v>
      </c>
      <c r="N7" s="37">
        <v>14.71</v>
      </c>
    </row>
    <row r="8" spans="1:256" s="37" customFormat="1" ht="35.1" x14ac:dyDescent="0.4">
      <c r="A8" s="39" t="s">
        <v>183</v>
      </c>
      <c r="B8" s="40"/>
      <c r="C8" s="41" t="s">
        <v>198</v>
      </c>
      <c r="D8" s="200">
        <f>(7.2/24)*2</f>
        <v>0.6</v>
      </c>
      <c r="E8" s="42">
        <v>0.65</v>
      </c>
      <c r="F8" s="41">
        <f>2*1*50</f>
        <v>100</v>
      </c>
      <c r="G8" s="43">
        <f t="shared" ref="G8:G36" si="1">D8*E8*F8</f>
        <v>39</v>
      </c>
      <c r="H8" s="44">
        <f t="shared" ref="H8:H36" si="2">IF(ISERROR(G8/G$37),"",G8/G$37)</f>
        <v>6.1556965052216874E-4</v>
      </c>
      <c r="I8" s="194">
        <f t="shared" si="0"/>
        <v>4.7412299999999998</v>
      </c>
      <c r="J8" s="214">
        <f t="shared" ref="J8:J36" si="3">IF(ISERROR(I8/I$37),"",I8/I$37)</f>
        <v>6.1556965052216874E-4</v>
      </c>
      <c r="K8" s="41" t="s">
        <v>202</v>
      </c>
      <c r="L8" s="46"/>
    </row>
    <row r="9" spans="1:256" s="37" customFormat="1" ht="81.900000000000006" x14ac:dyDescent="0.4">
      <c r="A9" s="39" t="s">
        <v>201</v>
      </c>
      <c r="B9" s="40"/>
      <c r="C9" s="41" t="s">
        <v>270</v>
      </c>
      <c r="D9" s="200"/>
      <c r="E9" s="42">
        <v>1</v>
      </c>
      <c r="F9" s="41">
        <f>24*7*52</f>
        <v>8736</v>
      </c>
      <c r="G9" s="43">
        <f>8627*1.5</f>
        <v>12940.5</v>
      </c>
      <c r="H9" s="44">
        <f t="shared" si="2"/>
        <v>0.20425074519441344</v>
      </c>
      <c r="I9" s="194">
        <f t="shared" si="0"/>
        <v>1573.1765849999999</v>
      </c>
      <c r="J9" s="44">
        <f t="shared" si="3"/>
        <v>0.20425074519441344</v>
      </c>
      <c r="K9" s="41" t="s">
        <v>206</v>
      </c>
      <c r="L9" s="46" t="s">
        <v>205</v>
      </c>
    </row>
    <row r="10" spans="1:256" s="37" customFormat="1" ht="58.5" x14ac:dyDescent="0.4">
      <c r="A10" s="39" t="s">
        <v>201</v>
      </c>
      <c r="B10" s="40"/>
      <c r="C10" s="41" t="s">
        <v>229</v>
      </c>
      <c r="D10" s="200"/>
      <c r="E10" s="42">
        <v>1</v>
      </c>
      <c r="F10" s="41">
        <f>24*7*52</f>
        <v>8736</v>
      </c>
      <c r="G10" s="43">
        <f>6665*1.5</f>
        <v>9997.5</v>
      </c>
      <c r="H10" s="44">
        <f t="shared" si="2"/>
        <v>0.15779891233577903</v>
      </c>
      <c r="I10" s="194">
        <f t="shared" si="0"/>
        <v>1215.3960749999999</v>
      </c>
      <c r="J10" s="44">
        <f t="shared" si="3"/>
        <v>0.157798912335779</v>
      </c>
      <c r="K10" s="41" t="s">
        <v>207</v>
      </c>
      <c r="L10" s="46" t="s">
        <v>205</v>
      </c>
    </row>
    <row r="11" spans="1:256" s="37" customFormat="1" x14ac:dyDescent="0.4">
      <c r="A11" s="39"/>
      <c r="B11" s="40"/>
      <c r="C11" s="41"/>
      <c r="D11" s="72"/>
      <c r="E11" s="42"/>
      <c r="F11" s="41"/>
      <c r="G11" s="43">
        <f t="shared" si="1"/>
        <v>0</v>
      </c>
      <c r="H11" s="44">
        <f t="shared" si="2"/>
        <v>0</v>
      </c>
      <c r="I11" s="194">
        <f t="shared" si="0"/>
        <v>0</v>
      </c>
      <c r="J11" s="44">
        <f t="shared" si="3"/>
        <v>0</v>
      </c>
      <c r="K11" s="41"/>
      <c r="L11" s="46"/>
    </row>
    <row r="12" spans="1:256" s="37" customFormat="1" x14ac:dyDescent="0.4">
      <c r="A12" s="39"/>
      <c r="B12" s="40"/>
      <c r="C12" s="41"/>
      <c r="D12" s="72"/>
      <c r="E12" s="42"/>
      <c r="F12" s="41"/>
      <c r="G12" s="43">
        <f t="shared" si="1"/>
        <v>0</v>
      </c>
      <c r="H12" s="44">
        <f t="shared" si="2"/>
        <v>0</v>
      </c>
      <c r="I12" s="194">
        <f t="shared" si="0"/>
        <v>0</v>
      </c>
      <c r="J12" s="44">
        <f t="shared" si="3"/>
        <v>0</v>
      </c>
      <c r="K12" s="41"/>
      <c r="L12" s="46"/>
    </row>
    <row r="13" spans="1:256" s="37" customFormat="1" x14ac:dyDescent="0.4">
      <c r="A13" s="39"/>
      <c r="B13" s="40"/>
      <c r="C13" s="41"/>
      <c r="D13" s="72"/>
      <c r="E13" s="42"/>
      <c r="F13" s="41"/>
      <c r="G13" s="43">
        <f t="shared" si="1"/>
        <v>0</v>
      </c>
      <c r="H13" s="44">
        <f t="shared" si="2"/>
        <v>0</v>
      </c>
      <c r="I13" s="194">
        <f t="shared" si="0"/>
        <v>0</v>
      </c>
      <c r="J13" s="44">
        <f t="shared" si="3"/>
        <v>0</v>
      </c>
      <c r="K13" s="41"/>
      <c r="L13" s="46"/>
    </row>
    <row r="14" spans="1:256" s="37" customFormat="1" x14ac:dyDescent="0.4">
      <c r="A14" s="39"/>
      <c r="B14" s="40"/>
      <c r="C14" s="41"/>
      <c r="D14" s="72"/>
      <c r="E14" s="42"/>
      <c r="F14" s="41"/>
      <c r="G14" s="43">
        <f t="shared" si="1"/>
        <v>0</v>
      </c>
      <c r="H14" s="44">
        <f t="shared" si="2"/>
        <v>0</v>
      </c>
      <c r="I14" s="194">
        <f t="shared" si="0"/>
        <v>0</v>
      </c>
      <c r="J14" s="44">
        <f t="shared" si="3"/>
        <v>0</v>
      </c>
      <c r="K14" s="41"/>
      <c r="L14" s="46"/>
    </row>
    <row r="15" spans="1:256" s="37" customFormat="1" x14ac:dyDescent="0.4">
      <c r="A15" s="39"/>
      <c r="B15" s="40"/>
      <c r="C15" s="41"/>
      <c r="D15" s="72"/>
      <c r="E15" s="42"/>
      <c r="F15" s="41"/>
      <c r="G15" s="43">
        <f t="shared" si="1"/>
        <v>0</v>
      </c>
      <c r="H15" s="44">
        <f t="shared" si="2"/>
        <v>0</v>
      </c>
      <c r="I15" s="194">
        <f t="shared" si="0"/>
        <v>0</v>
      </c>
      <c r="J15" s="44">
        <f t="shared" si="3"/>
        <v>0</v>
      </c>
      <c r="K15" s="41"/>
      <c r="L15" s="46"/>
    </row>
    <row r="16" spans="1:256" s="37" customFormat="1" x14ac:dyDescent="0.4">
      <c r="A16" s="39"/>
      <c r="B16" s="40"/>
      <c r="C16" s="41"/>
      <c r="D16" s="72"/>
      <c r="E16" s="42"/>
      <c r="F16" s="41"/>
      <c r="G16" s="43">
        <f t="shared" si="1"/>
        <v>0</v>
      </c>
      <c r="H16" s="44">
        <f t="shared" si="2"/>
        <v>0</v>
      </c>
      <c r="I16" s="194">
        <f t="shared" si="0"/>
        <v>0</v>
      </c>
      <c r="J16" s="44">
        <f t="shared" si="3"/>
        <v>0</v>
      </c>
      <c r="K16" s="41"/>
      <c r="L16" s="46"/>
    </row>
    <row r="17" spans="1:12" s="37" customFormat="1" x14ac:dyDescent="0.4">
      <c r="A17" s="39"/>
      <c r="B17" s="40"/>
      <c r="C17" s="41"/>
      <c r="D17" s="72"/>
      <c r="E17" s="42"/>
      <c r="F17" s="41"/>
      <c r="G17" s="43">
        <f t="shared" si="1"/>
        <v>0</v>
      </c>
      <c r="H17" s="44">
        <f t="shared" si="2"/>
        <v>0</v>
      </c>
      <c r="I17" s="194">
        <f t="shared" si="0"/>
        <v>0</v>
      </c>
      <c r="J17" s="44">
        <f t="shared" si="3"/>
        <v>0</v>
      </c>
      <c r="K17" s="41"/>
      <c r="L17" s="46"/>
    </row>
    <row r="18" spans="1:12" s="37" customFormat="1" x14ac:dyDescent="0.4">
      <c r="A18" s="39"/>
      <c r="B18" s="40"/>
      <c r="C18" s="41"/>
      <c r="D18" s="72"/>
      <c r="E18" s="42"/>
      <c r="F18" s="41"/>
      <c r="G18" s="43">
        <f t="shared" si="1"/>
        <v>0</v>
      </c>
      <c r="H18" s="44">
        <f t="shared" si="2"/>
        <v>0</v>
      </c>
      <c r="I18" s="194">
        <f t="shared" si="0"/>
        <v>0</v>
      </c>
      <c r="J18" s="44">
        <f t="shared" si="3"/>
        <v>0</v>
      </c>
      <c r="K18" s="41"/>
      <c r="L18" s="46"/>
    </row>
    <row r="19" spans="1:12" s="37" customFormat="1" x14ac:dyDescent="0.4">
      <c r="A19" s="39"/>
      <c r="B19" s="40"/>
      <c r="C19" s="41"/>
      <c r="D19" s="72"/>
      <c r="E19" s="42"/>
      <c r="F19" s="41"/>
      <c r="G19" s="43">
        <f t="shared" si="1"/>
        <v>0</v>
      </c>
      <c r="H19" s="44">
        <f t="shared" si="2"/>
        <v>0</v>
      </c>
      <c r="I19" s="194">
        <f t="shared" si="0"/>
        <v>0</v>
      </c>
      <c r="J19" s="44">
        <f t="shared" si="3"/>
        <v>0</v>
      </c>
      <c r="K19" s="41"/>
      <c r="L19" s="46"/>
    </row>
    <row r="20" spans="1:12" s="37" customFormat="1" x14ac:dyDescent="0.4">
      <c r="A20" s="39"/>
      <c r="B20" s="40"/>
      <c r="C20" s="41"/>
      <c r="D20" s="72"/>
      <c r="E20" s="42"/>
      <c r="F20" s="41"/>
      <c r="G20" s="43">
        <f t="shared" si="1"/>
        <v>0</v>
      </c>
      <c r="H20" s="44">
        <f t="shared" si="2"/>
        <v>0</v>
      </c>
      <c r="I20" s="194">
        <f t="shared" si="0"/>
        <v>0</v>
      </c>
      <c r="J20" s="44">
        <f t="shared" si="3"/>
        <v>0</v>
      </c>
      <c r="K20" s="41"/>
      <c r="L20" s="46"/>
    </row>
    <row r="21" spans="1:12" s="37" customFormat="1" x14ac:dyDescent="0.4">
      <c r="A21" s="39"/>
      <c r="B21" s="40"/>
      <c r="C21" s="41"/>
      <c r="D21" s="72"/>
      <c r="E21" s="42"/>
      <c r="F21" s="41"/>
      <c r="G21" s="43">
        <f t="shared" si="1"/>
        <v>0</v>
      </c>
      <c r="H21" s="44">
        <f t="shared" si="2"/>
        <v>0</v>
      </c>
      <c r="I21" s="194">
        <f t="shared" si="0"/>
        <v>0</v>
      </c>
      <c r="J21" s="44">
        <f t="shared" si="3"/>
        <v>0</v>
      </c>
      <c r="K21" s="41"/>
      <c r="L21" s="46"/>
    </row>
    <row r="22" spans="1:12" s="37" customFormat="1" x14ac:dyDescent="0.4">
      <c r="A22" s="39"/>
      <c r="B22" s="40"/>
      <c r="C22" s="41"/>
      <c r="D22" s="72"/>
      <c r="E22" s="42"/>
      <c r="F22" s="41"/>
      <c r="G22" s="43">
        <f t="shared" si="1"/>
        <v>0</v>
      </c>
      <c r="H22" s="44">
        <f t="shared" si="2"/>
        <v>0</v>
      </c>
      <c r="I22" s="194">
        <f t="shared" si="0"/>
        <v>0</v>
      </c>
      <c r="J22" s="44">
        <f t="shared" si="3"/>
        <v>0</v>
      </c>
      <c r="K22" s="41"/>
      <c r="L22" s="46"/>
    </row>
    <row r="23" spans="1:12" s="37" customFormat="1" x14ac:dyDescent="0.4">
      <c r="A23" s="39"/>
      <c r="B23" s="40"/>
      <c r="C23" s="41"/>
      <c r="D23" s="72"/>
      <c r="E23" s="42"/>
      <c r="F23" s="41"/>
      <c r="G23" s="43">
        <f t="shared" si="1"/>
        <v>0</v>
      </c>
      <c r="H23" s="44">
        <f t="shared" si="2"/>
        <v>0</v>
      </c>
      <c r="I23" s="194">
        <f t="shared" si="0"/>
        <v>0</v>
      </c>
      <c r="J23" s="44">
        <f t="shared" si="3"/>
        <v>0</v>
      </c>
      <c r="K23" s="41"/>
      <c r="L23" s="46"/>
    </row>
    <row r="24" spans="1:12" s="37" customFormat="1" x14ac:dyDescent="0.4">
      <c r="A24" s="39"/>
      <c r="B24" s="40"/>
      <c r="C24" s="41"/>
      <c r="D24" s="41"/>
      <c r="E24" s="42"/>
      <c r="F24" s="41"/>
      <c r="G24" s="43">
        <f t="shared" si="1"/>
        <v>0</v>
      </c>
      <c r="H24" s="44">
        <f t="shared" si="2"/>
        <v>0</v>
      </c>
      <c r="I24" s="194">
        <f t="shared" si="0"/>
        <v>0</v>
      </c>
      <c r="J24" s="44">
        <f t="shared" si="3"/>
        <v>0</v>
      </c>
      <c r="K24" s="41"/>
      <c r="L24" s="46"/>
    </row>
    <row r="25" spans="1:12" s="37" customFormat="1" x14ac:dyDescent="0.4">
      <c r="A25" s="39"/>
      <c r="B25" s="40"/>
      <c r="C25" s="41"/>
      <c r="D25" s="41"/>
      <c r="E25" s="42"/>
      <c r="F25" s="41"/>
      <c r="G25" s="43">
        <f t="shared" si="1"/>
        <v>0</v>
      </c>
      <c r="H25" s="44">
        <f t="shared" si="2"/>
        <v>0</v>
      </c>
      <c r="I25" s="194">
        <f t="shared" si="0"/>
        <v>0</v>
      </c>
      <c r="J25" s="44">
        <f t="shared" si="3"/>
        <v>0</v>
      </c>
      <c r="K25" s="41"/>
      <c r="L25" s="46"/>
    </row>
    <row r="26" spans="1:12" s="37" customFormat="1" x14ac:dyDescent="0.4">
      <c r="A26" s="39"/>
      <c r="B26" s="40"/>
      <c r="C26" s="41"/>
      <c r="D26" s="41"/>
      <c r="E26" s="42"/>
      <c r="F26" s="41"/>
      <c r="G26" s="43">
        <f t="shared" si="1"/>
        <v>0</v>
      </c>
      <c r="H26" s="44">
        <f t="shared" si="2"/>
        <v>0</v>
      </c>
      <c r="I26" s="194">
        <f t="shared" si="0"/>
        <v>0</v>
      </c>
      <c r="J26" s="44">
        <f t="shared" si="3"/>
        <v>0</v>
      </c>
      <c r="K26" s="41"/>
      <c r="L26" s="46"/>
    </row>
    <row r="27" spans="1:12" s="37" customFormat="1" x14ac:dyDescent="0.4">
      <c r="A27" s="39"/>
      <c r="B27" s="40"/>
      <c r="C27" s="41"/>
      <c r="D27" s="41"/>
      <c r="E27" s="42"/>
      <c r="F27" s="41"/>
      <c r="G27" s="43">
        <f t="shared" si="1"/>
        <v>0</v>
      </c>
      <c r="H27" s="44">
        <f t="shared" si="2"/>
        <v>0</v>
      </c>
      <c r="I27" s="194">
        <f t="shared" si="0"/>
        <v>0</v>
      </c>
      <c r="J27" s="44">
        <f t="shared" si="3"/>
        <v>0</v>
      </c>
      <c r="K27" s="41"/>
      <c r="L27" s="46"/>
    </row>
    <row r="28" spans="1:12" s="37" customFormat="1" x14ac:dyDescent="0.4">
      <c r="A28" s="39"/>
      <c r="B28" s="40"/>
      <c r="C28" s="41"/>
      <c r="D28" s="41"/>
      <c r="E28" s="42"/>
      <c r="F28" s="41"/>
      <c r="G28" s="43">
        <f t="shared" si="1"/>
        <v>0</v>
      </c>
      <c r="H28" s="44">
        <f t="shared" si="2"/>
        <v>0</v>
      </c>
      <c r="I28" s="194">
        <f t="shared" si="0"/>
        <v>0</v>
      </c>
      <c r="J28" s="44">
        <f t="shared" si="3"/>
        <v>0</v>
      </c>
      <c r="K28" s="41"/>
      <c r="L28" s="46"/>
    </row>
    <row r="29" spans="1:12" s="37" customFormat="1" x14ac:dyDescent="0.4">
      <c r="A29" s="39"/>
      <c r="B29" s="40"/>
      <c r="C29" s="41"/>
      <c r="D29" s="41"/>
      <c r="E29" s="42"/>
      <c r="F29" s="41"/>
      <c r="G29" s="43">
        <f t="shared" si="1"/>
        <v>0</v>
      </c>
      <c r="H29" s="44">
        <f t="shared" si="2"/>
        <v>0</v>
      </c>
      <c r="I29" s="194">
        <f t="shared" si="0"/>
        <v>0</v>
      </c>
      <c r="J29" s="44">
        <f t="shared" si="3"/>
        <v>0</v>
      </c>
      <c r="K29" s="41"/>
      <c r="L29" s="46"/>
    </row>
    <row r="30" spans="1:12" s="37" customFormat="1" x14ac:dyDescent="0.4">
      <c r="A30" s="39"/>
      <c r="B30" s="40"/>
      <c r="C30" s="41"/>
      <c r="D30" s="41"/>
      <c r="E30" s="42"/>
      <c r="F30" s="41"/>
      <c r="G30" s="43">
        <f t="shared" si="1"/>
        <v>0</v>
      </c>
      <c r="H30" s="44">
        <f t="shared" si="2"/>
        <v>0</v>
      </c>
      <c r="I30" s="194">
        <f t="shared" si="0"/>
        <v>0</v>
      </c>
      <c r="J30" s="44">
        <f t="shared" si="3"/>
        <v>0</v>
      </c>
      <c r="K30" s="41"/>
      <c r="L30" s="46"/>
    </row>
    <row r="31" spans="1:12" s="37" customFormat="1" x14ac:dyDescent="0.4">
      <c r="A31" s="39"/>
      <c r="B31" s="40"/>
      <c r="C31" s="41"/>
      <c r="D31" s="41"/>
      <c r="E31" s="42"/>
      <c r="F31" s="41"/>
      <c r="G31" s="43">
        <f t="shared" si="1"/>
        <v>0</v>
      </c>
      <c r="H31" s="44">
        <f t="shared" si="2"/>
        <v>0</v>
      </c>
      <c r="I31" s="194">
        <f t="shared" si="0"/>
        <v>0</v>
      </c>
      <c r="J31" s="44">
        <f t="shared" si="3"/>
        <v>0</v>
      </c>
      <c r="K31" s="41"/>
      <c r="L31" s="46"/>
    </row>
    <row r="32" spans="1:12" s="37" customFormat="1" x14ac:dyDescent="0.4">
      <c r="A32" s="39"/>
      <c r="B32" s="40"/>
      <c r="C32" s="41"/>
      <c r="D32" s="41"/>
      <c r="E32" s="42"/>
      <c r="F32" s="41"/>
      <c r="G32" s="43">
        <f t="shared" si="1"/>
        <v>0</v>
      </c>
      <c r="H32" s="44">
        <f t="shared" si="2"/>
        <v>0</v>
      </c>
      <c r="I32" s="194">
        <f t="shared" si="0"/>
        <v>0</v>
      </c>
      <c r="J32" s="44">
        <f t="shared" si="3"/>
        <v>0</v>
      </c>
      <c r="K32" s="41"/>
      <c r="L32" s="46"/>
    </row>
    <row r="33" spans="1:256" s="37" customFormat="1" x14ac:dyDescent="0.4">
      <c r="A33" s="39"/>
      <c r="B33" s="40"/>
      <c r="C33" s="41"/>
      <c r="D33" s="41"/>
      <c r="E33" s="42"/>
      <c r="F33" s="41"/>
      <c r="G33" s="43">
        <f t="shared" si="1"/>
        <v>0</v>
      </c>
      <c r="H33" s="44">
        <f t="shared" si="2"/>
        <v>0</v>
      </c>
      <c r="I33" s="194">
        <f t="shared" si="0"/>
        <v>0</v>
      </c>
      <c r="J33" s="44">
        <f t="shared" si="3"/>
        <v>0</v>
      </c>
      <c r="K33" s="41"/>
      <c r="L33" s="46"/>
    </row>
    <row r="34" spans="1:256" s="37" customFormat="1" x14ac:dyDescent="0.4">
      <c r="A34" s="39"/>
      <c r="B34" s="40"/>
      <c r="C34" s="41"/>
      <c r="D34" s="41"/>
      <c r="E34" s="42"/>
      <c r="F34" s="41"/>
      <c r="G34" s="43">
        <f t="shared" si="1"/>
        <v>0</v>
      </c>
      <c r="H34" s="44">
        <f t="shared" si="2"/>
        <v>0</v>
      </c>
      <c r="I34" s="194">
        <f t="shared" si="0"/>
        <v>0</v>
      </c>
      <c r="J34" s="44">
        <f t="shared" si="3"/>
        <v>0</v>
      </c>
      <c r="K34" s="41"/>
      <c r="L34" s="46"/>
    </row>
    <row r="35" spans="1:256" s="37" customFormat="1" x14ac:dyDescent="0.4">
      <c r="A35" s="39"/>
      <c r="B35" s="40"/>
      <c r="C35" s="41"/>
      <c r="D35" s="41"/>
      <c r="E35" s="42"/>
      <c r="F35" s="41"/>
      <c r="G35" s="43">
        <f t="shared" si="1"/>
        <v>0</v>
      </c>
      <c r="H35" s="44">
        <f t="shared" si="2"/>
        <v>0</v>
      </c>
      <c r="I35" s="194">
        <f t="shared" si="0"/>
        <v>0</v>
      </c>
      <c r="J35" s="44">
        <f t="shared" si="3"/>
        <v>0</v>
      </c>
      <c r="K35" s="41"/>
      <c r="L35" s="46"/>
    </row>
    <row r="36" spans="1:256" s="37" customFormat="1" x14ac:dyDescent="0.4">
      <c r="A36" s="39"/>
      <c r="B36" s="40"/>
      <c r="C36" s="41"/>
      <c r="D36" s="41"/>
      <c r="E36" s="42"/>
      <c r="F36" s="41"/>
      <c r="G36" s="43">
        <f t="shared" si="1"/>
        <v>0</v>
      </c>
      <c r="H36" s="44">
        <f t="shared" si="2"/>
        <v>0</v>
      </c>
      <c r="I36" s="194">
        <f t="shared" si="0"/>
        <v>0</v>
      </c>
      <c r="J36" s="44">
        <f t="shared" si="3"/>
        <v>0</v>
      </c>
      <c r="K36" s="41"/>
      <c r="L36" s="46"/>
    </row>
    <row r="37" spans="1:256" ht="12" thickBot="1" x14ac:dyDescent="0.5">
      <c r="A37" s="47" t="s">
        <v>4</v>
      </c>
      <c r="B37" s="48"/>
      <c r="C37" s="49"/>
      <c r="D37" s="49"/>
      <c r="E37" s="49"/>
      <c r="F37" s="49"/>
      <c r="G37" s="49">
        <f>SUM(G6:G36)</f>
        <v>63355.950000000004</v>
      </c>
      <c r="H37" s="50"/>
      <c r="I37" s="195">
        <f>SUM(I6:I36)</f>
        <v>7702.1828415000009</v>
      </c>
      <c r="J37" s="50"/>
      <c r="K37" s="49"/>
      <c r="L37" s="52"/>
    </row>
    <row r="38" spans="1:256" ht="12" thickBot="1" x14ac:dyDescent="0.5">
      <c r="K38" s="64"/>
      <c r="L38" s="64"/>
    </row>
    <row r="39" spans="1:256" s="190" customFormat="1" ht="31.2" thickTop="1" thickBot="1" x14ac:dyDescent="1.1499999999999999">
      <c r="A39" s="189" t="s">
        <v>107</v>
      </c>
    </row>
    <row r="40" spans="1:256" s="30" customFormat="1" ht="58.5" x14ac:dyDescent="0.45">
      <c r="A40" s="237" t="s">
        <v>17</v>
      </c>
      <c r="B40" s="239" t="s">
        <v>27</v>
      </c>
      <c r="C40" s="239" t="s">
        <v>28</v>
      </c>
      <c r="D40" s="26" t="s">
        <v>48</v>
      </c>
      <c r="E40" s="26" t="s">
        <v>26</v>
      </c>
      <c r="F40" s="26" t="s">
        <v>20</v>
      </c>
      <c r="G40" s="27" t="s">
        <v>30</v>
      </c>
      <c r="H40" s="27"/>
      <c r="I40" s="27" t="s">
        <v>31</v>
      </c>
      <c r="J40" s="27"/>
      <c r="K40" s="231" t="s">
        <v>67</v>
      </c>
      <c r="L40" s="233" t="s">
        <v>66</v>
      </c>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s="30" customFormat="1" ht="14.25" customHeight="1" x14ac:dyDescent="0.45">
      <c r="A41" s="238"/>
      <c r="B41" s="240"/>
      <c r="C41" s="240"/>
      <c r="D41" s="31" t="s">
        <v>3</v>
      </c>
      <c r="E41" s="31" t="s">
        <v>2</v>
      </c>
      <c r="F41" s="31" t="s">
        <v>23</v>
      </c>
      <c r="G41" s="31" t="s">
        <v>0</v>
      </c>
      <c r="H41" s="31" t="s">
        <v>2</v>
      </c>
      <c r="I41" s="31" t="s">
        <v>1</v>
      </c>
      <c r="J41" s="31" t="s">
        <v>2</v>
      </c>
      <c r="K41" s="232"/>
      <c r="L41" s="234"/>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s="38" customFormat="1" ht="23.4" x14ac:dyDescent="0.4">
      <c r="A42" s="53" t="s">
        <v>36</v>
      </c>
      <c r="B42" s="54" t="s">
        <v>37</v>
      </c>
      <c r="C42" s="55" t="s">
        <v>41</v>
      </c>
      <c r="D42" s="55">
        <v>500</v>
      </c>
      <c r="E42" s="56">
        <v>0.65</v>
      </c>
      <c r="F42" s="55">
        <v>6000</v>
      </c>
      <c r="G42" s="33">
        <f>D42*E42*F42</f>
        <v>1950000</v>
      </c>
      <c r="H42" s="34" t="s">
        <v>5</v>
      </c>
      <c r="I42" s="35">
        <f>G42*0.14</f>
        <v>273000</v>
      </c>
      <c r="J42" s="34" t="s">
        <v>5</v>
      </c>
      <c r="K42" s="55" t="s">
        <v>70</v>
      </c>
      <c r="L42" s="57" t="s">
        <v>71</v>
      </c>
      <c r="M42" s="36"/>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56" s="150" customFormat="1" ht="12" thickBot="1" x14ac:dyDescent="0.5">
      <c r="A43" s="151" t="s">
        <v>4</v>
      </c>
      <c r="B43" s="152"/>
      <c r="C43" s="144"/>
      <c r="D43" s="144"/>
      <c r="E43" s="144"/>
      <c r="F43" s="144"/>
      <c r="G43" s="144">
        <f>G42</f>
        <v>1950000</v>
      </c>
      <c r="H43" s="145"/>
      <c r="I43" s="147">
        <f>I42</f>
        <v>273000</v>
      </c>
      <c r="J43" s="145"/>
      <c r="K43" s="144"/>
      <c r="L43" s="149"/>
    </row>
    <row r="47" spans="1:256" x14ac:dyDescent="0.45">
      <c r="A47" s="29" t="s">
        <v>230</v>
      </c>
    </row>
    <row r="48" spans="1:256" s="64" customFormat="1" ht="93.6" x14ac:dyDescent="0.45">
      <c r="A48" s="39" t="s">
        <v>201</v>
      </c>
      <c r="B48" s="40"/>
      <c r="C48" s="41" t="s">
        <v>228</v>
      </c>
      <c r="D48" s="200"/>
      <c r="E48" s="42">
        <v>1</v>
      </c>
      <c r="F48" s="41">
        <f>24*7*52</f>
        <v>8736</v>
      </c>
      <c r="G48" s="43">
        <f>8627*0.51</f>
        <v>4399.7700000000004</v>
      </c>
      <c r="H48" s="44">
        <f>IF(ISERROR(G48/G$37),"",G48/G$37)</f>
        <v>6.9445253366100579E-2</v>
      </c>
      <c r="I48" s="194">
        <f>G48*ElecPrice</f>
        <v>534.88003890000005</v>
      </c>
      <c r="J48" s="44">
        <f>IF(ISERROR(I48/I$37),"",I48/I$37)</f>
        <v>6.9445253366100579E-2</v>
      </c>
      <c r="K48" s="41"/>
      <c r="L48" s="46" t="s">
        <v>258</v>
      </c>
      <c r="M48" s="29">
        <v>11350</v>
      </c>
    </row>
    <row r="49" spans="1:17" s="64" customFormat="1" ht="93.6" x14ac:dyDescent="0.45">
      <c r="A49" s="39" t="s">
        <v>201</v>
      </c>
      <c r="B49" s="40"/>
      <c r="C49" s="41" t="s">
        <v>229</v>
      </c>
      <c r="D49" s="200"/>
      <c r="E49" s="42">
        <v>1</v>
      </c>
      <c r="F49" s="41">
        <f>24*7*52</f>
        <v>8736</v>
      </c>
      <c r="G49" s="43">
        <f>6665*0.51</f>
        <v>3399.15</v>
      </c>
      <c r="H49" s="44">
        <f>IF(ISERROR(G49/G$37),"",G49/G$37)</f>
        <v>5.365163019416487E-2</v>
      </c>
      <c r="I49" s="194">
        <f>G49*ElecPrice</f>
        <v>413.23466550000001</v>
      </c>
      <c r="J49" s="44">
        <f>IF(ISERROR(I49/I$37),"",I49/I$37)</f>
        <v>5.365163019416487E-2</v>
      </c>
      <c r="K49" s="41"/>
      <c r="L49" s="46" t="s">
        <v>258</v>
      </c>
      <c r="M49" s="29">
        <v>11350</v>
      </c>
    </row>
    <row r="50" spans="1:17" s="37" customFormat="1" ht="46.8" x14ac:dyDescent="0.4">
      <c r="A50" s="39" t="s">
        <v>183</v>
      </c>
      <c r="B50" s="40"/>
      <c r="C50" s="41" t="s">
        <v>254</v>
      </c>
      <c r="D50" s="200"/>
      <c r="E50" s="42">
        <v>1</v>
      </c>
      <c r="F50" s="41">
        <f>8*6*50</f>
        <v>2400</v>
      </c>
      <c r="G50" s="43">
        <f>Q6*(11.76 /N6)</f>
        <v>21168.000000000004</v>
      </c>
      <c r="H50" s="44">
        <f>IF(ISERROR(G50/G$37),"",G50/G$37)</f>
        <v>0.33411226569880181</v>
      </c>
      <c r="I50" s="194">
        <f>G50*ElecPrice</f>
        <v>2573.3937600000004</v>
      </c>
      <c r="J50" s="44">
        <f>IF(ISERROR(I50/I$37),"",I50/I$37)</f>
        <v>0.33411226569880176</v>
      </c>
      <c r="K50" s="41" t="s">
        <v>203</v>
      </c>
      <c r="L50" s="46" t="s">
        <v>204</v>
      </c>
      <c r="N50" s="37">
        <v>20</v>
      </c>
      <c r="O50" s="37">
        <f>N50*(12*1.5)</f>
        <v>360</v>
      </c>
      <c r="P50" s="37">
        <f>O50/24</f>
        <v>15</v>
      </c>
      <c r="Q50" s="37">
        <f>P50*F50</f>
        <v>36000</v>
      </c>
    </row>
    <row r="52" spans="1:17" x14ac:dyDescent="0.45">
      <c r="H52" s="219" t="s">
        <v>269</v>
      </c>
      <c r="I52" s="218">
        <f>I6</f>
        <v>4828.3956900000012</v>
      </c>
    </row>
    <row r="53" spans="1:17" x14ac:dyDescent="0.45">
      <c r="H53" s="219" t="s">
        <v>259</v>
      </c>
      <c r="I53" s="218">
        <f>I50</f>
        <v>2573.3937600000004</v>
      </c>
    </row>
    <row r="54" spans="1:17" x14ac:dyDescent="0.45">
      <c r="H54" s="219" t="s">
        <v>261</v>
      </c>
      <c r="I54" s="218">
        <f>I52-I53</f>
        <v>2255.0019300000008</v>
      </c>
    </row>
    <row r="55" spans="1:17" x14ac:dyDescent="0.45">
      <c r="H55" s="219"/>
    </row>
    <row r="56" spans="1:17" x14ac:dyDescent="0.45">
      <c r="H56" s="219" t="s">
        <v>262</v>
      </c>
      <c r="I56" s="29">
        <v>10000</v>
      </c>
    </row>
    <row r="57" spans="1:17" x14ac:dyDescent="0.45">
      <c r="H57" s="219" t="s">
        <v>263</v>
      </c>
      <c r="I57" s="218">
        <f>I56/I54</f>
        <v>4.4345860049884731</v>
      </c>
    </row>
    <row r="60" spans="1:17" x14ac:dyDescent="0.45">
      <c r="H60" s="219" t="s">
        <v>260</v>
      </c>
      <c r="I60" s="218">
        <f>SUM(I9:I10)</f>
        <v>2788.5726599999998</v>
      </c>
    </row>
    <row r="61" spans="1:17" x14ac:dyDescent="0.45">
      <c r="H61" s="219" t="s">
        <v>259</v>
      </c>
      <c r="I61" s="218">
        <f>SUM(I48:I49)</f>
        <v>948.11470440000005</v>
      </c>
    </row>
    <row r="62" spans="1:17" x14ac:dyDescent="0.45">
      <c r="H62" s="219" t="s">
        <v>261</v>
      </c>
      <c r="I62" s="218">
        <f>I60-I61</f>
        <v>1840.4579555999999</v>
      </c>
    </row>
    <row r="63" spans="1:17" x14ac:dyDescent="0.45">
      <c r="H63" s="219"/>
    </row>
    <row r="64" spans="1:17" x14ac:dyDescent="0.45">
      <c r="H64" s="219" t="s">
        <v>262</v>
      </c>
      <c r="I64" s="29">
        <f>SUM(M48:M49)</f>
        <v>22700</v>
      </c>
    </row>
    <row r="65" spans="7:9" x14ac:dyDescent="0.45">
      <c r="H65" s="219" t="s">
        <v>263</v>
      </c>
      <c r="I65" s="218">
        <f>I64/I62</f>
        <v>12.33388675407131</v>
      </c>
    </row>
    <row r="66" spans="7:9" x14ac:dyDescent="0.45">
      <c r="G66" s="29">
        <f>11.76/N6</f>
        <v>0.53297076818490818</v>
      </c>
    </row>
  </sheetData>
  <mergeCells count="11">
    <mergeCell ref="A40:A41"/>
    <mergeCell ref="B40:B41"/>
    <mergeCell ref="C40:C41"/>
    <mergeCell ref="K40:K41"/>
    <mergeCell ref="L40:L41"/>
    <mergeCell ref="K4:K5"/>
    <mergeCell ref="L4:L5"/>
    <mergeCell ref="C1:E1"/>
    <mergeCell ref="A4:A5"/>
    <mergeCell ref="C4:C5"/>
    <mergeCell ref="B4:B5"/>
  </mergeCells>
  <phoneticPr fontId="1" type="noConversion"/>
  <pageMargins left="0.75" right="0.75" top="1" bottom="1" header="0.5" footer="0.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autoPageBreaks="0"/>
  </sheetPr>
  <dimension ref="A1:IU48"/>
  <sheetViews>
    <sheetView showGridLines="0" zoomScaleNormal="100" workbookViewId="0">
      <pane ySplit="5" topLeftCell="A6" activePane="bottomLeft" state="frozen"/>
      <selection activeCell="A2" sqref="A2"/>
      <selection pane="bottomLeft" activeCell="A6" sqref="A6"/>
    </sheetView>
  </sheetViews>
  <sheetFormatPr defaultColWidth="9.1640625" defaultRowHeight="11.7" x14ac:dyDescent="0.45"/>
  <cols>
    <col min="1" max="1" width="21.71875" style="29" customWidth="1"/>
    <col min="2" max="2" width="9.5546875" style="29" customWidth="1"/>
    <col min="3" max="3" width="24" style="29" customWidth="1"/>
    <col min="4" max="4" width="8.83203125" style="29" customWidth="1"/>
    <col min="5" max="5" width="12.5546875" style="29" customWidth="1"/>
    <col min="6" max="6" width="9.83203125" style="29" customWidth="1"/>
    <col min="7" max="7" width="9.44140625" style="29" customWidth="1"/>
    <col min="8" max="8" width="10.44140625" style="29" customWidth="1"/>
    <col min="9" max="9" width="6.44140625" style="29" customWidth="1"/>
    <col min="10" max="10" width="10.44140625" style="29" customWidth="1"/>
    <col min="11" max="11" width="6.44140625" style="29" customWidth="1"/>
    <col min="12" max="12" width="23.44140625" style="29" customWidth="1"/>
    <col min="13" max="13" width="22" style="29" customWidth="1"/>
    <col min="14" max="16384" width="9.1640625" style="29"/>
  </cols>
  <sheetData>
    <row r="1" spans="1:255" s="60" customFormat="1" ht="51.75" customHeight="1" x14ac:dyDescent="0.45">
      <c r="C1" s="235" t="s">
        <v>38</v>
      </c>
      <c r="D1" s="235"/>
      <c r="E1" s="235"/>
      <c r="F1" s="235"/>
      <c r="G1" s="182"/>
      <c r="H1" s="183"/>
      <c r="I1" s="183"/>
      <c r="J1" s="183"/>
      <c r="K1" s="183"/>
      <c r="L1" s="61"/>
      <c r="M1" s="61"/>
      <c r="AG1" s="62"/>
      <c r="AH1" s="62"/>
      <c r="AI1" s="62"/>
      <c r="AJ1" s="62"/>
      <c r="AK1" s="62"/>
      <c r="AL1" s="62"/>
      <c r="AM1" s="62"/>
      <c r="AN1" s="62"/>
      <c r="AO1" s="62"/>
      <c r="AP1" s="62"/>
      <c r="AQ1" s="62"/>
      <c r="AR1" s="62"/>
    </row>
    <row r="2" spans="1:255" ht="15" customHeight="1" x14ac:dyDescent="0.45">
      <c r="A2" s="188" t="s">
        <v>111</v>
      </c>
      <c r="G2" s="183"/>
      <c r="H2" s="183"/>
      <c r="I2" s="183"/>
      <c r="J2" s="183"/>
      <c r="K2" s="183"/>
      <c r="L2" s="63"/>
      <c r="M2" s="63"/>
    </row>
    <row r="3" spans="1:255" ht="3" customHeight="1" thickBot="1" x14ac:dyDescent="0.5"/>
    <row r="4" spans="1:255" s="30" customFormat="1" ht="58.5" x14ac:dyDescent="0.45">
      <c r="A4" s="237" t="s">
        <v>17</v>
      </c>
      <c r="B4" s="239" t="s">
        <v>27</v>
      </c>
      <c r="C4" s="239" t="s">
        <v>28</v>
      </c>
      <c r="D4" s="239" t="s">
        <v>6</v>
      </c>
      <c r="E4" s="26" t="s">
        <v>49</v>
      </c>
      <c r="F4" s="26" t="s">
        <v>26</v>
      </c>
      <c r="G4" s="26" t="s">
        <v>20</v>
      </c>
      <c r="H4" s="27" t="s">
        <v>30</v>
      </c>
      <c r="I4" s="27"/>
      <c r="J4" s="27" t="s">
        <v>31</v>
      </c>
      <c r="K4" s="27"/>
      <c r="L4" s="231" t="s">
        <v>67</v>
      </c>
      <c r="M4" s="233" t="s">
        <v>66</v>
      </c>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row>
    <row r="5" spans="1:255" s="30" customFormat="1" ht="14.25" customHeight="1" x14ac:dyDescent="0.45">
      <c r="A5" s="238"/>
      <c r="B5" s="240"/>
      <c r="C5" s="240"/>
      <c r="D5" s="240"/>
      <c r="E5" s="31" t="s">
        <v>3</v>
      </c>
      <c r="F5" s="31" t="s">
        <v>2</v>
      </c>
      <c r="G5" s="31" t="s">
        <v>23</v>
      </c>
      <c r="H5" s="31" t="s">
        <v>0</v>
      </c>
      <c r="I5" s="31" t="s">
        <v>2</v>
      </c>
      <c r="J5" s="31" t="s">
        <v>1</v>
      </c>
      <c r="K5" s="31" t="s">
        <v>2</v>
      </c>
      <c r="L5" s="232"/>
      <c r="M5" s="234"/>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row>
    <row r="6" spans="1:255" s="37" customFormat="1" x14ac:dyDescent="0.4">
      <c r="A6" s="39"/>
      <c r="B6" s="40"/>
      <c r="C6" s="41"/>
      <c r="D6" s="41"/>
      <c r="E6" s="41"/>
      <c r="F6" s="42"/>
      <c r="G6" s="41"/>
      <c r="H6" s="43">
        <f>D6*E6*F6*G6</f>
        <v>0</v>
      </c>
      <c r="I6" s="44" t="str">
        <f t="shared" ref="I6:I35" si="0">IF(ISERROR(H6/H$36),"",H6/H$36)</f>
        <v/>
      </c>
      <c r="J6" s="45">
        <f>H6*ElecPrice</f>
        <v>0</v>
      </c>
      <c r="K6" s="44" t="str">
        <f t="shared" ref="K6:K35" si="1">IF(ISERROR(J6/J$36),"",J6/J$36)</f>
        <v/>
      </c>
      <c r="L6" s="41"/>
      <c r="M6" s="46"/>
    </row>
    <row r="7" spans="1:255" s="37" customFormat="1" x14ac:dyDescent="0.4">
      <c r="A7" s="39"/>
      <c r="B7" s="40"/>
      <c r="C7" s="41"/>
      <c r="D7" s="41"/>
      <c r="E7" s="41"/>
      <c r="F7" s="42"/>
      <c r="G7" s="41"/>
      <c r="H7" s="43">
        <f t="shared" ref="H7:H35" si="2">D7*E7*F7*G7</f>
        <v>0</v>
      </c>
      <c r="I7" s="44" t="str">
        <f t="shared" si="0"/>
        <v/>
      </c>
      <c r="J7" s="45">
        <f t="shared" ref="J7:J35" si="3">H7*ElecPrice</f>
        <v>0</v>
      </c>
      <c r="K7" s="44" t="str">
        <f t="shared" si="1"/>
        <v/>
      </c>
      <c r="L7" s="41"/>
      <c r="M7" s="46"/>
    </row>
    <row r="8" spans="1:255" s="37" customFormat="1" x14ac:dyDescent="0.4">
      <c r="A8" s="39"/>
      <c r="B8" s="40"/>
      <c r="C8" s="41"/>
      <c r="D8" s="41"/>
      <c r="E8" s="41"/>
      <c r="F8" s="42"/>
      <c r="G8" s="41"/>
      <c r="H8" s="43">
        <f t="shared" si="2"/>
        <v>0</v>
      </c>
      <c r="I8" s="44" t="str">
        <f t="shared" si="0"/>
        <v/>
      </c>
      <c r="J8" s="45">
        <f t="shared" si="3"/>
        <v>0</v>
      </c>
      <c r="K8" s="44" t="str">
        <f t="shared" si="1"/>
        <v/>
      </c>
      <c r="L8" s="41"/>
      <c r="M8" s="46"/>
    </row>
    <row r="9" spans="1:255" s="37" customFormat="1" x14ac:dyDescent="0.4">
      <c r="A9" s="39"/>
      <c r="B9" s="40"/>
      <c r="C9" s="41"/>
      <c r="D9" s="41"/>
      <c r="E9" s="41"/>
      <c r="F9" s="42"/>
      <c r="G9" s="41"/>
      <c r="H9" s="43">
        <f t="shared" si="2"/>
        <v>0</v>
      </c>
      <c r="I9" s="44" t="str">
        <f t="shared" si="0"/>
        <v/>
      </c>
      <c r="J9" s="45">
        <f t="shared" si="3"/>
        <v>0</v>
      </c>
      <c r="K9" s="44" t="str">
        <f t="shared" si="1"/>
        <v/>
      </c>
      <c r="L9" s="41"/>
      <c r="M9" s="46"/>
    </row>
    <row r="10" spans="1:255" s="37" customFormat="1" x14ac:dyDescent="0.4">
      <c r="A10" s="39"/>
      <c r="B10" s="40"/>
      <c r="C10" s="41"/>
      <c r="D10" s="41"/>
      <c r="E10" s="41"/>
      <c r="F10" s="42"/>
      <c r="G10" s="41"/>
      <c r="H10" s="43">
        <f t="shared" si="2"/>
        <v>0</v>
      </c>
      <c r="I10" s="44" t="str">
        <f t="shared" si="0"/>
        <v/>
      </c>
      <c r="J10" s="45">
        <f t="shared" si="3"/>
        <v>0</v>
      </c>
      <c r="K10" s="44" t="str">
        <f t="shared" si="1"/>
        <v/>
      </c>
      <c r="L10" s="41"/>
      <c r="M10" s="46"/>
    </row>
    <row r="11" spans="1:255" s="37" customFormat="1" x14ac:dyDescent="0.4">
      <c r="A11" s="39"/>
      <c r="B11" s="40"/>
      <c r="C11" s="41"/>
      <c r="D11" s="41"/>
      <c r="E11" s="41"/>
      <c r="F11" s="42"/>
      <c r="G11" s="41"/>
      <c r="H11" s="43">
        <f t="shared" si="2"/>
        <v>0</v>
      </c>
      <c r="I11" s="44" t="str">
        <f t="shared" si="0"/>
        <v/>
      </c>
      <c r="J11" s="45">
        <f t="shared" si="3"/>
        <v>0</v>
      </c>
      <c r="K11" s="44" t="str">
        <f t="shared" si="1"/>
        <v/>
      </c>
      <c r="L11" s="41"/>
      <c r="M11" s="46"/>
    </row>
    <row r="12" spans="1:255" s="37" customFormat="1" x14ac:dyDescent="0.4">
      <c r="A12" s="39"/>
      <c r="B12" s="40"/>
      <c r="C12" s="41"/>
      <c r="D12" s="41"/>
      <c r="E12" s="41"/>
      <c r="F12" s="42"/>
      <c r="G12" s="41"/>
      <c r="H12" s="43">
        <f t="shared" si="2"/>
        <v>0</v>
      </c>
      <c r="I12" s="44" t="str">
        <f t="shared" si="0"/>
        <v/>
      </c>
      <c r="J12" s="45">
        <f t="shared" si="3"/>
        <v>0</v>
      </c>
      <c r="K12" s="44" t="str">
        <f t="shared" si="1"/>
        <v/>
      </c>
      <c r="L12" s="41"/>
      <c r="M12" s="46"/>
    </row>
    <row r="13" spans="1:255" s="37" customFormat="1" x14ac:dyDescent="0.4">
      <c r="A13" s="39"/>
      <c r="B13" s="40"/>
      <c r="C13" s="41"/>
      <c r="D13" s="41"/>
      <c r="E13" s="41"/>
      <c r="F13" s="42"/>
      <c r="G13" s="41"/>
      <c r="H13" s="43">
        <f t="shared" si="2"/>
        <v>0</v>
      </c>
      <c r="I13" s="44" t="str">
        <f t="shared" si="0"/>
        <v/>
      </c>
      <c r="J13" s="45">
        <f t="shared" si="3"/>
        <v>0</v>
      </c>
      <c r="K13" s="44" t="str">
        <f t="shared" si="1"/>
        <v/>
      </c>
      <c r="L13" s="41"/>
      <c r="M13" s="46"/>
    </row>
    <row r="14" spans="1:255" s="37" customFormat="1" x14ac:dyDescent="0.4">
      <c r="A14" s="39"/>
      <c r="B14" s="40"/>
      <c r="C14" s="41"/>
      <c r="D14" s="41"/>
      <c r="E14" s="41"/>
      <c r="F14" s="42"/>
      <c r="G14" s="41"/>
      <c r="H14" s="43">
        <f t="shared" si="2"/>
        <v>0</v>
      </c>
      <c r="I14" s="44" t="str">
        <f t="shared" si="0"/>
        <v/>
      </c>
      <c r="J14" s="45">
        <f t="shared" si="3"/>
        <v>0</v>
      </c>
      <c r="K14" s="44" t="str">
        <f t="shared" si="1"/>
        <v/>
      </c>
      <c r="L14" s="41"/>
      <c r="M14" s="46"/>
    </row>
    <row r="15" spans="1:255" s="37" customFormat="1" x14ac:dyDescent="0.4">
      <c r="A15" s="39"/>
      <c r="B15" s="40"/>
      <c r="C15" s="41"/>
      <c r="D15" s="41"/>
      <c r="E15" s="41"/>
      <c r="F15" s="42"/>
      <c r="G15" s="41"/>
      <c r="H15" s="43">
        <f t="shared" si="2"/>
        <v>0</v>
      </c>
      <c r="I15" s="44" t="str">
        <f t="shared" si="0"/>
        <v/>
      </c>
      <c r="J15" s="45">
        <f t="shared" si="3"/>
        <v>0</v>
      </c>
      <c r="K15" s="44" t="str">
        <f t="shared" si="1"/>
        <v/>
      </c>
      <c r="L15" s="41"/>
      <c r="M15" s="46"/>
    </row>
    <row r="16" spans="1:255" s="37" customFormat="1" x14ac:dyDescent="0.4">
      <c r="A16" s="39"/>
      <c r="B16" s="40"/>
      <c r="C16" s="41"/>
      <c r="D16" s="41"/>
      <c r="E16" s="41"/>
      <c r="F16" s="42"/>
      <c r="G16" s="41"/>
      <c r="H16" s="43">
        <f t="shared" si="2"/>
        <v>0</v>
      </c>
      <c r="I16" s="44" t="str">
        <f t="shared" si="0"/>
        <v/>
      </c>
      <c r="J16" s="45">
        <f t="shared" si="3"/>
        <v>0</v>
      </c>
      <c r="K16" s="44" t="str">
        <f t="shared" si="1"/>
        <v/>
      </c>
      <c r="L16" s="41"/>
      <c r="M16" s="46"/>
    </row>
    <row r="17" spans="1:13" s="37" customFormat="1" x14ac:dyDescent="0.4">
      <c r="A17" s="39"/>
      <c r="B17" s="40"/>
      <c r="C17" s="41"/>
      <c r="D17" s="41"/>
      <c r="E17" s="41"/>
      <c r="F17" s="42"/>
      <c r="G17" s="41"/>
      <c r="H17" s="43">
        <f t="shared" si="2"/>
        <v>0</v>
      </c>
      <c r="I17" s="44" t="str">
        <f t="shared" si="0"/>
        <v/>
      </c>
      <c r="J17" s="45">
        <f t="shared" si="3"/>
        <v>0</v>
      </c>
      <c r="K17" s="44" t="str">
        <f t="shared" si="1"/>
        <v/>
      </c>
      <c r="L17" s="41"/>
      <c r="M17" s="46"/>
    </row>
    <row r="18" spans="1:13" s="37" customFormat="1" x14ac:dyDescent="0.4">
      <c r="A18" s="39"/>
      <c r="B18" s="40"/>
      <c r="C18" s="41"/>
      <c r="D18" s="41"/>
      <c r="E18" s="41"/>
      <c r="F18" s="42"/>
      <c r="G18" s="41"/>
      <c r="H18" s="43">
        <f t="shared" si="2"/>
        <v>0</v>
      </c>
      <c r="I18" s="44" t="str">
        <f t="shared" si="0"/>
        <v/>
      </c>
      <c r="J18" s="45">
        <f t="shared" si="3"/>
        <v>0</v>
      </c>
      <c r="K18" s="44" t="str">
        <f t="shared" si="1"/>
        <v/>
      </c>
      <c r="L18" s="41"/>
      <c r="M18" s="46"/>
    </row>
    <row r="19" spans="1:13" s="37" customFormat="1" x14ac:dyDescent="0.4">
      <c r="A19" s="39"/>
      <c r="B19" s="40"/>
      <c r="C19" s="41"/>
      <c r="D19" s="41"/>
      <c r="E19" s="41"/>
      <c r="F19" s="42"/>
      <c r="G19" s="41"/>
      <c r="H19" s="43">
        <f t="shared" si="2"/>
        <v>0</v>
      </c>
      <c r="I19" s="44" t="str">
        <f t="shared" si="0"/>
        <v/>
      </c>
      <c r="J19" s="45">
        <f t="shared" si="3"/>
        <v>0</v>
      </c>
      <c r="K19" s="44" t="str">
        <f t="shared" si="1"/>
        <v/>
      </c>
      <c r="L19" s="41"/>
      <c r="M19" s="46"/>
    </row>
    <row r="20" spans="1:13" s="37" customFormat="1" x14ac:dyDescent="0.4">
      <c r="A20" s="39"/>
      <c r="B20" s="40"/>
      <c r="C20" s="41"/>
      <c r="D20" s="41"/>
      <c r="E20" s="41"/>
      <c r="F20" s="42"/>
      <c r="G20" s="41"/>
      <c r="H20" s="43">
        <f t="shared" si="2"/>
        <v>0</v>
      </c>
      <c r="I20" s="44" t="str">
        <f t="shared" si="0"/>
        <v/>
      </c>
      <c r="J20" s="45">
        <f t="shared" si="3"/>
        <v>0</v>
      </c>
      <c r="K20" s="44" t="str">
        <f t="shared" si="1"/>
        <v/>
      </c>
      <c r="L20" s="41"/>
      <c r="M20" s="46"/>
    </row>
    <row r="21" spans="1:13" s="37" customFormat="1" x14ac:dyDescent="0.4">
      <c r="A21" s="39"/>
      <c r="B21" s="40"/>
      <c r="C21" s="41"/>
      <c r="D21" s="41"/>
      <c r="E21" s="41"/>
      <c r="F21" s="42"/>
      <c r="G21" s="41"/>
      <c r="H21" s="43">
        <f t="shared" si="2"/>
        <v>0</v>
      </c>
      <c r="I21" s="44" t="str">
        <f t="shared" si="0"/>
        <v/>
      </c>
      <c r="J21" s="45">
        <f t="shared" si="3"/>
        <v>0</v>
      </c>
      <c r="K21" s="44" t="str">
        <f t="shared" si="1"/>
        <v/>
      </c>
      <c r="L21" s="41"/>
      <c r="M21" s="46"/>
    </row>
    <row r="22" spans="1:13" s="37" customFormat="1" x14ac:dyDescent="0.4">
      <c r="A22" s="39"/>
      <c r="B22" s="40"/>
      <c r="C22" s="41"/>
      <c r="D22" s="41"/>
      <c r="E22" s="41"/>
      <c r="F22" s="42"/>
      <c r="G22" s="41"/>
      <c r="H22" s="43">
        <f t="shared" si="2"/>
        <v>0</v>
      </c>
      <c r="I22" s="44" t="str">
        <f t="shared" si="0"/>
        <v/>
      </c>
      <c r="J22" s="45">
        <f t="shared" si="3"/>
        <v>0</v>
      </c>
      <c r="K22" s="44" t="str">
        <f t="shared" si="1"/>
        <v/>
      </c>
      <c r="L22" s="41"/>
      <c r="M22" s="46"/>
    </row>
    <row r="23" spans="1:13" s="37" customFormat="1" x14ac:dyDescent="0.4">
      <c r="A23" s="39"/>
      <c r="B23" s="40"/>
      <c r="C23" s="41"/>
      <c r="D23" s="41"/>
      <c r="E23" s="41"/>
      <c r="F23" s="42"/>
      <c r="G23" s="41"/>
      <c r="H23" s="43">
        <f t="shared" si="2"/>
        <v>0</v>
      </c>
      <c r="I23" s="44" t="str">
        <f t="shared" si="0"/>
        <v/>
      </c>
      <c r="J23" s="45">
        <f t="shared" si="3"/>
        <v>0</v>
      </c>
      <c r="K23" s="44" t="str">
        <f t="shared" si="1"/>
        <v/>
      </c>
      <c r="L23" s="41"/>
      <c r="M23" s="46"/>
    </row>
    <row r="24" spans="1:13" s="37" customFormat="1" x14ac:dyDescent="0.4">
      <c r="A24" s="39"/>
      <c r="B24" s="40"/>
      <c r="C24" s="41"/>
      <c r="D24" s="41"/>
      <c r="E24" s="41"/>
      <c r="F24" s="42"/>
      <c r="G24" s="41"/>
      <c r="H24" s="43">
        <f t="shared" si="2"/>
        <v>0</v>
      </c>
      <c r="I24" s="44" t="str">
        <f t="shared" si="0"/>
        <v/>
      </c>
      <c r="J24" s="45">
        <f t="shared" si="3"/>
        <v>0</v>
      </c>
      <c r="K24" s="44" t="str">
        <f t="shared" si="1"/>
        <v/>
      </c>
      <c r="L24" s="41"/>
      <c r="M24" s="46"/>
    </row>
    <row r="25" spans="1:13" s="37" customFormat="1" x14ac:dyDescent="0.4">
      <c r="A25" s="39"/>
      <c r="B25" s="40"/>
      <c r="C25" s="41"/>
      <c r="D25" s="41"/>
      <c r="E25" s="41"/>
      <c r="F25" s="42"/>
      <c r="G25" s="41"/>
      <c r="H25" s="43">
        <f t="shared" si="2"/>
        <v>0</v>
      </c>
      <c r="I25" s="44" t="str">
        <f t="shared" si="0"/>
        <v/>
      </c>
      <c r="J25" s="45">
        <f t="shared" si="3"/>
        <v>0</v>
      </c>
      <c r="K25" s="44" t="str">
        <f t="shared" si="1"/>
        <v/>
      </c>
      <c r="L25" s="41"/>
      <c r="M25" s="46"/>
    </row>
    <row r="26" spans="1:13" s="37" customFormat="1" x14ac:dyDescent="0.4">
      <c r="A26" s="39"/>
      <c r="B26" s="40"/>
      <c r="C26" s="41"/>
      <c r="D26" s="41"/>
      <c r="E26" s="41"/>
      <c r="F26" s="42"/>
      <c r="G26" s="41"/>
      <c r="H26" s="43">
        <f t="shared" si="2"/>
        <v>0</v>
      </c>
      <c r="I26" s="44" t="str">
        <f t="shared" si="0"/>
        <v/>
      </c>
      <c r="J26" s="45">
        <f t="shared" si="3"/>
        <v>0</v>
      </c>
      <c r="K26" s="44" t="str">
        <f t="shared" si="1"/>
        <v/>
      </c>
      <c r="L26" s="41"/>
      <c r="M26" s="46"/>
    </row>
    <row r="27" spans="1:13" s="37" customFormat="1" x14ac:dyDescent="0.4">
      <c r="A27" s="39"/>
      <c r="B27" s="40"/>
      <c r="C27" s="41"/>
      <c r="D27" s="41"/>
      <c r="E27" s="41"/>
      <c r="F27" s="42"/>
      <c r="G27" s="41"/>
      <c r="H27" s="43">
        <f t="shared" si="2"/>
        <v>0</v>
      </c>
      <c r="I27" s="44" t="str">
        <f t="shared" si="0"/>
        <v/>
      </c>
      <c r="J27" s="45">
        <f t="shared" si="3"/>
        <v>0</v>
      </c>
      <c r="K27" s="44" t="str">
        <f t="shared" si="1"/>
        <v/>
      </c>
      <c r="L27" s="41"/>
      <c r="M27" s="46"/>
    </row>
    <row r="28" spans="1:13" s="37" customFormat="1" x14ac:dyDescent="0.4">
      <c r="A28" s="39"/>
      <c r="B28" s="40"/>
      <c r="C28" s="41"/>
      <c r="D28" s="41"/>
      <c r="E28" s="41"/>
      <c r="F28" s="42"/>
      <c r="G28" s="41"/>
      <c r="H28" s="43">
        <f t="shared" si="2"/>
        <v>0</v>
      </c>
      <c r="I28" s="44" t="str">
        <f t="shared" si="0"/>
        <v/>
      </c>
      <c r="J28" s="45">
        <f t="shared" si="3"/>
        <v>0</v>
      </c>
      <c r="K28" s="44" t="str">
        <f t="shared" si="1"/>
        <v/>
      </c>
      <c r="L28" s="41"/>
      <c r="M28" s="46"/>
    </row>
    <row r="29" spans="1:13" s="37" customFormat="1" x14ac:dyDescent="0.4">
      <c r="A29" s="39"/>
      <c r="B29" s="40"/>
      <c r="C29" s="41"/>
      <c r="D29" s="41"/>
      <c r="E29" s="41"/>
      <c r="F29" s="42"/>
      <c r="G29" s="41"/>
      <c r="H29" s="43">
        <f t="shared" si="2"/>
        <v>0</v>
      </c>
      <c r="I29" s="44" t="str">
        <f t="shared" si="0"/>
        <v/>
      </c>
      <c r="J29" s="45">
        <f t="shared" si="3"/>
        <v>0</v>
      </c>
      <c r="K29" s="44" t="str">
        <f t="shared" si="1"/>
        <v/>
      </c>
      <c r="L29" s="41"/>
      <c r="M29" s="46"/>
    </row>
    <row r="30" spans="1:13" s="37" customFormat="1" x14ac:dyDescent="0.4">
      <c r="A30" s="39"/>
      <c r="B30" s="40"/>
      <c r="C30" s="41"/>
      <c r="D30" s="41"/>
      <c r="E30" s="41"/>
      <c r="F30" s="42"/>
      <c r="G30" s="41"/>
      <c r="H30" s="43">
        <f t="shared" si="2"/>
        <v>0</v>
      </c>
      <c r="I30" s="44" t="str">
        <f t="shared" si="0"/>
        <v/>
      </c>
      <c r="J30" s="45">
        <f t="shared" si="3"/>
        <v>0</v>
      </c>
      <c r="K30" s="44" t="str">
        <f t="shared" si="1"/>
        <v/>
      </c>
      <c r="L30" s="41"/>
      <c r="M30" s="46"/>
    </row>
    <row r="31" spans="1:13" s="37" customFormat="1" x14ac:dyDescent="0.4">
      <c r="A31" s="39"/>
      <c r="B31" s="40"/>
      <c r="C31" s="41"/>
      <c r="D31" s="41"/>
      <c r="E31" s="41"/>
      <c r="F31" s="42"/>
      <c r="G31" s="41"/>
      <c r="H31" s="43">
        <f t="shared" si="2"/>
        <v>0</v>
      </c>
      <c r="I31" s="44" t="str">
        <f t="shared" si="0"/>
        <v/>
      </c>
      <c r="J31" s="45">
        <f t="shared" si="3"/>
        <v>0</v>
      </c>
      <c r="K31" s="44" t="str">
        <f t="shared" si="1"/>
        <v/>
      </c>
      <c r="L31" s="41"/>
      <c r="M31" s="46"/>
    </row>
    <row r="32" spans="1:13" s="37" customFormat="1" x14ac:dyDescent="0.4">
      <c r="A32" s="39"/>
      <c r="B32" s="40"/>
      <c r="C32" s="41"/>
      <c r="D32" s="41"/>
      <c r="E32" s="41"/>
      <c r="F32" s="42"/>
      <c r="G32" s="41"/>
      <c r="H32" s="43">
        <f t="shared" si="2"/>
        <v>0</v>
      </c>
      <c r="I32" s="44" t="str">
        <f t="shared" si="0"/>
        <v/>
      </c>
      <c r="J32" s="45">
        <f t="shared" si="3"/>
        <v>0</v>
      </c>
      <c r="K32" s="44" t="str">
        <f t="shared" si="1"/>
        <v/>
      </c>
      <c r="L32" s="41"/>
      <c r="M32" s="46"/>
    </row>
    <row r="33" spans="1:255" s="37" customFormat="1" x14ac:dyDescent="0.4">
      <c r="A33" s="39"/>
      <c r="B33" s="40"/>
      <c r="C33" s="41"/>
      <c r="D33" s="41"/>
      <c r="E33" s="41"/>
      <c r="F33" s="42"/>
      <c r="G33" s="41"/>
      <c r="H33" s="43">
        <f t="shared" si="2"/>
        <v>0</v>
      </c>
      <c r="I33" s="44" t="str">
        <f t="shared" si="0"/>
        <v/>
      </c>
      <c r="J33" s="45">
        <f t="shared" si="3"/>
        <v>0</v>
      </c>
      <c r="K33" s="44" t="str">
        <f t="shared" si="1"/>
        <v/>
      </c>
      <c r="L33" s="41"/>
      <c r="M33" s="46"/>
    </row>
    <row r="34" spans="1:255" s="37" customFormat="1" x14ac:dyDescent="0.4">
      <c r="A34" s="39"/>
      <c r="B34" s="40"/>
      <c r="C34" s="41"/>
      <c r="D34" s="41"/>
      <c r="E34" s="41"/>
      <c r="F34" s="42"/>
      <c r="G34" s="41"/>
      <c r="H34" s="43">
        <f t="shared" si="2"/>
        <v>0</v>
      </c>
      <c r="I34" s="44" t="str">
        <f t="shared" si="0"/>
        <v/>
      </c>
      <c r="J34" s="45">
        <f t="shared" si="3"/>
        <v>0</v>
      </c>
      <c r="K34" s="44" t="str">
        <f t="shared" si="1"/>
        <v/>
      </c>
      <c r="L34" s="41"/>
      <c r="M34" s="46"/>
    </row>
    <row r="35" spans="1:255" s="37" customFormat="1" x14ac:dyDescent="0.4">
      <c r="A35" s="39"/>
      <c r="B35" s="40"/>
      <c r="C35" s="41"/>
      <c r="D35" s="41"/>
      <c r="E35" s="41"/>
      <c r="F35" s="42"/>
      <c r="G35" s="41"/>
      <c r="H35" s="43">
        <f t="shared" si="2"/>
        <v>0</v>
      </c>
      <c r="I35" s="44" t="str">
        <f t="shared" si="0"/>
        <v/>
      </c>
      <c r="J35" s="45">
        <f t="shared" si="3"/>
        <v>0</v>
      </c>
      <c r="K35" s="44" t="str">
        <f t="shared" si="1"/>
        <v/>
      </c>
      <c r="L35" s="41"/>
      <c r="M35" s="46"/>
    </row>
    <row r="36" spans="1:255" ht="12" thickBot="1" x14ac:dyDescent="0.5">
      <c r="A36" s="47" t="s">
        <v>4</v>
      </c>
      <c r="B36" s="48"/>
      <c r="C36" s="49"/>
      <c r="D36" s="49"/>
      <c r="E36" s="49"/>
      <c r="F36" s="49"/>
      <c r="G36" s="49"/>
      <c r="H36" s="49">
        <f>SUM(H6:H35)</f>
        <v>0</v>
      </c>
      <c r="I36" s="50"/>
      <c r="J36" s="51">
        <f>SUM(J6:J35)</f>
        <v>0</v>
      </c>
      <c r="K36" s="50"/>
      <c r="L36" s="49"/>
      <c r="M36" s="52"/>
    </row>
    <row r="37" spans="1:255" ht="12" thickBot="1" x14ac:dyDescent="0.5">
      <c r="L37" s="64"/>
      <c r="M37" s="64"/>
    </row>
    <row r="38" spans="1:255" s="190" customFormat="1" ht="31.2" thickTop="1" thickBot="1" x14ac:dyDescent="1.1499999999999999">
      <c r="A38" s="189" t="s">
        <v>107</v>
      </c>
    </row>
    <row r="39" spans="1:255" s="30" customFormat="1" ht="58.5" x14ac:dyDescent="0.45">
      <c r="A39" s="237" t="s">
        <v>17</v>
      </c>
      <c r="B39" s="239" t="s">
        <v>27</v>
      </c>
      <c r="C39" s="239" t="s">
        <v>28</v>
      </c>
      <c r="D39" s="239" t="s">
        <v>6</v>
      </c>
      <c r="E39" s="26" t="s">
        <v>49</v>
      </c>
      <c r="F39" s="26" t="s">
        <v>26</v>
      </c>
      <c r="G39" s="26" t="s">
        <v>20</v>
      </c>
      <c r="H39" s="27" t="s">
        <v>30</v>
      </c>
      <c r="I39" s="27"/>
      <c r="J39" s="27" t="s">
        <v>31</v>
      </c>
      <c r="K39" s="27"/>
      <c r="L39" s="231" t="s">
        <v>67</v>
      </c>
      <c r="M39" s="233" t="s">
        <v>66</v>
      </c>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row>
    <row r="40" spans="1:255" s="30" customFormat="1" ht="14.25" customHeight="1" x14ac:dyDescent="0.45">
      <c r="A40" s="238"/>
      <c r="B40" s="240"/>
      <c r="C40" s="240"/>
      <c r="D40" s="240"/>
      <c r="E40" s="31" t="s">
        <v>3</v>
      </c>
      <c r="F40" s="31" t="s">
        <v>2</v>
      </c>
      <c r="G40" s="31" t="s">
        <v>23</v>
      </c>
      <c r="H40" s="31" t="s">
        <v>0</v>
      </c>
      <c r="I40" s="31" t="s">
        <v>2</v>
      </c>
      <c r="J40" s="31" t="s">
        <v>1</v>
      </c>
      <c r="K40" s="31" t="s">
        <v>2</v>
      </c>
      <c r="L40" s="232"/>
      <c r="M40" s="234"/>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row>
    <row r="41" spans="1:255" s="38" customFormat="1" x14ac:dyDescent="0.4">
      <c r="A41" s="53" t="s">
        <v>36</v>
      </c>
      <c r="B41" s="54" t="s">
        <v>37</v>
      </c>
      <c r="C41" s="55" t="s">
        <v>40</v>
      </c>
      <c r="D41" s="55">
        <v>2</v>
      </c>
      <c r="E41" s="55">
        <v>25</v>
      </c>
      <c r="F41" s="56">
        <v>0.75</v>
      </c>
      <c r="G41" s="55">
        <f>24*365</f>
        <v>8760</v>
      </c>
      <c r="H41" s="33">
        <f>D41*E41*F41*G41</f>
        <v>328500</v>
      </c>
      <c r="I41" s="34" t="s">
        <v>5</v>
      </c>
      <c r="J41" s="35">
        <f>H41*0.14</f>
        <v>45990.000000000007</v>
      </c>
      <c r="K41" s="34" t="s">
        <v>5</v>
      </c>
      <c r="L41" s="55" t="s">
        <v>74</v>
      </c>
      <c r="M41" s="57" t="s">
        <v>75</v>
      </c>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row>
    <row r="42" spans="1:255" s="150" customFormat="1" ht="12" thickBot="1" x14ac:dyDescent="0.5">
      <c r="A42" s="151" t="s">
        <v>4</v>
      </c>
      <c r="B42" s="152"/>
      <c r="C42" s="144"/>
      <c r="D42" s="144"/>
      <c r="E42" s="144"/>
      <c r="F42" s="144"/>
      <c r="G42" s="144"/>
      <c r="H42" s="144">
        <f>H41</f>
        <v>328500</v>
      </c>
      <c r="I42" s="145"/>
      <c r="J42" s="147">
        <f>J41</f>
        <v>45990.000000000007</v>
      </c>
      <c r="K42" s="145"/>
      <c r="L42" s="144"/>
      <c r="M42" s="149"/>
    </row>
    <row r="47" spans="1:255" s="64" customFormat="1" x14ac:dyDescent="0.45">
      <c r="L47" s="29"/>
      <c r="M47" s="29"/>
    </row>
    <row r="48" spans="1:255" s="64" customFormat="1" x14ac:dyDescent="0.45">
      <c r="L48" s="29"/>
      <c r="M48" s="29"/>
    </row>
  </sheetData>
  <mergeCells count="13">
    <mergeCell ref="M39:M40"/>
    <mergeCell ref="A39:A40"/>
    <mergeCell ref="B39:B40"/>
    <mergeCell ref="C39:C40"/>
    <mergeCell ref="D39:D40"/>
    <mergeCell ref="L39:L40"/>
    <mergeCell ref="L4:L5"/>
    <mergeCell ref="M4:M5"/>
    <mergeCell ref="C1:F1"/>
    <mergeCell ref="A4:A5"/>
    <mergeCell ref="C4:C5"/>
    <mergeCell ref="B4:B5"/>
    <mergeCell ref="D4:D5"/>
  </mergeCells>
  <phoneticPr fontId="1" type="noConversion"/>
  <pageMargins left="0.75" right="0.75" top="1" bottom="1"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pageSetUpPr autoPageBreaks="0"/>
  </sheetPr>
  <dimension ref="A1:IV38"/>
  <sheetViews>
    <sheetView showGridLines="0" zoomScaleNormal="100" workbookViewId="0">
      <pane ySplit="5" topLeftCell="A21" activePane="bottomLeft" state="frozen"/>
      <selection activeCell="A2" sqref="A2"/>
      <selection pane="bottomLeft" activeCell="I37" sqref="I37"/>
    </sheetView>
  </sheetViews>
  <sheetFormatPr defaultColWidth="9.1640625" defaultRowHeight="10.5" x14ac:dyDescent="0.4"/>
  <cols>
    <col min="1" max="1" width="23.44140625" style="23" customWidth="1"/>
    <col min="2" max="2" width="8.83203125" style="23" customWidth="1"/>
    <col min="3" max="3" width="24" style="23" customWidth="1"/>
    <col min="4" max="4" width="11.27734375" style="23" customWidth="1"/>
    <col min="5" max="5" width="8.1640625" style="23" customWidth="1"/>
    <col min="6" max="6" width="8.83203125" style="23" customWidth="1"/>
    <col min="7" max="7" width="10.44140625" style="23" customWidth="1"/>
    <col min="8" max="8" width="6.44140625" style="23" customWidth="1"/>
    <col min="9" max="9" width="10.44140625" style="23" customWidth="1"/>
    <col min="10" max="10" width="6.44140625" style="23" customWidth="1"/>
    <col min="11" max="11" width="23.44140625" style="23" customWidth="1"/>
    <col min="12" max="12" width="22" style="23" customWidth="1"/>
    <col min="13" max="13" width="14.27734375" style="23" customWidth="1"/>
    <col min="14" max="16384" width="9.1640625" style="23"/>
  </cols>
  <sheetData>
    <row r="1" spans="1:256" s="18" customFormat="1" ht="51.75" customHeight="1" x14ac:dyDescent="0.7">
      <c r="C1" s="235" t="s">
        <v>35</v>
      </c>
      <c r="D1" s="236"/>
      <c r="E1" s="236"/>
      <c r="F1" s="182"/>
      <c r="G1" s="184"/>
      <c r="H1" s="184"/>
      <c r="I1" s="184"/>
      <c r="J1" s="184"/>
      <c r="K1" s="19"/>
      <c r="L1" s="19"/>
      <c r="AD1" s="20"/>
      <c r="AE1" s="20"/>
      <c r="AF1" s="20"/>
      <c r="AG1" s="20"/>
      <c r="AH1" s="21"/>
      <c r="AI1" s="21"/>
      <c r="AJ1" s="21"/>
      <c r="AK1" s="21"/>
      <c r="AL1" s="21"/>
      <c r="AM1" s="22"/>
      <c r="AN1" s="22"/>
      <c r="AO1" s="22"/>
      <c r="AP1" s="22"/>
      <c r="AQ1" s="22"/>
      <c r="AR1" s="21"/>
      <c r="AS1" s="21"/>
    </row>
    <row r="2" spans="1:256" ht="15" customHeight="1" x14ac:dyDescent="0.5">
      <c r="A2" s="188" t="s">
        <v>106</v>
      </c>
      <c r="F2" s="185"/>
      <c r="G2" s="185"/>
      <c r="H2" s="185"/>
      <c r="I2" s="185"/>
      <c r="J2" s="185"/>
      <c r="K2" s="24"/>
      <c r="L2" s="24"/>
    </row>
    <row r="3" spans="1:256" ht="3" customHeight="1" thickBot="1" x14ac:dyDescent="0.45"/>
    <row r="4" spans="1:256" s="30" customFormat="1" ht="58.5" x14ac:dyDescent="0.45">
      <c r="A4" s="237" t="s">
        <v>17</v>
      </c>
      <c r="B4" s="239" t="s">
        <v>27</v>
      </c>
      <c r="C4" s="239" t="s">
        <v>28</v>
      </c>
      <c r="D4" s="26" t="s">
        <v>48</v>
      </c>
      <c r="E4" s="26" t="s">
        <v>26</v>
      </c>
      <c r="F4" s="26" t="s">
        <v>20</v>
      </c>
      <c r="G4" s="27" t="s">
        <v>30</v>
      </c>
      <c r="H4" s="27"/>
      <c r="I4" s="27" t="s">
        <v>31</v>
      </c>
      <c r="J4" s="28"/>
      <c r="K4" s="231" t="s">
        <v>67</v>
      </c>
      <c r="L4" s="233" t="s">
        <v>66</v>
      </c>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30" customFormat="1" ht="14.25" customHeight="1" x14ac:dyDescent="0.45">
      <c r="A5" s="238"/>
      <c r="B5" s="240"/>
      <c r="C5" s="240"/>
      <c r="D5" s="31" t="s">
        <v>3</v>
      </c>
      <c r="E5" s="31" t="s">
        <v>2</v>
      </c>
      <c r="F5" s="31" t="s">
        <v>23</v>
      </c>
      <c r="G5" s="31" t="s">
        <v>0</v>
      </c>
      <c r="H5" s="31" t="s">
        <v>2</v>
      </c>
      <c r="I5" s="31" t="s">
        <v>1</v>
      </c>
      <c r="J5" s="32" t="s">
        <v>2</v>
      </c>
      <c r="K5" s="232"/>
      <c r="L5" s="234"/>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7" customFormat="1" ht="11.7" x14ac:dyDescent="0.4">
      <c r="A6" s="39"/>
      <c r="B6" s="40"/>
      <c r="C6" s="41"/>
      <c r="D6" s="41"/>
      <c r="E6" s="42"/>
      <c r="F6" s="41"/>
      <c r="G6" s="43">
        <f>D6*E6*F6</f>
        <v>0</v>
      </c>
      <c r="H6" s="44" t="str">
        <f>IF(ISERROR(G6/G$26),"",G6/G$26)</f>
        <v/>
      </c>
      <c r="I6" s="45">
        <f>G6*ElecPrice</f>
        <v>0</v>
      </c>
      <c r="J6" s="44" t="str">
        <f>IF(ISERROR(I6/I$26),"",I6/I$26)</f>
        <v/>
      </c>
      <c r="K6" s="41"/>
      <c r="L6" s="46"/>
    </row>
    <row r="7" spans="1:256" s="37" customFormat="1" ht="11.7" x14ac:dyDescent="0.4">
      <c r="A7" s="39"/>
      <c r="B7" s="40"/>
      <c r="C7" s="41"/>
      <c r="D7" s="41"/>
      <c r="E7" s="42"/>
      <c r="F7" s="41"/>
      <c r="G7" s="43">
        <f t="shared" ref="G7:G25" si="0">D7*E7*F7</f>
        <v>0</v>
      </c>
      <c r="H7" s="44" t="str">
        <f t="shared" ref="H7:H25" si="1">IF(ISERROR(G7/G$26),"",G7/G$26)</f>
        <v/>
      </c>
      <c r="I7" s="45">
        <f t="shared" ref="I7:I25" si="2">G7*ElecPrice</f>
        <v>0</v>
      </c>
      <c r="J7" s="44" t="str">
        <f t="shared" ref="J7:J25" si="3">IF(ISERROR(I7/I$26),"",I7/I$26)</f>
        <v/>
      </c>
      <c r="K7" s="41"/>
      <c r="L7" s="46"/>
    </row>
    <row r="8" spans="1:256" s="37" customFormat="1" ht="11.7" x14ac:dyDescent="0.4">
      <c r="A8" s="39"/>
      <c r="B8" s="40"/>
      <c r="C8" s="41"/>
      <c r="D8" s="41"/>
      <c r="E8" s="42"/>
      <c r="F8" s="41"/>
      <c r="G8" s="43">
        <f t="shared" si="0"/>
        <v>0</v>
      </c>
      <c r="H8" s="44" t="str">
        <f t="shared" si="1"/>
        <v/>
      </c>
      <c r="I8" s="45">
        <f t="shared" si="2"/>
        <v>0</v>
      </c>
      <c r="J8" s="44" t="str">
        <f t="shared" si="3"/>
        <v/>
      </c>
      <c r="K8" s="41"/>
      <c r="L8" s="46"/>
    </row>
    <row r="9" spans="1:256" s="37" customFormat="1" ht="11.7" x14ac:dyDescent="0.4">
      <c r="A9" s="39"/>
      <c r="B9" s="40"/>
      <c r="C9" s="41"/>
      <c r="D9" s="41"/>
      <c r="E9" s="42"/>
      <c r="F9" s="41"/>
      <c r="G9" s="43">
        <f t="shared" si="0"/>
        <v>0</v>
      </c>
      <c r="H9" s="44" t="str">
        <f t="shared" si="1"/>
        <v/>
      </c>
      <c r="I9" s="45">
        <f t="shared" si="2"/>
        <v>0</v>
      </c>
      <c r="J9" s="44" t="str">
        <f t="shared" si="3"/>
        <v/>
      </c>
      <c r="K9" s="41"/>
      <c r="L9" s="46"/>
    </row>
    <row r="10" spans="1:256" s="37" customFormat="1" ht="11.7" x14ac:dyDescent="0.4">
      <c r="A10" s="39"/>
      <c r="B10" s="40"/>
      <c r="C10" s="41"/>
      <c r="D10" s="41"/>
      <c r="E10" s="42"/>
      <c r="F10" s="41"/>
      <c r="G10" s="43">
        <f t="shared" si="0"/>
        <v>0</v>
      </c>
      <c r="H10" s="44" t="str">
        <f t="shared" si="1"/>
        <v/>
      </c>
      <c r="I10" s="45">
        <f t="shared" si="2"/>
        <v>0</v>
      </c>
      <c r="J10" s="44" t="str">
        <f t="shared" si="3"/>
        <v/>
      </c>
      <c r="K10" s="41"/>
      <c r="L10" s="46"/>
    </row>
    <row r="11" spans="1:256" s="37" customFormat="1" ht="11.7" x14ac:dyDescent="0.4">
      <c r="A11" s="39"/>
      <c r="B11" s="40"/>
      <c r="C11" s="41"/>
      <c r="D11" s="41"/>
      <c r="E11" s="42"/>
      <c r="F11" s="41"/>
      <c r="G11" s="43">
        <f t="shared" si="0"/>
        <v>0</v>
      </c>
      <c r="H11" s="44" t="str">
        <f t="shared" si="1"/>
        <v/>
      </c>
      <c r="I11" s="45">
        <f t="shared" si="2"/>
        <v>0</v>
      </c>
      <c r="J11" s="44" t="str">
        <f t="shared" si="3"/>
        <v/>
      </c>
      <c r="K11" s="41"/>
      <c r="L11" s="46"/>
    </row>
    <row r="12" spans="1:256" s="37" customFormat="1" ht="11.7" x14ac:dyDescent="0.4">
      <c r="A12" s="39"/>
      <c r="B12" s="40"/>
      <c r="C12" s="41"/>
      <c r="D12" s="41"/>
      <c r="E12" s="42"/>
      <c r="F12" s="41"/>
      <c r="G12" s="43">
        <f t="shared" si="0"/>
        <v>0</v>
      </c>
      <c r="H12" s="44" t="str">
        <f t="shared" si="1"/>
        <v/>
      </c>
      <c r="I12" s="45">
        <f t="shared" si="2"/>
        <v>0</v>
      </c>
      <c r="J12" s="44" t="str">
        <f t="shared" si="3"/>
        <v/>
      </c>
      <c r="K12" s="41"/>
      <c r="L12" s="46"/>
    </row>
    <row r="13" spans="1:256" s="37" customFormat="1" ht="11.7" x14ac:dyDescent="0.4">
      <c r="A13" s="39"/>
      <c r="B13" s="40"/>
      <c r="C13" s="41"/>
      <c r="D13" s="41"/>
      <c r="E13" s="42"/>
      <c r="F13" s="41"/>
      <c r="G13" s="43">
        <f t="shared" si="0"/>
        <v>0</v>
      </c>
      <c r="H13" s="44" t="str">
        <f t="shared" si="1"/>
        <v/>
      </c>
      <c r="I13" s="45">
        <f t="shared" si="2"/>
        <v>0</v>
      </c>
      <c r="J13" s="44" t="str">
        <f t="shared" si="3"/>
        <v/>
      </c>
      <c r="K13" s="41"/>
      <c r="L13" s="46"/>
    </row>
    <row r="14" spans="1:256" s="37" customFormat="1" ht="11.7" x14ac:dyDescent="0.4">
      <c r="A14" s="39"/>
      <c r="B14" s="40"/>
      <c r="C14" s="41"/>
      <c r="D14" s="41"/>
      <c r="E14" s="42"/>
      <c r="F14" s="41"/>
      <c r="G14" s="43">
        <f t="shared" si="0"/>
        <v>0</v>
      </c>
      <c r="H14" s="44" t="str">
        <f t="shared" si="1"/>
        <v/>
      </c>
      <c r="I14" s="45">
        <f t="shared" si="2"/>
        <v>0</v>
      </c>
      <c r="J14" s="44" t="str">
        <f t="shared" si="3"/>
        <v/>
      </c>
      <c r="K14" s="41"/>
      <c r="L14" s="46"/>
    </row>
    <row r="15" spans="1:256" s="37" customFormat="1" ht="11.7" x14ac:dyDescent="0.4">
      <c r="A15" s="39"/>
      <c r="B15" s="40"/>
      <c r="C15" s="41"/>
      <c r="D15" s="41"/>
      <c r="E15" s="42"/>
      <c r="F15" s="41"/>
      <c r="G15" s="43">
        <f t="shared" si="0"/>
        <v>0</v>
      </c>
      <c r="H15" s="44" t="str">
        <f t="shared" si="1"/>
        <v/>
      </c>
      <c r="I15" s="45">
        <f t="shared" si="2"/>
        <v>0</v>
      </c>
      <c r="J15" s="44" t="str">
        <f t="shared" si="3"/>
        <v/>
      </c>
      <c r="K15" s="41"/>
      <c r="L15" s="46"/>
    </row>
    <row r="16" spans="1:256" s="37" customFormat="1" ht="11.7" x14ac:dyDescent="0.4">
      <c r="A16" s="39"/>
      <c r="B16" s="40"/>
      <c r="C16" s="41"/>
      <c r="D16" s="41"/>
      <c r="E16" s="42"/>
      <c r="F16" s="41"/>
      <c r="G16" s="43">
        <f t="shared" si="0"/>
        <v>0</v>
      </c>
      <c r="H16" s="44" t="str">
        <f t="shared" si="1"/>
        <v/>
      </c>
      <c r="I16" s="45">
        <f t="shared" si="2"/>
        <v>0</v>
      </c>
      <c r="J16" s="44" t="str">
        <f t="shared" si="3"/>
        <v/>
      </c>
      <c r="K16" s="41"/>
      <c r="L16" s="46"/>
    </row>
    <row r="17" spans="1:256" s="37" customFormat="1" ht="11.7" x14ac:dyDescent="0.4">
      <c r="A17" s="39"/>
      <c r="B17" s="40"/>
      <c r="C17" s="41"/>
      <c r="D17" s="41"/>
      <c r="E17" s="42"/>
      <c r="F17" s="41"/>
      <c r="G17" s="43">
        <f t="shared" si="0"/>
        <v>0</v>
      </c>
      <c r="H17" s="44" t="str">
        <f t="shared" si="1"/>
        <v/>
      </c>
      <c r="I17" s="45">
        <f t="shared" si="2"/>
        <v>0</v>
      </c>
      <c r="J17" s="44" t="str">
        <f t="shared" si="3"/>
        <v/>
      </c>
      <c r="K17" s="41"/>
      <c r="L17" s="46"/>
    </row>
    <row r="18" spans="1:256" s="37" customFormat="1" ht="11.7" x14ac:dyDescent="0.4">
      <c r="A18" s="39"/>
      <c r="B18" s="40"/>
      <c r="C18" s="41"/>
      <c r="D18" s="41"/>
      <c r="E18" s="42"/>
      <c r="F18" s="41"/>
      <c r="G18" s="43">
        <f t="shared" si="0"/>
        <v>0</v>
      </c>
      <c r="H18" s="44" t="str">
        <f t="shared" si="1"/>
        <v/>
      </c>
      <c r="I18" s="45">
        <f t="shared" si="2"/>
        <v>0</v>
      </c>
      <c r="J18" s="44" t="str">
        <f t="shared" si="3"/>
        <v/>
      </c>
      <c r="K18" s="41"/>
      <c r="L18" s="46"/>
    </row>
    <row r="19" spans="1:256" s="37" customFormat="1" ht="11.7" x14ac:dyDescent="0.4">
      <c r="A19" s="39"/>
      <c r="B19" s="40"/>
      <c r="C19" s="41"/>
      <c r="D19" s="41"/>
      <c r="E19" s="42"/>
      <c r="F19" s="41"/>
      <c r="G19" s="43">
        <f t="shared" si="0"/>
        <v>0</v>
      </c>
      <c r="H19" s="44" t="str">
        <f t="shared" si="1"/>
        <v/>
      </c>
      <c r="I19" s="45">
        <f t="shared" si="2"/>
        <v>0</v>
      </c>
      <c r="J19" s="44" t="str">
        <f t="shared" si="3"/>
        <v/>
      </c>
      <c r="K19" s="41"/>
      <c r="L19" s="46"/>
    </row>
    <row r="20" spans="1:256" s="37" customFormat="1" ht="11.7" x14ac:dyDescent="0.4">
      <c r="A20" s="39"/>
      <c r="B20" s="40"/>
      <c r="C20" s="41"/>
      <c r="D20" s="41"/>
      <c r="E20" s="42"/>
      <c r="F20" s="41"/>
      <c r="G20" s="43">
        <f t="shared" si="0"/>
        <v>0</v>
      </c>
      <c r="H20" s="44" t="str">
        <f t="shared" si="1"/>
        <v/>
      </c>
      <c r="I20" s="45">
        <f t="shared" si="2"/>
        <v>0</v>
      </c>
      <c r="J20" s="44" t="str">
        <f t="shared" si="3"/>
        <v/>
      </c>
      <c r="K20" s="41"/>
      <c r="L20" s="46"/>
    </row>
    <row r="21" spans="1:256" s="37" customFormat="1" ht="11.7" x14ac:dyDescent="0.4">
      <c r="A21" s="39"/>
      <c r="B21" s="40"/>
      <c r="C21" s="41"/>
      <c r="D21" s="41"/>
      <c r="E21" s="42"/>
      <c r="F21" s="41"/>
      <c r="G21" s="43">
        <f t="shared" si="0"/>
        <v>0</v>
      </c>
      <c r="H21" s="44" t="str">
        <f t="shared" si="1"/>
        <v/>
      </c>
      <c r="I21" s="45">
        <f t="shared" si="2"/>
        <v>0</v>
      </c>
      <c r="J21" s="44" t="str">
        <f t="shared" si="3"/>
        <v/>
      </c>
      <c r="K21" s="41"/>
      <c r="L21" s="46"/>
    </row>
    <row r="22" spans="1:256" s="37" customFormat="1" ht="11.7" x14ac:dyDescent="0.4">
      <c r="A22" s="39"/>
      <c r="B22" s="40"/>
      <c r="C22" s="41"/>
      <c r="D22" s="41"/>
      <c r="E22" s="42"/>
      <c r="F22" s="41"/>
      <c r="G22" s="43">
        <f t="shared" si="0"/>
        <v>0</v>
      </c>
      <c r="H22" s="44" t="str">
        <f t="shared" si="1"/>
        <v/>
      </c>
      <c r="I22" s="45">
        <f t="shared" si="2"/>
        <v>0</v>
      </c>
      <c r="J22" s="44" t="str">
        <f t="shared" si="3"/>
        <v/>
      </c>
      <c r="K22" s="41"/>
      <c r="L22" s="46"/>
    </row>
    <row r="23" spans="1:256" s="37" customFormat="1" ht="11.7" x14ac:dyDescent="0.4">
      <c r="A23" s="39"/>
      <c r="B23" s="40"/>
      <c r="C23" s="41"/>
      <c r="D23" s="41"/>
      <c r="E23" s="42"/>
      <c r="F23" s="41"/>
      <c r="G23" s="43">
        <f t="shared" si="0"/>
        <v>0</v>
      </c>
      <c r="H23" s="44" t="str">
        <f t="shared" si="1"/>
        <v/>
      </c>
      <c r="I23" s="45">
        <f t="shared" si="2"/>
        <v>0</v>
      </c>
      <c r="J23" s="44" t="str">
        <f t="shared" si="3"/>
        <v/>
      </c>
      <c r="K23" s="41"/>
      <c r="L23" s="46"/>
    </row>
    <row r="24" spans="1:256" s="37" customFormat="1" ht="11.7" x14ac:dyDescent="0.4">
      <c r="A24" s="39"/>
      <c r="B24" s="40"/>
      <c r="C24" s="41"/>
      <c r="D24" s="41"/>
      <c r="E24" s="42"/>
      <c r="F24" s="41"/>
      <c r="G24" s="43">
        <f t="shared" si="0"/>
        <v>0</v>
      </c>
      <c r="H24" s="44" t="str">
        <f t="shared" si="1"/>
        <v/>
      </c>
      <c r="I24" s="45">
        <f t="shared" si="2"/>
        <v>0</v>
      </c>
      <c r="J24" s="44" t="str">
        <f t="shared" si="3"/>
        <v/>
      </c>
      <c r="K24" s="41"/>
      <c r="L24" s="46"/>
    </row>
    <row r="25" spans="1:256" s="37" customFormat="1" ht="11.7" x14ac:dyDescent="0.4">
      <c r="A25" s="39"/>
      <c r="B25" s="40"/>
      <c r="C25" s="41"/>
      <c r="D25" s="41"/>
      <c r="E25" s="42"/>
      <c r="F25" s="41"/>
      <c r="G25" s="43">
        <f t="shared" si="0"/>
        <v>0</v>
      </c>
      <c r="H25" s="44" t="str">
        <f t="shared" si="1"/>
        <v/>
      </c>
      <c r="I25" s="45">
        <f t="shared" si="2"/>
        <v>0</v>
      </c>
      <c r="J25" s="44" t="str">
        <f t="shared" si="3"/>
        <v/>
      </c>
      <c r="K25" s="41"/>
      <c r="L25" s="46"/>
    </row>
    <row r="26" spans="1:256" s="29" customFormat="1" ht="12" thickBot="1" x14ac:dyDescent="0.5">
      <c r="A26" s="47" t="s">
        <v>4</v>
      </c>
      <c r="B26" s="48"/>
      <c r="C26" s="49"/>
      <c r="D26" s="49">
        <f>SUM(D6:D25)</f>
        <v>0</v>
      </c>
      <c r="E26" s="49"/>
      <c r="F26" s="49"/>
      <c r="G26" s="49">
        <f>SUM(G6:G25)</f>
        <v>0</v>
      </c>
      <c r="H26" s="50"/>
      <c r="I26" s="51">
        <f>SUM(I6:I25)</f>
        <v>0</v>
      </c>
      <c r="J26" s="50"/>
      <c r="K26" s="49"/>
      <c r="L26" s="52"/>
    </row>
    <row r="27" spans="1:256" ht="10.8" thickBot="1" x14ac:dyDescent="0.45"/>
    <row r="28" spans="1:256" s="190" customFormat="1" ht="31.2" thickTop="1" thickBot="1" x14ac:dyDescent="1.1499999999999999">
      <c r="A28" s="189" t="s">
        <v>107</v>
      </c>
    </row>
    <row r="29" spans="1:256" s="30" customFormat="1" ht="58.5" x14ac:dyDescent="0.45">
      <c r="A29" s="237" t="s">
        <v>17</v>
      </c>
      <c r="B29" s="239" t="s">
        <v>27</v>
      </c>
      <c r="C29" s="239" t="s">
        <v>28</v>
      </c>
      <c r="D29" s="26" t="s">
        <v>48</v>
      </c>
      <c r="E29" s="26" t="s">
        <v>26</v>
      </c>
      <c r="F29" s="26" t="s">
        <v>20</v>
      </c>
      <c r="G29" s="27" t="s">
        <v>30</v>
      </c>
      <c r="H29" s="27"/>
      <c r="I29" s="27" t="s">
        <v>31</v>
      </c>
      <c r="J29" s="28"/>
      <c r="K29" s="231" t="s">
        <v>67</v>
      </c>
      <c r="L29" s="233" t="s">
        <v>66</v>
      </c>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s="30" customFormat="1" ht="14.25" customHeight="1" x14ac:dyDescent="0.45">
      <c r="A30" s="238"/>
      <c r="B30" s="240"/>
      <c r="C30" s="240"/>
      <c r="D30" s="31" t="s">
        <v>3</v>
      </c>
      <c r="E30" s="31" t="s">
        <v>2</v>
      </c>
      <c r="F30" s="31" t="s">
        <v>23</v>
      </c>
      <c r="G30" s="31" t="s">
        <v>0</v>
      </c>
      <c r="H30" s="31" t="s">
        <v>2</v>
      </c>
      <c r="I30" s="31" t="s">
        <v>1</v>
      </c>
      <c r="J30" s="32" t="s">
        <v>2</v>
      </c>
      <c r="K30" s="232"/>
      <c r="L30" s="234"/>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s="38" customFormat="1" ht="11.7" x14ac:dyDescent="0.4">
      <c r="A31" s="53" t="s">
        <v>36</v>
      </c>
      <c r="B31" s="54" t="s">
        <v>37</v>
      </c>
      <c r="C31" s="55" t="s">
        <v>39</v>
      </c>
      <c r="D31" s="55">
        <v>500</v>
      </c>
      <c r="E31" s="56">
        <v>0.65</v>
      </c>
      <c r="F31" s="55">
        <v>3000</v>
      </c>
      <c r="G31" s="33">
        <f>D31*E31*F31</f>
        <v>975000</v>
      </c>
      <c r="H31" s="34" t="s">
        <v>5</v>
      </c>
      <c r="I31" s="35">
        <f>G31*0.14</f>
        <v>136500</v>
      </c>
      <c r="J31" s="34" t="s">
        <v>5</v>
      </c>
      <c r="K31" s="55" t="s">
        <v>68</v>
      </c>
      <c r="L31" s="57" t="s">
        <v>69</v>
      </c>
      <c r="M31" s="36"/>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s="150" customFormat="1" ht="12" thickBot="1" x14ac:dyDescent="0.5">
      <c r="A32" s="151" t="s">
        <v>4</v>
      </c>
      <c r="B32" s="152"/>
      <c r="C32" s="144"/>
      <c r="D32" s="144">
        <f>D31</f>
        <v>500</v>
      </c>
      <c r="E32" s="144"/>
      <c r="F32" s="144"/>
      <c r="G32" s="144">
        <f>G31</f>
        <v>975000</v>
      </c>
      <c r="H32" s="145"/>
      <c r="I32" s="147">
        <f>I31</f>
        <v>136500</v>
      </c>
      <c r="J32" s="145"/>
      <c r="K32" s="144"/>
      <c r="L32" s="149"/>
    </row>
    <row r="37" spans="13:13" s="25" customFormat="1" x14ac:dyDescent="0.4">
      <c r="M37" s="23"/>
    </row>
    <row r="38" spans="13:13" s="25" customFormat="1" x14ac:dyDescent="0.4">
      <c r="M38" s="23"/>
    </row>
  </sheetData>
  <mergeCells count="11">
    <mergeCell ref="A29:A30"/>
    <mergeCell ref="B29:B30"/>
    <mergeCell ref="C29:C30"/>
    <mergeCell ref="K29:K30"/>
    <mergeCell ref="L29:L30"/>
    <mergeCell ref="A4:A5"/>
    <mergeCell ref="C4:C5"/>
    <mergeCell ref="L4:L5"/>
    <mergeCell ref="C1:E1"/>
    <mergeCell ref="B4:B5"/>
    <mergeCell ref="K4:K5"/>
  </mergeCells>
  <phoneticPr fontId="1" type="noConversion"/>
  <pageMargins left="0.75" right="0.75" top="1" bottom="1" header="0.5" footer="0.5"/>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Intro</vt:lpstr>
      <vt:lpstr>Summary</vt:lpstr>
      <vt:lpstr>EEO</vt:lpstr>
      <vt:lpstr>Lighting</vt:lpstr>
      <vt:lpstr>HVAC</vt:lpstr>
      <vt:lpstr>ICT</vt:lpstr>
      <vt:lpstr>Refrigeration</vt:lpstr>
      <vt:lpstr>Motors &amp; Drives</vt:lpstr>
      <vt:lpstr>Compressed Air</vt:lpstr>
      <vt:lpstr>Other Electrical Equipment</vt:lpstr>
      <vt:lpstr>Boilers</vt:lpstr>
      <vt:lpstr>Other Thermal</vt:lpstr>
      <vt:lpstr>Fleet</vt:lpstr>
      <vt:lpstr>Version</vt:lpstr>
      <vt:lpstr>DieselPrice</vt:lpstr>
      <vt:lpstr>ElecCost</vt:lpstr>
      <vt:lpstr>ElecPrice</vt:lpstr>
      <vt:lpstr>Fuel</vt:lpstr>
      <vt:lpstr>FuelPrice</vt:lpstr>
      <vt:lpstr>PetrolPrice</vt:lpstr>
      <vt:lpstr>Summary!Print_Area</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 p</dc:creator>
  <cp:lastModifiedBy>David Kenington</cp:lastModifiedBy>
  <cp:lastPrinted>2007-09-25T16:42:23Z</cp:lastPrinted>
  <dcterms:created xsi:type="dcterms:W3CDTF">2007-09-17T14:44:40Z</dcterms:created>
  <dcterms:modified xsi:type="dcterms:W3CDTF">2019-04-10T13:46:11Z</dcterms:modified>
</cp:coreProperties>
</file>