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84" windowWidth="22116" windowHeight="9528"/>
  </bookViews>
  <sheets>
    <sheet name="Feuil1" sheetId="1" r:id="rId1"/>
    <sheet name="Feuil2" sheetId="2" r:id="rId2"/>
    <sheet name="Feuil3" sheetId="3" r:id="rId3"/>
  </sheets>
  <calcPr calcId="125725" concurrentCalc="0"/>
</workbook>
</file>

<file path=xl/calcChain.xml><?xml version="1.0" encoding="utf-8"?>
<calcChain xmlns="http://schemas.openxmlformats.org/spreadsheetml/2006/main">
  <c r="AE32" i="1"/>
  <c r="AA32"/>
  <c r="AA12"/>
  <c r="AA49"/>
  <c r="AE76"/>
  <c r="AE75"/>
  <c r="AF78"/>
  <c r="AF77"/>
  <c r="AC76"/>
  <c r="AC75"/>
  <c r="F65"/>
  <c r="F66"/>
  <c r="F67"/>
  <c r="F68"/>
  <c r="F69"/>
  <c r="F70"/>
  <c r="F64"/>
  <c r="G64"/>
  <c r="AE64"/>
  <c r="AB64"/>
  <c r="AF64"/>
  <c r="AB44"/>
  <c r="G65"/>
  <c r="AE65"/>
  <c r="G66"/>
  <c r="AE66"/>
  <c r="G67"/>
  <c r="AE67"/>
  <c r="G68"/>
  <c r="AE68"/>
  <c r="G69"/>
  <c r="AE69"/>
  <c r="G70"/>
  <c r="AE70"/>
  <c r="AB65"/>
  <c r="AC65"/>
  <c r="AB66"/>
  <c r="AC66"/>
  <c r="AB67"/>
  <c r="AC67"/>
  <c r="AB68"/>
  <c r="AC68"/>
  <c r="AB69"/>
  <c r="AC69"/>
  <c r="AB70"/>
  <c r="AC70"/>
  <c r="AB71"/>
  <c r="AC71"/>
  <c r="AC64"/>
  <c r="Y64"/>
  <c r="Y65"/>
  <c r="Y66"/>
  <c r="Y67"/>
  <c r="Y68"/>
  <c r="Y69"/>
  <c r="Y70"/>
  <c r="Y71"/>
  <c r="Z71"/>
  <c r="Z70"/>
  <c r="Z69"/>
  <c r="Z68"/>
  <c r="Z67"/>
  <c r="Z66"/>
  <c r="Z65"/>
  <c r="Z64"/>
  <c r="AA65"/>
  <c r="AA64"/>
  <c r="W65"/>
  <c r="W66"/>
  <c r="W67"/>
  <c r="W68"/>
  <c r="W69"/>
  <c r="W70"/>
  <c r="W71"/>
  <c r="W64"/>
  <c r="U65"/>
  <c r="U66"/>
  <c r="U67"/>
  <c r="U68"/>
  <c r="U69"/>
  <c r="U70"/>
  <c r="U71"/>
  <c r="U64"/>
  <c r="R65"/>
  <c r="R66"/>
  <c r="R67"/>
  <c r="R68"/>
  <c r="R69"/>
  <c r="R64"/>
  <c r="P65"/>
  <c r="P66"/>
  <c r="P67"/>
  <c r="P68"/>
  <c r="P69"/>
  <c r="P64"/>
  <c r="M65"/>
  <c r="M66"/>
  <c r="M67"/>
  <c r="M68"/>
  <c r="M69"/>
  <c r="M64"/>
  <c r="H65"/>
  <c r="H66"/>
  <c r="H67"/>
  <c r="H68"/>
  <c r="H69"/>
  <c r="H70"/>
  <c r="H64"/>
  <c r="L64"/>
  <c r="K64"/>
  <c r="K65"/>
  <c r="K66"/>
  <c r="K67"/>
  <c r="K68"/>
  <c r="K69"/>
  <c r="D44"/>
  <c r="O44"/>
  <c r="V71"/>
  <c r="AD71"/>
  <c r="AA71"/>
  <c r="V70"/>
  <c r="AF70"/>
  <c r="AD70"/>
  <c r="AA70"/>
  <c r="L69"/>
  <c r="Q69"/>
  <c r="V69"/>
  <c r="AF69"/>
  <c r="AD69"/>
  <c r="AA69"/>
  <c r="L68"/>
  <c r="Q68"/>
  <c r="V68"/>
  <c r="AF68"/>
  <c r="AD68"/>
  <c r="AA68"/>
  <c r="L67"/>
  <c r="Q67"/>
  <c r="V67"/>
  <c r="AF67"/>
  <c r="AD67"/>
  <c r="AA67"/>
  <c r="L66"/>
  <c r="Q66"/>
  <c r="V66"/>
  <c r="AF66"/>
  <c r="AD66"/>
  <c r="AA66"/>
  <c r="L65"/>
  <c r="Q65"/>
  <c r="V65"/>
  <c r="AF65"/>
  <c r="AD65"/>
  <c r="Q64"/>
  <c r="V64"/>
  <c r="AD64"/>
  <c r="C65"/>
  <c r="C66"/>
  <c r="C67"/>
  <c r="C68"/>
  <c r="C69"/>
  <c r="C70"/>
  <c r="C71"/>
  <c r="D71"/>
  <c r="D70"/>
  <c r="D69"/>
  <c r="D68"/>
  <c r="D67"/>
  <c r="D66"/>
  <c r="D65"/>
  <c r="D64"/>
  <c r="M44"/>
  <c r="E44"/>
  <c r="I44"/>
  <c r="W44"/>
  <c r="X44"/>
  <c r="U44"/>
  <c r="V44"/>
  <c r="Y44"/>
  <c r="M45"/>
  <c r="E45"/>
  <c r="I45"/>
  <c r="W45"/>
  <c r="X45"/>
  <c r="U45"/>
  <c r="V45"/>
  <c r="Y45"/>
  <c r="M46"/>
  <c r="E46"/>
  <c r="I46"/>
  <c r="W46"/>
  <c r="X46"/>
  <c r="U46"/>
  <c r="V46"/>
  <c r="Y46"/>
  <c r="M47"/>
  <c r="E47"/>
  <c r="I47"/>
  <c r="W47"/>
  <c r="X47"/>
  <c r="U47"/>
  <c r="V47"/>
  <c r="Y47"/>
  <c r="M48"/>
  <c r="E48"/>
  <c r="I48"/>
  <c r="W48"/>
  <c r="X48"/>
  <c r="U48"/>
  <c r="V48"/>
  <c r="Y48"/>
  <c r="Y55"/>
  <c r="AA44"/>
  <c r="AA45"/>
  <c r="AB45"/>
  <c r="AA46"/>
  <c r="AB46"/>
  <c r="AA47"/>
  <c r="AB47"/>
  <c r="AA48"/>
  <c r="AB48"/>
  <c r="AB58"/>
  <c r="AB57"/>
  <c r="AA56"/>
  <c r="Y56"/>
  <c r="AA55"/>
  <c r="Z51"/>
  <c r="Z45"/>
  <c r="Z46"/>
  <c r="Z47"/>
  <c r="Z48"/>
  <c r="Z49"/>
  <c r="Z50"/>
  <c r="Z44"/>
  <c r="M49"/>
  <c r="E49"/>
  <c r="W49"/>
  <c r="M50"/>
  <c r="W50"/>
  <c r="C45"/>
  <c r="D45"/>
  <c r="S45"/>
  <c r="C46"/>
  <c r="D46"/>
  <c r="S46"/>
  <c r="C47"/>
  <c r="D47"/>
  <c r="S47"/>
  <c r="C48"/>
  <c r="D48"/>
  <c r="S48"/>
  <c r="S44"/>
  <c r="O45"/>
  <c r="O46"/>
  <c r="O47"/>
  <c r="O48"/>
  <c r="C49"/>
  <c r="D49"/>
  <c r="O49"/>
  <c r="C50"/>
  <c r="D50"/>
  <c r="O50"/>
  <c r="K48"/>
  <c r="K45"/>
  <c r="K46"/>
  <c r="K47"/>
  <c r="K44"/>
  <c r="G45"/>
  <c r="G46"/>
  <c r="G47"/>
  <c r="G48"/>
  <c r="G49"/>
  <c r="G44"/>
  <c r="U49"/>
  <c r="U50"/>
  <c r="U51"/>
  <c r="V51"/>
  <c r="X50"/>
  <c r="V50"/>
  <c r="Y50"/>
  <c r="X49"/>
  <c r="AB49"/>
  <c r="V49"/>
  <c r="Y49"/>
  <c r="C51"/>
  <c r="D51"/>
  <c r="N25"/>
  <c r="J25"/>
  <c r="F25"/>
  <c r="R25"/>
  <c r="V25"/>
  <c r="AE25"/>
  <c r="AA25"/>
  <c r="AB25"/>
  <c r="AF25"/>
  <c r="N26"/>
  <c r="J26"/>
  <c r="F26"/>
  <c r="R26"/>
  <c r="V26"/>
  <c r="AE26"/>
  <c r="AA26"/>
  <c r="AB26"/>
  <c r="AF26"/>
  <c r="N27"/>
  <c r="J27"/>
  <c r="F27"/>
  <c r="R27"/>
  <c r="V27"/>
  <c r="AE27"/>
  <c r="AA27"/>
  <c r="AB27"/>
  <c r="AF27"/>
  <c r="N28"/>
  <c r="J28"/>
  <c r="F28"/>
  <c r="R28"/>
  <c r="V28"/>
  <c r="AE28"/>
  <c r="AA28"/>
  <c r="AB28"/>
  <c r="AF28"/>
  <c r="AF39"/>
  <c r="AF38"/>
  <c r="AE37"/>
  <c r="AE36"/>
  <c r="Z25"/>
  <c r="AC25"/>
  <c r="Y26"/>
  <c r="Z26"/>
  <c r="AC26"/>
  <c r="Y27"/>
  <c r="Z27"/>
  <c r="AC27"/>
  <c r="Y28"/>
  <c r="Z28"/>
  <c r="AC28"/>
  <c r="AC37"/>
  <c r="AC36"/>
  <c r="J29"/>
  <c r="F29"/>
  <c r="R29"/>
  <c r="V29"/>
  <c r="AE29"/>
  <c r="J30"/>
  <c r="R30"/>
  <c r="V30"/>
  <c r="AE30"/>
  <c r="J31"/>
  <c r="R31"/>
  <c r="AE31"/>
  <c r="J32"/>
  <c r="R32"/>
  <c r="AD26"/>
  <c r="AD27"/>
  <c r="AD28"/>
  <c r="AD29"/>
  <c r="AD30"/>
  <c r="AD31"/>
  <c r="AD32"/>
  <c r="AD25"/>
  <c r="AA29"/>
  <c r="AB29"/>
  <c r="Y29"/>
  <c r="Z29"/>
  <c r="AC29"/>
  <c r="AA30"/>
  <c r="AB30"/>
  <c r="Y30"/>
  <c r="Z30"/>
  <c r="AC30"/>
  <c r="AA31"/>
  <c r="AB31"/>
  <c r="Y31"/>
  <c r="Z31"/>
  <c r="AC31"/>
  <c r="AB32"/>
  <c r="Y32"/>
  <c r="Z32"/>
  <c r="AC32"/>
  <c r="C26"/>
  <c r="D26"/>
  <c r="W26"/>
  <c r="C27"/>
  <c r="D27"/>
  <c r="W27"/>
  <c r="C28"/>
  <c r="D28"/>
  <c r="W28"/>
  <c r="C29"/>
  <c r="D29"/>
  <c r="W29"/>
  <c r="C30"/>
  <c r="D30"/>
  <c r="W30"/>
  <c r="D25"/>
  <c r="W25"/>
  <c r="S26"/>
  <c r="S27"/>
  <c r="S28"/>
  <c r="S29"/>
  <c r="S30"/>
  <c r="C31"/>
  <c r="D31"/>
  <c r="S31"/>
  <c r="C32"/>
  <c r="D32"/>
  <c r="S32"/>
  <c r="S25"/>
  <c r="O26"/>
  <c r="O27"/>
  <c r="O28"/>
  <c r="O25"/>
  <c r="K26"/>
  <c r="K27"/>
  <c r="K28"/>
  <c r="K29"/>
  <c r="K30"/>
  <c r="K31"/>
  <c r="K32"/>
  <c r="K25"/>
  <c r="G26"/>
  <c r="G27"/>
  <c r="G28"/>
  <c r="G29"/>
  <c r="G25"/>
  <c r="AF32"/>
  <c r="AF31"/>
  <c r="AF30"/>
  <c r="AF29"/>
  <c r="W6"/>
  <c r="X6"/>
  <c r="V6"/>
  <c r="Y6"/>
  <c r="W7"/>
  <c r="X7"/>
  <c r="U7"/>
  <c r="V7"/>
  <c r="Y7"/>
  <c r="W8"/>
  <c r="X8"/>
  <c r="U8"/>
  <c r="V8"/>
  <c r="Y8"/>
  <c r="W9"/>
  <c r="X9"/>
  <c r="U9"/>
  <c r="V9"/>
  <c r="Y9"/>
  <c r="W10"/>
  <c r="X10"/>
  <c r="U10"/>
  <c r="V10"/>
  <c r="Y10"/>
  <c r="Y17"/>
  <c r="F6"/>
  <c r="J6"/>
  <c r="N6"/>
  <c r="R6"/>
  <c r="AA6"/>
  <c r="AB6"/>
  <c r="F7"/>
  <c r="J7"/>
  <c r="N7"/>
  <c r="R7"/>
  <c r="AA7"/>
  <c r="AB7"/>
  <c r="F8"/>
  <c r="J8"/>
  <c r="N8"/>
  <c r="R8"/>
  <c r="AA8"/>
  <c r="AB8"/>
  <c r="F9"/>
  <c r="J9"/>
  <c r="N9"/>
  <c r="R9"/>
  <c r="AA9"/>
  <c r="AB9"/>
  <c r="F10"/>
  <c r="J10"/>
  <c r="N10"/>
  <c r="R10"/>
  <c r="AA10"/>
  <c r="AB10"/>
  <c r="AB20"/>
  <c r="AB19"/>
  <c r="AA18"/>
  <c r="AA17"/>
  <c r="Y18"/>
  <c r="C7"/>
  <c r="D7"/>
  <c r="S7"/>
  <c r="C8"/>
  <c r="D8"/>
  <c r="S8"/>
  <c r="C9"/>
  <c r="D9"/>
  <c r="S9"/>
  <c r="C10"/>
  <c r="D10"/>
  <c r="S10"/>
  <c r="D6"/>
  <c r="S6"/>
  <c r="O7"/>
  <c r="O8"/>
  <c r="O9"/>
  <c r="O10"/>
  <c r="N11"/>
  <c r="C11"/>
  <c r="D11"/>
  <c r="O11"/>
  <c r="N12"/>
  <c r="C12"/>
  <c r="D12"/>
  <c r="O12"/>
  <c r="O6"/>
  <c r="K7"/>
  <c r="K8"/>
  <c r="K9"/>
  <c r="K10"/>
  <c r="J11"/>
  <c r="K11"/>
  <c r="J12"/>
  <c r="K12"/>
  <c r="J13"/>
  <c r="C13"/>
  <c r="D13"/>
  <c r="K13"/>
  <c r="K6"/>
  <c r="G6"/>
  <c r="W13"/>
  <c r="X13"/>
  <c r="U11"/>
  <c r="U12"/>
  <c r="U13"/>
  <c r="V13"/>
  <c r="Y13"/>
  <c r="F12"/>
  <c r="W12"/>
  <c r="X12"/>
  <c r="AB12"/>
  <c r="Z12"/>
  <c r="V12"/>
  <c r="Y12"/>
  <c r="G12"/>
  <c r="F11"/>
  <c r="AA11"/>
  <c r="W11"/>
  <c r="X11"/>
  <c r="AB11"/>
  <c r="Z11"/>
  <c r="V11"/>
  <c r="Y11"/>
  <c r="G11"/>
  <c r="Z10"/>
  <c r="G10"/>
  <c r="Z9"/>
  <c r="G9"/>
  <c r="Z8"/>
  <c r="G8"/>
  <c r="Z7"/>
  <c r="G7"/>
  <c r="Z6"/>
</calcChain>
</file>

<file path=xl/sharedStrings.xml><?xml version="1.0" encoding="utf-8"?>
<sst xmlns="http://schemas.openxmlformats.org/spreadsheetml/2006/main" count="438" uniqueCount="55">
  <si>
    <t>MEANS</t>
  </si>
  <si>
    <t>UI/mL</t>
  </si>
  <si>
    <t>log (IU/mL)</t>
  </si>
  <si>
    <t>CMV (IU/mL)</t>
  </si>
  <si>
    <t>CMV (log IU/mL)</t>
  </si>
  <si>
    <t>Diff log IU/mL</t>
  </si>
  <si>
    <t>Ct</t>
  </si>
  <si>
    <t>IU/mL</t>
  </si>
  <si>
    <t>SD (log UI/ml)</t>
  </si>
  <si>
    <t>CV (%)</t>
  </si>
  <si>
    <t>Detection rates</t>
  </si>
  <si>
    <t>Quantification rates</t>
  </si>
  <si>
    <t>&lt;1,80</t>
  </si>
  <si>
    <t>&lt;62</t>
  </si>
  <si>
    <t>&lt;1,8</t>
  </si>
  <si>
    <t>ndt</t>
  </si>
  <si>
    <t>/</t>
  </si>
  <si>
    <t xml:space="preserve"> -</t>
  </si>
  <si>
    <t>CMV Standard WHO</t>
  </si>
  <si>
    <t>Assay 1</t>
  </si>
  <si>
    <t>Assay 2</t>
  </si>
  <si>
    <t>Assay 3</t>
  </si>
  <si>
    <t>Assay 4</t>
  </si>
  <si>
    <t>Abbott m2000</t>
  </si>
  <si>
    <t>WHO CMV/ Abbott m2000</t>
  </si>
  <si>
    <t>mean of diff</t>
  </si>
  <si>
    <t>SD on diff</t>
  </si>
  <si>
    <t>Accuracy</t>
  </si>
  <si>
    <t>Precision</t>
  </si>
  <si>
    <t>SD of SD</t>
  </si>
  <si>
    <t>SD of CV</t>
  </si>
  <si>
    <t>mean of SD</t>
  </si>
  <si>
    <t>mean of CV</t>
  </si>
  <si>
    <t>WHO CMV/ Starlet-Diagenode</t>
  </si>
  <si>
    <t>Starlet - Diagenode</t>
  </si>
  <si>
    <t>SD (log IU/mL)</t>
  </si>
  <si>
    <t>Assay 5</t>
  </si>
  <si>
    <t>WHO EBV/ Abbott m2000</t>
  </si>
  <si>
    <t>EBV (UI/mL)</t>
  </si>
  <si>
    <t>EBV (log UI/mL)</t>
  </si>
  <si>
    <t>Diff log UI/mL</t>
  </si>
  <si>
    <t>&lt;150</t>
  </si>
  <si>
    <t>&lt;2,18</t>
  </si>
  <si>
    <t>log (UI/mL)</t>
  </si>
  <si>
    <t>EBV (IU/mL)</t>
  </si>
  <si>
    <t>EBV (log IU/mL)</t>
  </si>
  <si>
    <t>Diff (log UI/mL)</t>
  </si>
  <si>
    <t>CV(%)</t>
  </si>
  <si>
    <t>EBV Standard WHO</t>
  </si>
  <si>
    <t>EBV (Cop/mL)</t>
  </si>
  <si>
    <t xml:space="preserve"> /</t>
  </si>
  <si>
    <t>WHO EBV/ Starlet-Diagenode</t>
  </si>
  <si>
    <t>Neg</t>
  </si>
  <si>
    <t>Ndt</t>
  </si>
  <si>
    <t xml:space="preserve"> = under the announced limit of quantification</t>
  </si>
</sst>
</file>

<file path=xl/styles.xml><?xml version="1.0" encoding="utf-8"?>
<styleSheet xmlns="http://schemas.openxmlformats.org/spreadsheetml/2006/main">
  <numFmts count="1">
    <numFmt numFmtId="164" formatCode="&quot;&lt; &quot;General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6" xfId="0" applyFill="1" applyBorder="1" applyAlignment="1">
      <alignment horizontal="center" wrapText="1"/>
    </xf>
    <xf numFmtId="0" fontId="0" fillId="0" borderId="4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1" fontId="0" fillId="0" borderId="0" xfId="0" applyNumberFormat="1" applyBorder="1"/>
    <xf numFmtId="2" fontId="0" fillId="0" borderId="5" xfId="0" applyNumberFormat="1" applyBorder="1"/>
    <xf numFmtId="1" fontId="0" fillId="0" borderId="0" xfId="0" applyNumberFormat="1" applyBorder="1" applyAlignment="1">
      <alignment horizontal="right"/>
    </xf>
    <xf numFmtId="2" fontId="0" fillId="0" borderId="7" xfId="0" applyNumberFormat="1" applyBorder="1"/>
    <xf numFmtId="9" fontId="0" fillId="0" borderId="7" xfId="1" applyFont="1" applyFill="1" applyBorder="1"/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7" xfId="0" applyNumberFormat="1" applyFill="1" applyBorder="1"/>
    <xf numFmtId="1" fontId="0" fillId="2" borderId="4" xfId="0" applyNumberFormat="1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/>
    <xf numFmtId="1" fontId="0" fillId="2" borderId="0" xfId="0" applyNumberFormat="1" applyFill="1" applyBorder="1"/>
    <xf numFmtId="2" fontId="0" fillId="2" borderId="5" xfId="0" applyNumberFormat="1" applyFill="1" applyBorder="1"/>
    <xf numFmtId="1" fontId="0" fillId="2" borderId="0" xfId="0" applyNumberFormat="1" applyFill="1" applyBorder="1" applyAlignment="1">
      <alignment horizontal="right"/>
    </xf>
    <xf numFmtId="2" fontId="0" fillId="2" borderId="7" xfId="0" applyNumberFormat="1" applyFill="1" applyBorder="1"/>
    <xf numFmtId="9" fontId="0" fillId="2" borderId="7" xfId="1" applyFont="1" applyFill="1" applyBorder="1"/>
    <xf numFmtId="2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2" fontId="0" fillId="2" borderId="11" xfId="0" applyNumberFormat="1" applyFill="1" applyBorder="1" applyAlignment="1">
      <alignment horizontal="right"/>
    </xf>
    <xf numFmtId="9" fontId="0" fillId="2" borderId="1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13" xfId="0" applyNumberFormat="1" applyBorder="1"/>
    <xf numFmtId="14" fontId="0" fillId="0" borderId="6" xfId="0" applyNumberFormat="1" applyBorder="1"/>
    <xf numFmtId="0" fontId="0" fillId="0" borderId="9" xfId="0" applyBorder="1"/>
    <xf numFmtId="0" fontId="0" fillId="0" borderId="6" xfId="0" applyBorder="1"/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right"/>
    </xf>
    <xf numFmtId="2" fontId="0" fillId="2" borderId="15" xfId="0" applyNumberForma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0" xfId="0" applyNumberFormat="1" applyFill="1"/>
    <xf numFmtId="2" fontId="0" fillId="0" borderId="17" xfId="0" applyNumberFormat="1" applyFill="1" applyBorder="1"/>
    <xf numFmtId="0" fontId="0" fillId="0" borderId="17" xfId="0" applyBorder="1"/>
    <xf numFmtId="0" fontId="0" fillId="0" borderId="5" xfId="0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0" xfId="0" applyBorder="1"/>
    <xf numFmtId="2" fontId="0" fillId="0" borderId="12" xfId="0" applyNumberFormat="1" applyFill="1" applyBorder="1"/>
    <xf numFmtId="2" fontId="0" fillId="0" borderId="8" xfId="0" applyNumberFormat="1" applyBorder="1"/>
    <xf numFmtId="2" fontId="0" fillId="0" borderId="4" xfId="0" applyNumberFormat="1" applyBorder="1"/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left"/>
    </xf>
    <xf numFmtId="2" fontId="0" fillId="2" borderId="0" xfId="0" applyNumberFormat="1" applyFill="1"/>
    <xf numFmtId="2" fontId="0" fillId="2" borderId="10" xfId="0" applyNumberFormat="1" applyFill="1" applyBorder="1" applyAlignment="1">
      <alignment horizontal="right"/>
    </xf>
    <xf numFmtId="0" fontId="0" fillId="2" borderId="0" xfId="0" applyFill="1" applyBorder="1"/>
    <xf numFmtId="0" fontId="0" fillId="2" borderId="5" xfId="0" applyFill="1" applyBorder="1"/>
    <xf numFmtId="0" fontId="0" fillId="2" borderId="0" xfId="0" applyFill="1"/>
    <xf numFmtId="2" fontId="2" fillId="0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9" xfId="0" applyNumberFormat="1" applyBorder="1"/>
    <xf numFmtId="0" fontId="0" fillId="0" borderId="6" xfId="0" applyBorder="1" applyAlignment="1"/>
    <xf numFmtId="0" fontId="0" fillId="2" borderId="4" xfId="0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4" xfId="0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0" fillId="0" borderId="18" xfId="0" applyNumberFormat="1" applyBorder="1"/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9" fontId="0" fillId="2" borderId="11" xfId="1" applyFont="1" applyFill="1" applyBorder="1"/>
    <xf numFmtId="1" fontId="2" fillId="0" borderId="12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2" fillId="2" borderId="4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14" fontId="0" fillId="0" borderId="0" xfId="0" applyNumberFormat="1" applyAlignment="1">
      <alignment horizontal="left"/>
    </xf>
    <xf numFmtId="1" fontId="0" fillId="0" borderId="0" xfId="0" applyNumberFormat="1"/>
    <xf numFmtId="9" fontId="0" fillId="0" borderId="5" xfId="1" applyFont="1" applyFill="1" applyBorder="1"/>
    <xf numFmtId="1" fontId="0" fillId="2" borderId="4" xfId="0" applyNumberFormat="1" applyFill="1" applyBorder="1"/>
    <xf numFmtId="9" fontId="0" fillId="2" borderId="5" xfId="1" applyFont="1" applyFill="1" applyBorder="1"/>
    <xf numFmtId="9" fontId="0" fillId="2" borderId="9" xfId="0" applyNumberFormat="1" applyFill="1" applyBorder="1"/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/>
    <xf numFmtId="0" fontId="0" fillId="0" borderId="17" xfId="0" applyFill="1" applyBorder="1"/>
    <xf numFmtId="2" fontId="0" fillId="0" borderId="8" xfId="0" applyNumberFormat="1" applyFill="1" applyBorder="1"/>
    <xf numFmtId="2" fontId="0" fillId="0" borderId="4" xfId="0" applyNumberFormat="1" applyFill="1" applyBorder="1"/>
    <xf numFmtId="2" fontId="0" fillId="0" borderId="9" xfId="0" applyNumberFormat="1" applyFill="1" applyBorder="1"/>
    <xf numFmtId="2" fontId="0" fillId="0" borderId="0" xfId="0" applyNumberForma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79"/>
  <sheetViews>
    <sheetView tabSelected="1" topLeftCell="A34" zoomScale="60" zoomScaleNormal="60" workbookViewId="0">
      <selection activeCell="AE47" sqref="AE47"/>
    </sheetView>
  </sheetViews>
  <sheetFormatPr baseColWidth="10" defaultRowHeight="14.4"/>
  <cols>
    <col min="2" max="2" width="19" customWidth="1"/>
    <col min="24" max="24" width="13" customWidth="1"/>
    <col min="28" max="28" width="12.44140625" customWidth="1"/>
    <col min="29" max="29" width="12.109375" customWidth="1"/>
    <col min="31" max="31" width="15.33203125" customWidth="1"/>
    <col min="32" max="32" width="12.109375" customWidth="1"/>
    <col min="33" max="33" width="12.33203125" customWidth="1"/>
    <col min="34" max="34" width="16.109375" customWidth="1"/>
    <col min="35" max="35" width="15" customWidth="1"/>
  </cols>
  <sheetData>
    <row r="3" spans="1:30">
      <c r="C3" s="1"/>
      <c r="D3" s="1"/>
      <c r="E3" s="38" t="s">
        <v>19</v>
      </c>
      <c r="F3" s="1"/>
      <c r="G3" s="2"/>
      <c r="H3" s="2"/>
      <c r="I3" s="38" t="s">
        <v>20</v>
      </c>
      <c r="J3" s="2"/>
      <c r="K3" s="2"/>
      <c r="L3" s="2"/>
      <c r="M3" s="38" t="s">
        <v>21</v>
      </c>
      <c r="Q3" s="38" t="s">
        <v>22</v>
      </c>
      <c r="U3" s="40" t="s">
        <v>0</v>
      </c>
    </row>
    <row r="4" spans="1:30" ht="25.2" customHeight="1">
      <c r="A4" s="48" t="s">
        <v>24</v>
      </c>
      <c r="B4" s="48"/>
      <c r="C4" s="33" t="s">
        <v>18</v>
      </c>
      <c r="D4" s="36"/>
      <c r="E4" s="33" t="s">
        <v>23</v>
      </c>
      <c r="F4" s="34"/>
      <c r="G4" s="34"/>
      <c r="H4" s="36"/>
      <c r="I4" s="33" t="s">
        <v>23</v>
      </c>
      <c r="J4" s="34"/>
      <c r="K4" s="34"/>
      <c r="L4" s="36"/>
      <c r="M4" s="33" t="s">
        <v>23</v>
      </c>
      <c r="N4" s="34"/>
      <c r="O4" s="34"/>
      <c r="P4" s="36"/>
      <c r="Q4" s="33" t="s">
        <v>23</v>
      </c>
      <c r="R4" s="34"/>
      <c r="S4" s="34"/>
      <c r="T4" s="36"/>
      <c r="U4" s="33" t="s">
        <v>18</v>
      </c>
      <c r="V4" s="41"/>
      <c r="W4" s="87" t="s">
        <v>23</v>
      </c>
      <c r="X4" s="34"/>
      <c r="Y4" s="34"/>
      <c r="Z4" s="36"/>
    </row>
    <row r="5" spans="1:30" ht="28.8">
      <c r="C5" s="49" t="s">
        <v>1</v>
      </c>
      <c r="D5" s="50" t="s">
        <v>2</v>
      </c>
      <c r="E5" s="51" t="s">
        <v>3</v>
      </c>
      <c r="F5" s="51" t="s">
        <v>4</v>
      </c>
      <c r="G5" s="52" t="s">
        <v>5</v>
      </c>
      <c r="H5" s="53" t="s">
        <v>6</v>
      </c>
      <c r="I5" s="51" t="s">
        <v>3</v>
      </c>
      <c r="J5" s="51" t="s">
        <v>4</v>
      </c>
      <c r="K5" s="52" t="s">
        <v>5</v>
      </c>
      <c r="L5" s="53" t="s">
        <v>6</v>
      </c>
      <c r="M5" s="51" t="s">
        <v>3</v>
      </c>
      <c r="N5" s="51" t="s">
        <v>4</v>
      </c>
      <c r="O5" s="52" t="s">
        <v>5</v>
      </c>
      <c r="P5" s="53" t="s">
        <v>6</v>
      </c>
      <c r="Q5" s="51" t="s">
        <v>3</v>
      </c>
      <c r="R5" s="51" t="s">
        <v>4</v>
      </c>
      <c r="S5" s="52" t="s">
        <v>5</v>
      </c>
      <c r="T5" s="53" t="s">
        <v>6</v>
      </c>
      <c r="U5" s="49" t="s">
        <v>7</v>
      </c>
      <c r="V5" s="54" t="s">
        <v>2</v>
      </c>
      <c r="W5" s="51" t="s">
        <v>3</v>
      </c>
      <c r="X5" s="51" t="s">
        <v>4</v>
      </c>
      <c r="Y5" s="52" t="s">
        <v>5</v>
      </c>
      <c r="Z5" s="53" t="s">
        <v>6</v>
      </c>
      <c r="AA5" s="3" t="s">
        <v>8</v>
      </c>
      <c r="AB5" s="3" t="s">
        <v>9</v>
      </c>
      <c r="AC5" s="3" t="s">
        <v>10</v>
      </c>
      <c r="AD5" s="3" t="s">
        <v>11</v>
      </c>
    </row>
    <row r="6" spans="1:30">
      <c r="C6" s="4">
        <v>200000</v>
      </c>
      <c r="D6" s="5">
        <f t="shared" ref="D6:D13" si="0">LOG(C6)</f>
        <v>5.3010299956639813</v>
      </c>
      <c r="E6" s="6">
        <v>43770</v>
      </c>
      <c r="F6" s="7">
        <f t="shared" ref="F6:F12" si="1">LOG(E6)</f>
        <v>4.6411765466131136</v>
      </c>
      <c r="G6" s="8">
        <f>F6-D6</f>
        <v>-0.65985344905086762</v>
      </c>
      <c r="H6" s="10">
        <v>23.71</v>
      </c>
      <c r="I6" s="6">
        <v>51079</v>
      </c>
      <c r="J6" s="7">
        <f>LOG(I6)</f>
        <v>4.7082423862669245</v>
      </c>
      <c r="K6" s="8">
        <f>J6-D6</f>
        <v>-0.59278760939705677</v>
      </c>
      <c r="L6" s="10">
        <v>23.47</v>
      </c>
      <c r="M6" s="6">
        <v>39999</v>
      </c>
      <c r="N6" s="7">
        <f t="shared" ref="N6:N12" si="2">LOG(M6)</f>
        <v>4.6020491338301959</v>
      </c>
      <c r="O6" s="8">
        <f>N6-D6</f>
        <v>-0.69898086183378538</v>
      </c>
      <c r="P6" s="10">
        <v>23.85</v>
      </c>
      <c r="Q6" s="6">
        <v>101930</v>
      </c>
      <c r="R6" s="7">
        <f>LOG(Q6)</f>
        <v>5.0083020242120018</v>
      </c>
      <c r="S6" s="8">
        <f>R6-D6</f>
        <v>-0.29272797145197949</v>
      </c>
      <c r="T6" s="10">
        <v>22.31</v>
      </c>
      <c r="U6" s="4">
        <v>200000</v>
      </c>
      <c r="V6" s="42">
        <f>LOG(U6)</f>
        <v>5.3010299956639813</v>
      </c>
      <c r="W6" s="11">
        <f>AVERAGE(E6,I6,M6,Q6)</f>
        <v>59194.5</v>
      </c>
      <c r="X6" s="7">
        <f>LOG(W6)</f>
        <v>4.7722813565436093</v>
      </c>
      <c r="Y6" s="8">
        <f>X6-V6</f>
        <v>-0.52874863912037195</v>
      </c>
      <c r="Z6" s="10">
        <f>AVERAGE(P6,L6,H6,T6)</f>
        <v>23.335000000000001</v>
      </c>
      <c r="AA6" s="12">
        <f>STDEV(F6,J6,N6,R6)</f>
        <v>0.18420190501010617</v>
      </c>
      <c r="AB6" s="12">
        <f>AA6/X6*100</f>
        <v>3.8598291099818334</v>
      </c>
      <c r="AC6" s="13">
        <v>1</v>
      </c>
      <c r="AD6" s="13">
        <v>1</v>
      </c>
    </row>
    <row r="7" spans="1:30">
      <c r="C7" s="4">
        <f t="shared" ref="C7:C12" si="3">C6/5</f>
        <v>40000</v>
      </c>
      <c r="D7" s="5">
        <f t="shared" si="0"/>
        <v>4.6020599913279625</v>
      </c>
      <c r="E7" s="6">
        <v>12807</v>
      </c>
      <c r="F7" s="7">
        <f t="shared" si="1"/>
        <v>4.1074474095236093</v>
      </c>
      <c r="G7" s="8">
        <f t="shared" ref="G6:G12" si="4">F7-D7</f>
        <v>-0.49461258180435319</v>
      </c>
      <c r="H7" s="10">
        <v>25.62</v>
      </c>
      <c r="I7" s="6">
        <v>18963</v>
      </c>
      <c r="J7" s="7">
        <f t="shared" ref="J6:J13" si="5">LOG(I7)</f>
        <v>4.2779070450474252</v>
      </c>
      <c r="K7" s="8">
        <f t="shared" ref="K7:K13" si="6">J7-D7</f>
        <v>-0.32415294628053726</v>
      </c>
      <c r="L7" s="10">
        <v>25.01</v>
      </c>
      <c r="M7" s="6">
        <v>10491</v>
      </c>
      <c r="N7" s="7">
        <f t="shared" si="2"/>
        <v>4.0208168870289072</v>
      </c>
      <c r="O7" s="8">
        <f t="shared" ref="O7:O12" si="7">N7-D7</f>
        <v>-0.58124310429905535</v>
      </c>
      <c r="P7" s="10">
        <v>25.93</v>
      </c>
      <c r="Q7" s="6">
        <v>14597</v>
      </c>
      <c r="R7" s="7">
        <f>LOG(Q7)</f>
        <v>4.1642636080226607</v>
      </c>
      <c r="S7" s="8">
        <f t="shared" ref="S7:S10" si="8">R7-D7</f>
        <v>-0.4377963833053018</v>
      </c>
      <c r="T7" s="10">
        <v>24.96</v>
      </c>
      <c r="U7" s="4">
        <f t="shared" ref="U7:U12" si="9">U6/5</f>
        <v>40000</v>
      </c>
      <c r="V7" s="42">
        <f t="shared" ref="V7:V13" si="10">LOG(U7)</f>
        <v>4.6020599913279625</v>
      </c>
      <c r="W7" s="11">
        <f>AVERAGE(E7,I7,M7,Q7)</f>
        <v>14214.5</v>
      </c>
      <c r="X7" s="7">
        <f t="shared" ref="X7:X13" si="11">LOG(W7)</f>
        <v>4.1527315878351123</v>
      </c>
      <c r="Y7" s="8">
        <f t="shared" ref="Y7:Y13" si="12">X7-V7</f>
        <v>-0.44932840349285019</v>
      </c>
      <c r="Z7" s="10">
        <f>AVERAGE(P7,L7,H7,T7)</f>
        <v>25.380000000000003</v>
      </c>
      <c r="AA7" s="12">
        <f>STDEV(F7,J7,N7,R7)</f>
        <v>0.10777157830151511</v>
      </c>
      <c r="AB7" s="12">
        <f>AA7/X7*100</f>
        <v>2.5951973062072673</v>
      </c>
      <c r="AC7" s="13">
        <v>1</v>
      </c>
      <c r="AD7" s="13">
        <v>1</v>
      </c>
    </row>
    <row r="8" spans="1:30">
      <c r="C8" s="4">
        <f t="shared" si="3"/>
        <v>8000</v>
      </c>
      <c r="D8" s="5">
        <f t="shared" si="0"/>
        <v>3.9030899869919438</v>
      </c>
      <c r="E8" s="6">
        <v>3070</v>
      </c>
      <c r="F8" s="7">
        <f t="shared" si="1"/>
        <v>3.4871383754771865</v>
      </c>
      <c r="G8" s="8">
        <f t="shared" si="4"/>
        <v>-0.41595161151475724</v>
      </c>
      <c r="H8" s="10">
        <v>27.84</v>
      </c>
      <c r="I8" s="6">
        <v>5169</v>
      </c>
      <c r="J8" s="7">
        <f t="shared" si="5"/>
        <v>3.7134065321676908</v>
      </c>
      <c r="K8" s="8">
        <f t="shared" si="6"/>
        <v>-0.18968345482425297</v>
      </c>
      <c r="L8" s="10">
        <v>27.03</v>
      </c>
      <c r="M8" s="6">
        <v>3605</v>
      </c>
      <c r="N8" s="7">
        <f t="shared" si="2"/>
        <v>3.5569052690554477</v>
      </c>
      <c r="O8" s="8">
        <f t="shared" si="7"/>
        <v>-0.34618471793649608</v>
      </c>
      <c r="P8" s="10">
        <v>27.52</v>
      </c>
      <c r="Q8" s="6">
        <v>3392</v>
      </c>
      <c r="R8" s="7">
        <f>LOG(Q8)</f>
        <v>3.5304558435846762</v>
      </c>
      <c r="S8" s="8">
        <f t="shared" si="8"/>
        <v>-0.37263414340726753</v>
      </c>
      <c r="T8" s="10">
        <v>26.95</v>
      </c>
      <c r="U8" s="4">
        <f t="shared" si="9"/>
        <v>8000</v>
      </c>
      <c r="V8" s="42">
        <f t="shared" si="10"/>
        <v>3.9030899869919438</v>
      </c>
      <c r="W8" s="11">
        <f>AVERAGE(E8,I8,M8,Q8)</f>
        <v>3809</v>
      </c>
      <c r="X8" s="7">
        <f t="shared" si="11"/>
        <v>3.5808109726609461</v>
      </c>
      <c r="Y8" s="8">
        <f t="shared" si="12"/>
        <v>-0.3222790143309977</v>
      </c>
      <c r="Z8" s="10">
        <f>AVERAGE(P8,L8,H8,T8)</f>
        <v>27.335000000000001</v>
      </c>
      <c r="AA8" s="12">
        <f>STDEV(F8,J8,N8,R8)</f>
        <v>9.8574960111340815E-2</v>
      </c>
      <c r="AB8" s="12">
        <f>AA8/X8*100</f>
        <v>2.7528669026080568</v>
      </c>
      <c r="AC8" s="13">
        <v>1</v>
      </c>
      <c r="AD8" s="13">
        <v>1</v>
      </c>
    </row>
    <row r="9" spans="1:30">
      <c r="C9" s="4">
        <f t="shared" si="3"/>
        <v>1600</v>
      </c>
      <c r="D9" s="5">
        <f t="shared" si="0"/>
        <v>3.2041199826559246</v>
      </c>
      <c r="E9" s="6">
        <v>643</v>
      </c>
      <c r="F9" s="7">
        <f t="shared" si="1"/>
        <v>2.8082109729242219</v>
      </c>
      <c r="G9" s="8">
        <f t="shared" si="4"/>
        <v>-0.39590900973170262</v>
      </c>
      <c r="H9" s="10">
        <v>30.27</v>
      </c>
      <c r="I9" s="6">
        <v>1391</v>
      </c>
      <c r="J9" s="7">
        <f t="shared" si="5"/>
        <v>3.1433271299920462</v>
      </c>
      <c r="K9" s="8">
        <f t="shared" si="6"/>
        <v>-6.079285266387835E-2</v>
      </c>
      <c r="L9" s="10">
        <v>29.07</v>
      </c>
      <c r="M9" s="6">
        <v>922</v>
      </c>
      <c r="N9" s="7">
        <f t="shared" si="2"/>
        <v>2.9647309210536292</v>
      </c>
      <c r="O9" s="8">
        <f t="shared" si="7"/>
        <v>-0.23938906160229534</v>
      </c>
      <c r="P9" s="10">
        <v>29.71</v>
      </c>
      <c r="Q9" s="6">
        <v>848</v>
      </c>
      <c r="R9" s="7">
        <f>LOG(Q9)</f>
        <v>2.9283958522567137</v>
      </c>
      <c r="S9" s="8">
        <f t="shared" si="8"/>
        <v>-0.27572413039921084</v>
      </c>
      <c r="T9" s="10">
        <v>28.84</v>
      </c>
      <c r="U9" s="4">
        <f t="shared" si="9"/>
        <v>1600</v>
      </c>
      <c r="V9" s="42">
        <f t="shared" si="10"/>
        <v>3.2041199826559246</v>
      </c>
      <c r="W9" s="11">
        <f>AVERAGE(E9,I9,M9,Q9)</f>
        <v>951</v>
      </c>
      <c r="X9" s="7">
        <f t="shared" si="11"/>
        <v>2.9781805169374138</v>
      </c>
      <c r="Y9" s="8">
        <f t="shared" si="12"/>
        <v>-0.22593946571851076</v>
      </c>
      <c r="Z9" s="10">
        <f>AVERAGE(P9,L9,H9,T9)</f>
        <v>29.4725</v>
      </c>
      <c r="AA9" s="12">
        <f>STDEV(F9,J9,N9,R9)</f>
        <v>0.13864163495955115</v>
      </c>
      <c r="AB9" s="12">
        <f>AA9/X9*100</f>
        <v>4.6552461870955382</v>
      </c>
      <c r="AC9" s="13">
        <v>1</v>
      </c>
      <c r="AD9" s="13">
        <v>1</v>
      </c>
    </row>
    <row r="10" spans="1:30">
      <c r="C10" s="4">
        <f t="shared" si="3"/>
        <v>320</v>
      </c>
      <c r="D10" s="5">
        <f t="shared" si="0"/>
        <v>2.5051499783199058</v>
      </c>
      <c r="E10" s="6">
        <v>507</v>
      </c>
      <c r="F10" s="7">
        <f t="shared" si="1"/>
        <v>2.705007959333336</v>
      </c>
      <c r="G10" s="8">
        <f t="shared" si="4"/>
        <v>0.19985798101343022</v>
      </c>
      <c r="H10" s="10">
        <v>30.64</v>
      </c>
      <c r="I10" s="6">
        <v>875</v>
      </c>
      <c r="J10" s="7">
        <f t="shared" si="5"/>
        <v>2.9420080530223132</v>
      </c>
      <c r="K10" s="8">
        <f t="shared" si="6"/>
        <v>0.43685807470240734</v>
      </c>
      <c r="L10" s="10">
        <v>29.79</v>
      </c>
      <c r="M10" s="6">
        <v>870</v>
      </c>
      <c r="N10" s="7">
        <f t="shared" si="2"/>
        <v>2.9395192526186187</v>
      </c>
      <c r="O10" s="8">
        <f t="shared" si="7"/>
        <v>0.43436927429871286</v>
      </c>
      <c r="P10" s="10">
        <v>29.8</v>
      </c>
      <c r="Q10" s="6">
        <v>217</v>
      </c>
      <c r="R10" s="7">
        <f>LOG(Q10)</f>
        <v>2.3364597338485296</v>
      </c>
      <c r="S10" s="8">
        <f t="shared" si="8"/>
        <v>-0.16869024447137626</v>
      </c>
      <c r="T10" s="10">
        <v>30.7</v>
      </c>
      <c r="U10" s="4">
        <f t="shared" si="9"/>
        <v>320</v>
      </c>
      <c r="V10" s="42">
        <f t="shared" si="10"/>
        <v>2.5051499783199058</v>
      </c>
      <c r="W10" s="11">
        <f>AVERAGE(E10,I10,M10,Q10)</f>
        <v>617.25</v>
      </c>
      <c r="X10" s="7">
        <f t="shared" si="11"/>
        <v>2.79046109860397</v>
      </c>
      <c r="Y10" s="8">
        <f t="shared" si="12"/>
        <v>0.28531112028406413</v>
      </c>
      <c r="Z10" s="10">
        <f>AVERAGE(P10,L10,H10,T10)</f>
        <v>30.232500000000002</v>
      </c>
      <c r="AA10" s="12">
        <f>STDEV(F10,J10,N10,R10)</f>
        <v>0.28538981086632109</v>
      </c>
      <c r="AB10" s="12">
        <f>AA10/X10*100</f>
        <v>10.22733522460133</v>
      </c>
      <c r="AC10" s="13">
        <v>1</v>
      </c>
      <c r="AD10" s="13">
        <v>1</v>
      </c>
    </row>
    <row r="11" spans="1:30">
      <c r="C11" s="4">
        <f t="shared" si="3"/>
        <v>64</v>
      </c>
      <c r="D11" s="5">
        <f t="shared" si="0"/>
        <v>1.8061799739838871</v>
      </c>
      <c r="E11" s="6">
        <v>160</v>
      </c>
      <c r="F11" s="7">
        <f t="shared" si="1"/>
        <v>2.2041199826559246</v>
      </c>
      <c r="G11" s="8">
        <f t="shared" si="4"/>
        <v>0.39794000867203749</v>
      </c>
      <c r="H11" s="10">
        <v>32.43</v>
      </c>
      <c r="I11" s="6">
        <v>297</v>
      </c>
      <c r="J11" s="7">
        <f t="shared" si="5"/>
        <v>2.4727564493172123</v>
      </c>
      <c r="K11" s="8">
        <f t="shared" si="6"/>
        <v>0.6665764753333252</v>
      </c>
      <c r="L11" s="10">
        <v>31.47</v>
      </c>
      <c r="M11" s="6">
        <v>374</v>
      </c>
      <c r="N11" s="7">
        <f t="shared" si="2"/>
        <v>2.5728716022004803</v>
      </c>
      <c r="O11" s="8">
        <f t="shared" si="7"/>
        <v>0.7666916282165932</v>
      </c>
      <c r="P11" s="10">
        <v>31.11</v>
      </c>
      <c r="Q11" s="14">
        <v>62</v>
      </c>
      <c r="R11" s="7" t="s">
        <v>12</v>
      </c>
      <c r="S11" s="113" t="s">
        <v>50</v>
      </c>
      <c r="T11" s="10">
        <v>33.520000000000003</v>
      </c>
      <c r="U11" s="4">
        <f t="shared" si="9"/>
        <v>64</v>
      </c>
      <c r="V11" s="42">
        <f>LOG(U11)</f>
        <v>1.8061799739838871</v>
      </c>
      <c r="W11" s="15">
        <f>AVERAGE(E11,I11,M11)</f>
        <v>277</v>
      </c>
      <c r="X11" s="7">
        <f>LOG(W11)</f>
        <v>2.4424797690644486</v>
      </c>
      <c r="Y11" s="8">
        <f>X11-V11</f>
        <v>0.63629979508056156</v>
      </c>
      <c r="Z11" s="10">
        <f>AVERAGE(P11,L11,H11,T11)</f>
        <v>32.1325</v>
      </c>
      <c r="AA11" s="16">
        <f>STDEV(F11,J11,N11)</f>
        <v>0.19068575893942541</v>
      </c>
      <c r="AB11" s="12">
        <f>AA11/X11*100</f>
        <v>7.8070558190320005</v>
      </c>
      <c r="AC11" s="13">
        <v>1</v>
      </c>
      <c r="AD11" s="13">
        <v>0.75</v>
      </c>
    </row>
    <row r="12" spans="1:30">
      <c r="C12" s="17">
        <f t="shared" si="3"/>
        <v>12.8</v>
      </c>
      <c r="D12" s="18">
        <f t="shared" si="0"/>
        <v>1.1072099696478683</v>
      </c>
      <c r="E12" s="19">
        <v>110</v>
      </c>
      <c r="F12" s="20">
        <f t="shared" si="1"/>
        <v>2.0413926851582249</v>
      </c>
      <c r="G12" s="21">
        <f t="shared" si="4"/>
        <v>0.93418271551035659</v>
      </c>
      <c r="H12" s="23">
        <v>33.01</v>
      </c>
      <c r="I12" s="19">
        <v>107</v>
      </c>
      <c r="J12" s="20">
        <f t="shared" si="5"/>
        <v>2.0293837776852097</v>
      </c>
      <c r="K12" s="21">
        <f t="shared" si="6"/>
        <v>0.92217380803734139</v>
      </c>
      <c r="L12" s="23">
        <v>33.049999999999997</v>
      </c>
      <c r="M12" s="19">
        <v>233</v>
      </c>
      <c r="N12" s="20">
        <f t="shared" si="2"/>
        <v>2.3673559210260189</v>
      </c>
      <c r="O12" s="21">
        <f t="shared" si="7"/>
        <v>1.2601459513781506</v>
      </c>
      <c r="P12" s="23">
        <v>31.85</v>
      </c>
      <c r="Q12" s="19" t="s">
        <v>13</v>
      </c>
      <c r="R12" s="20" t="s">
        <v>12</v>
      </c>
      <c r="S12" s="20" t="s">
        <v>50</v>
      </c>
      <c r="T12" s="23">
        <v>33.799999999999997</v>
      </c>
      <c r="U12" s="17">
        <f t="shared" si="9"/>
        <v>12.8</v>
      </c>
      <c r="V12" s="43">
        <f>LOG(U12)</f>
        <v>1.1072099696478683</v>
      </c>
      <c r="W12" s="24">
        <f>AVERAGE(E12,I12,M12)</f>
        <v>150</v>
      </c>
      <c r="X12" s="20">
        <f t="shared" si="11"/>
        <v>2.1760912590556813</v>
      </c>
      <c r="Y12" s="21">
        <f t="shared" si="12"/>
        <v>1.068881289407813</v>
      </c>
      <c r="Z12" s="23">
        <f>AVERAGE(P12,L12,H12,T12)</f>
        <v>32.927499999999995</v>
      </c>
      <c r="AA12" s="25">
        <f>STDEV(F12,J12,N12,R12)</f>
        <v>0.19175566687431311</v>
      </c>
      <c r="AB12" s="25">
        <f>AA12/X12*100</f>
        <v>8.8119313046423358</v>
      </c>
      <c r="AC12" s="26">
        <v>1</v>
      </c>
      <c r="AD12" s="26">
        <v>0.75</v>
      </c>
    </row>
    <row r="13" spans="1:30">
      <c r="C13" s="17">
        <f>C12/5</f>
        <v>2.56</v>
      </c>
      <c r="D13" s="18">
        <f t="shared" si="0"/>
        <v>0.40823996531184958</v>
      </c>
      <c r="E13" s="19" t="s">
        <v>13</v>
      </c>
      <c r="F13" s="19" t="s">
        <v>14</v>
      </c>
      <c r="G13" s="20" t="s">
        <v>12</v>
      </c>
      <c r="H13" s="20" t="s">
        <v>50</v>
      </c>
      <c r="I13" s="80">
        <v>152</v>
      </c>
      <c r="J13" s="20">
        <f t="shared" si="5"/>
        <v>2.1818435879447726</v>
      </c>
      <c r="K13" s="21">
        <f t="shared" si="6"/>
        <v>1.773603622632923</v>
      </c>
      <c r="L13" s="23">
        <v>32.51</v>
      </c>
      <c r="M13" s="19" t="s">
        <v>13</v>
      </c>
      <c r="N13" s="20" t="s">
        <v>12</v>
      </c>
      <c r="O13" s="20" t="s">
        <v>50</v>
      </c>
      <c r="P13" s="23">
        <v>34.24</v>
      </c>
      <c r="Q13" s="19" t="s">
        <v>53</v>
      </c>
      <c r="R13" s="20" t="s">
        <v>50</v>
      </c>
      <c r="S13" s="20" t="s">
        <v>50</v>
      </c>
      <c r="T13" s="20" t="s">
        <v>50</v>
      </c>
      <c r="U13" s="17">
        <f>U12/5</f>
        <v>2.56</v>
      </c>
      <c r="V13" s="43">
        <f t="shared" si="10"/>
        <v>0.40823996531184958</v>
      </c>
      <c r="W13" s="24">
        <f>AVERAGE(I13)</f>
        <v>152</v>
      </c>
      <c r="X13" s="20">
        <f t="shared" si="11"/>
        <v>2.1818435879447726</v>
      </c>
      <c r="Y13" s="21">
        <f t="shared" si="12"/>
        <v>1.773603622632923</v>
      </c>
      <c r="Z13" s="20" t="s">
        <v>50</v>
      </c>
      <c r="AA13" s="27" t="s">
        <v>16</v>
      </c>
      <c r="AB13" s="27" t="s">
        <v>16</v>
      </c>
      <c r="AC13" s="26">
        <v>0.75</v>
      </c>
      <c r="AD13" s="26">
        <v>0.25</v>
      </c>
    </row>
    <row r="14" spans="1:30">
      <c r="C14" s="28" t="s">
        <v>52</v>
      </c>
      <c r="D14" s="29" t="s">
        <v>17</v>
      </c>
      <c r="E14" s="30" t="s">
        <v>53</v>
      </c>
      <c r="F14" s="70" t="s">
        <v>50</v>
      </c>
      <c r="G14" s="70" t="s">
        <v>50</v>
      </c>
      <c r="H14" s="70" t="s">
        <v>50</v>
      </c>
      <c r="I14" s="28" t="s">
        <v>53</v>
      </c>
      <c r="J14" s="30"/>
      <c r="K14" s="70" t="s">
        <v>50</v>
      </c>
      <c r="L14" s="70" t="s">
        <v>50</v>
      </c>
      <c r="M14" s="28" t="s">
        <v>53</v>
      </c>
      <c r="N14" s="70" t="s">
        <v>50</v>
      </c>
      <c r="O14" s="70" t="s">
        <v>50</v>
      </c>
      <c r="P14" s="70" t="s">
        <v>50</v>
      </c>
      <c r="Q14" s="28" t="s">
        <v>53</v>
      </c>
      <c r="R14" s="70" t="s">
        <v>50</v>
      </c>
      <c r="S14" s="70" t="s">
        <v>50</v>
      </c>
      <c r="T14" s="70" t="s">
        <v>50</v>
      </c>
      <c r="U14" s="28" t="s">
        <v>52</v>
      </c>
      <c r="V14" s="44" t="s">
        <v>17</v>
      </c>
      <c r="W14" s="30" t="s">
        <v>53</v>
      </c>
      <c r="X14" s="70" t="s">
        <v>50</v>
      </c>
      <c r="Y14" s="70" t="s">
        <v>50</v>
      </c>
      <c r="Z14" s="70" t="s">
        <v>50</v>
      </c>
      <c r="AA14" s="31" t="s">
        <v>16</v>
      </c>
      <c r="AB14" s="31" t="s">
        <v>16</v>
      </c>
      <c r="AC14" s="32">
        <v>0</v>
      </c>
      <c r="AD14" s="32">
        <v>0</v>
      </c>
    </row>
    <row r="16" spans="1:30">
      <c r="A16" s="73" t="s">
        <v>54</v>
      </c>
      <c r="B16" s="73"/>
      <c r="C16" s="73"/>
      <c r="D16" s="73"/>
      <c r="W16" s="55"/>
      <c r="X16" s="59" t="s">
        <v>27</v>
      </c>
      <c r="Y16" s="60"/>
      <c r="AA16" s="59" t="s">
        <v>28</v>
      </c>
      <c r="AB16" s="60"/>
    </row>
    <row r="17" spans="1:34">
      <c r="X17" s="65" t="s">
        <v>25</v>
      </c>
      <c r="Y17" s="56">
        <f>AVERAGE(Y6:Y10)</f>
        <v>-0.24819688047573329</v>
      </c>
      <c r="AA17" s="62">
        <f>AVERAGE(AA6:AA10)</f>
        <v>0.16291597784976686</v>
      </c>
      <c r="AB17" s="67" t="s">
        <v>31</v>
      </c>
    </row>
    <row r="18" spans="1:34">
      <c r="X18" s="66" t="s">
        <v>26</v>
      </c>
      <c r="Y18" s="78">
        <f>STDEV(Y6:Y10)</f>
        <v>0.32006933654003977</v>
      </c>
      <c r="AA18" s="63">
        <f>STDEV(AA6:AA10)</f>
        <v>7.6195218939162326E-2</v>
      </c>
      <c r="AB18" s="68" t="s">
        <v>29</v>
      </c>
    </row>
    <row r="19" spans="1:34">
      <c r="AB19" s="64">
        <f>AVERAGE(AB6:AB10)</f>
        <v>4.818094946098805</v>
      </c>
      <c r="AC19" s="57" t="s">
        <v>32</v>
      </c>
    </row>
    <row r="20" spans="1:34">
      <c r="AB20" s="63">
        <f>STDEV(AB6:AB10)</f>
        <v>3.1389135983094505</v>
      </c>
      <c r="AC20" s="39" t="s">
        <v>30</v>
      </c>
    </row>
    <row r="21" spans="1:34" ht="15.6" customHeight="1"/>
    <row r="22" spans="1:34">
      <c r="E22" s="37" t="s">
        <v>19</v>
      </c>
      <c r="I22" s="37" t="s">
        <v>20</v>
      </c>
      <c r="M22" s="37" t="s">
        <v>21</v>
      </c>
      <c r="Q22" s="37" t="s">
        <v>22</v>
      </c>
      <c r="U22" s="37" t="s">
        <v>36</v>
      </c>
      <c r="Y22" s="79" t="s">
        <v>0</v>
      </c>
    </row>
    <row r="23" spans="1:34" ht="26.4" customHeight="1">
      <c r="A23" s="48" t="s">
        <v>33</v>
      </c>
      <c r="B23" s="48"/>
      <c r="C23" s="33" t="s">
        <v>18</v>
      </c>
      <c r="D23" s="34"/>
      <c r="E23" s="45" t="s">
        <v>34</v>
      </c>
      <c r="F23" s="35"/>
      <c r="G23" s="35"/>
      <c r="H23" s="35"/>
      <c r="I23" s="45" t="s">
        <v>34</v>
      </c>
      <c r="J23" s="35"/>
      <c r="K23" s="35"/>
      <c r="L23" s="35"/>
      <c r="M23" s="45" t="s">
        <v>34</v>
      </c>
      <c r="N23" s="35"/>
      <c r="O23" s="35"/>
      <c r="P23" s="35"/>
      <c r="Q23" s="45" t="s">
        <v>34</v>
      </c>
      <c r="R23" s="35"/>
      <c r="S23" s="35"/>
      <c r="T23" s="35"/>
      <c r="U23" s="45" t="s">
        <v>34</v>
      </c>
      <c r="V23" s="35"/>
      <c r="W23" s="35"/>
      <c r="X23" s="35"/>
      <c r="Y23" s="33" t="s">
        <v>18</v>
      </c>
      <c r="Z23" s="41"/>
      <c r="AA23" s="35" t="s">
        <v>34</v>
      </c>
      <c r="AB23" s="35"/>
      <c r="AC23" s="35"/>
      <c r="AD23" s="47"/>
    </row>
    <row r="24" spans="1:34" ht="28.8">
      <c r="C24" s="49" t="s">
        <v>1</v>
      </c>
      <c r="D24" s="50" t="s">
        <v>2</v>
      </c>
      <c r="E24" s="51" t="s">
        <v>3</v>
      </c>
      <c r="F24" s="51" t="s">
        <v>4</v>
      </c>
      <c r="G24" s="52" t="s">
        <v>5</v>
      </c>
      <c r="H24" s="53" t="s">
        <v>6</v>
      </c>
      <c r="I24" s="51" t="s">
        <v>3</v>
      </c>
      <c r="J24" s="51" t="s">
        <v>4</v>
      </c>
      <c r="K24" s="52" t="s">
        <v>5</v>
      </c>
      <c r="L24" s="53" t="s">
        <v>6</v>
      </c>
      <c r="M24" s="51" t="s">
        <v>3</v>
      </c>
      <c r="N24" s="51" t="s">
        <v>4</v>
      </c>
      <c r="O24" s="52" t="s">
        <v>5</v>
      </c>
      <c r="P24" s="53" t="s">
        <v>6</v>
      </c>
      <c r="Q24" s="51" t="s">
        <v>3</v>
      </c>
      <c r="R24" s="51" t="s">
        <v>4</v>
      </c>
      <c r="S24" s="52" t="s">
        <v>5</v>
      </c>
      <c r="T24" s="53" t="s">
        <v>6</v>
      </c>
      <c r="U24" s="51" t="s">
        <v>3</v>
      </c>
      <c r="V24" s="51" t="s">
        <v>4</v>
      </c>
      <c r="W24" s="52" t="s">
        <v>5</v>
      </c>
      <c r="X24" s="53" t="s">
        <v>6</v>
      </c>
      <c r="Y24" s="49" t="s">
        <v>1</v>
      </c>
      <c r="Z24" s="54" t="s">
        <v>2</v>
      </c>
      <c r="AA24" s="51" t="s">
        <v>3</v>
      </c>
      <c r="AB24" s="51" t="s">
        <v>4</v>
      </c>
      <c r="AC24" s="52" t="s">
        <v>5</v>
      </c>
      <c r="AD24" s="46" t="s">
        <v>6</v>
      </c>
      <c r="AE24" s="76" t="s">
        <v>35</v>
      </c>
      <c r="AF24" s="3" t="s">
        <v>9</v>
      </c>
      <c r="AG24" s="3" t="s">
        <v>10</v>
      </c>
      <c r="AH24" s="3" t="s">
        <v>11</v>
      </c>
    </row>
    <row r="25" spans="1:34">
      <c r="C25" s="4">
        <v>200000</v>
      </c>
      <c r="D25" s="5">
        <f t="shared" ref="D25:D32" si="13">LOG(C25)</f>
        <v>5.3010299956639813</v>
      </c>
      <c r="E25" s="11">
        <v>626659.19999999995</v>
      </c>
      <c r="F25" s="7">
        <f>LOG(E25)</f>
        <v>5.7970314199406392</v>
      </c>
      <c r="G25" s="8">
        <f>F25-D25</f>
        <v>0.49600142427665794</v>
      </c>
      <c r="H25" s="10">
        <v>27.78</v>
      </c>
      <c r="I25" s="11">
        <v>157339.19999999998</v>
      </c>
      <c r="J25" s="7">
        <f>LOG(I25)</f>
        <v>5.1968369376440391</v>
      </c>
      <c r="K25" s="2">
        <f>J25-D25</f>
        <v>-0.10419305801994216</v>
      </c>
      <c r="L25" s="10">
        <v>26.24</v>
      </c>
      <c r="M25" s="9">
        <v>135544.79999999999</v>
      </c>
      <c r="N25" s="8">
        <f>LOG(M25)</f>
        <v>5.1320828610930125</v>
      </c>
      <c r="O25" s="8">
        <f>N25-D25</f>
        <v>-0.16894713457096877</v>
      </c>
      <c r="P25" s="58">
        <v>26.47</v>
      </c>
      <c r="Q25" s="9">
        <v>782206.79999999993</v>
      </c>
      <c r="R25" s="8">
        <f>LOG(Q25)</f>
        <v>5.8933215871078533</v>
      </c>
      <c r="S25" s="8">
        <f>R25-D25</f>
        <v>0.592291591443872</v>
      </c>
      <c r="T25">
        <v>26.68</v>
      </c>
      <c r="U25" s="89">
        <v>604545</v>
      </c>
      <c r="V25" s="74">
        <f t="shared" ref="V25:V30" si="14">LOG(U25)</f>
        <v>5.7814286336075522</v>
      </c>
      <c r="W25" s="8">
        <f>V25-D25</f>
        <v>0.48039863794357096</v>
      </c>
      <c r="X25" s="58">
        <v>27.1</v>
      </c>
      <c r="Y25" s="4">
        <v>200000</v>
      </c>
      <c r="Z25" s="42">
        <f t="shared" ref="Z25:Z32" si="15">LOG(Y25)</f>
        <v>5.3010299956639813</v>
      </c>
      <c r="AA25" s="9">
        <f>AVERAGE(E25,I25,M25,Q25,U25)</f>
        <v>461259</v>
      </c>
      <c r="AB25" s="8">
        <f>LOG(AA25)</f>
        <v>5.663944853123116</v>
      </c>
      <c r="AC25" s="8">
        <f>AB25-Z25</f>
        <v>0.36291485745913477</v>
      </c>
      <c r="AD25" s="10">
        <f>AVERAGE(H25,L25,P25,T25,X25)</f>
        <v>26.853999999999996</v>
      </c>
      <c r="AE25" s="12">
        <f>STDEV(N25,J25,F25,R25,V25)</f>
        <v>0.36445788627739462</v>
      </c>
      <c r="AF25" s="12">
        <f t="shared" ref="AF25:AF32" si="16">AE25/AB25*100</f>
        <v>6.4347004734064708</v>
      </c>
      <c r="AG25" s="13">
        <v>1</v>
      </c>
      <c r="AH25" s="13">
        <v>1</v>
      </c>
    </row>
    <row r="26" spans="1:34">
      <c r="C26" s="4">
        <f t="shared" ref="C26:C31" si="17">C25/5</f>
        <v>40000</v>
      </c>
      <c r="D26" s="5">
        <f t="shared" si="13"/>
        <v>4.6020599913279625</v>
      </c>
      <c r="E26" s="11">
        <v>227053.19999999998</v>
      </c>
      <c r="F26" s="7">
        <f>LOG(E26)</f>
        <v>5.3561276270586049</v>
      </c>
      <c r="G26" s="8">
        <f t="shared" ref="G26:G29" si="18">F26-D26</f>
        <v>0.75406763573064239</v>
      </c>
      <c r="H26" s="10">
        <v>29.2</v>
      </c>
      <c r="I26" s="11">
        <v>41148</v>
      </c>
      <c r="J26" s="7">
        <f t="shared" ref="J26:J32" si="19">LOG(I26)</f>
        <v>4.6143487311625693</v>
      </c>
      <c r="K26" s="2">
        <f t="shared" ref="K26:K32" si="20">J26-D26</f>
        <v>1.2288739834606766E-2</v>
      </c>
      <c r="L26" s="10">
        <v>28.31</v>
      </c>
      <c r="M26" s="9">
        <v>31245.599999999999</v>
      </c>
      <c r="N26" s="8">
        <f>LOG(M26)</f>
        <v>4.4947888687117716</v>
      </c>
      <c r="O26" s="8">
        <f t="shared" ref="O26:O28" si="21">N26-D26</f>
        <v>-0.10727112261619087</v>
      </c>
      <c r="P26" s="58">
        <v>28.73</v>
      </c>
      <c r="Q26" s="9">
        <v>79783.739999999991</v>
      </c>
      <c r="R26" s="8">
        <f t="shared" ref="R26:R32" si="22">LOG(Q26)</f>
        <v>4.9019143907516058</v>
      </c>
      <c r="S26" s="8">
        <f t="shared" ref="S26:S32" si="23">R26-D26</f>
        <v>0.29985439942364334</v>
      </c>
      <c r="T26">
        <v>30.03</v>
      </c>
      <c r="U26" s="90">
        <v>137518.91999999998</v>
      </c>
      <c r="V26" s="74">
        <f t="shared" si="14"/>
        <v>5.1383624529759544</v>
      </c>
      <c r="W26" s="8">
        <f t="shared" ref="W26:W30" si="24">V26-D26</f>
        <v>0.53630246164799189</v>
      </c>
      <c r="X26" s="58">
        <v>29.42</v>
      </c>
      <c r="Y26" s="4">
        <f t="shared" ref="Y26:Y31" si="25">Y25/5</f>
        <v>40000</v>
      </c>
      <c r="Z26" s="42">
        <f t="shared" si="15"/>
        <v>4.6020599913279625</v>
      </c>
      <c r="AA26" s="9">
        <f t="shared" ref="AA26:AA32" si="26">AVERAGE(E26,I26,M26,Q26,U26)</f>
        <v>103349.89199999998</v>
      </c>
      <c r="AB26" s="8">
        <f t="shared" ref="AB26:AB32" si="27">LOG(AA26)</f>
        <v>5.0143100271284879</v>
      </c>
      <c r="AC26" s="8">
        <f t="shared" ref="AC26:AC32" si="28">AB26-Z26</f>
        <v>0.41225003580052544</v>
      </c>
      <c r="AD26" s="10">
        <f t="shared" ref="AD26:AD32" si="29">AVERAGE(H26,L26,P26,T26,X26)</f>
        <v>29.137999999999998</v>
      </c>
      <c r="AE26" s="12">
        <f t="shared" ref="AE26:AE32" si="30">STDEV(N26,J26,F26,R26,V26)</f>
        <v>0.3573021485541531</v>
      </c>
      <c r="AF26" s="12">
        <f t="shared" si="16"/>
        <v>7.1256493240559955</v>
      </c>
      <c r="AG26" s="13">
        <v>1</v>
      </c>
      <c r="AH26" s="13">
        <v>1</v>
      </c>
    </row>
    <row r="27" spans="1:34">
      <c r="C27" s="4">
        <f t="shared" si="17"/>
        <v>8000</v>
      </c>
      <c r="D27" s="5">
        <f t="shared" si="13"/>
        <v>3.9030899869919438</v>
      </c>
      <c r="E27" s="11">
        <v>37466.400000000001</v>
      </c>
      <c r="F27" s="7">
        <f>LOG(E27)</f>
        <v>4.5736419654384513</v>
      </c>
      <c r="G27" s="8">
        <f t="shared" si="18"/>
        <v>0.67055197844650749</v>
      </c>
      <c r="H27" s="10">
        <v>31.73</v>
      </c>
      <c r="I27" s="11">
        <v>10274.4</v>
      </c>
      <c r="J27" s="7">
        <f t="shared" si="19"/>
        <v>4.0117564695459151</v>
      </c>
      <c r="K27" s="2">
        <f t="shared" si="20"/>
        <v>0.10866648255397138</v>
      </c>
      <c r="L27" s="10">
        <v>30.45</v>
      </c>
      <c r="M27" s="9">
        <v>9206.4</v>
      </c>
      <c r="N27" s="8">
        <f>LOG(M27)</f>
        <v>3.964089840210232</v>
      </c>
      <c r="O27" s="8">
        <f t="shared" si="21"/>
        <v>6.0999853218288269E-2</v>
      </c>
      <c r="P27" s="58">
        <v>30.62</v>
      </c>
      <c r="Q27" s="9">
        <v>18953.484</v>
      </c>
      <c r="R27" s="8">
        <f t="shared" si="22"/>
        <v>4.2776890529795653</v>
      </c>
      <c r="S27" s="8">
        <f t="shared" si="23"/>
        <v>0.37459906598762149</v>
      </c>
      <c r="T27">
        <v>32.130000000000003</v>
      </c>
      <c r="U27" s="90">
        <v>34581.449999999997</v>
      </c>
      <c r="V27" s="74">
        <f t="shared" si="14"/>
        <v>4.5388431992848197</v>
      </c>
      <c r="W27" s="8">
        <f t="shared" si="24"/>
        <v>0.63575321229287596</v>
      </c>
      <c r="X27" s="58">
        <v>31.57</v>
      </c>
      <c r="Y27" s="4">
        <f t="shared" si="25"/>
        <v>8000</v>
      </c>
      <c r="Z27" s="42">
        <f t="shared" si="15"/>
        <v>3.9030899869919438</v>
      </c>
      <c r="AA27" s="9">
        <f t="shared" si="26"/>
        <v>22096.426800000001</v>
      </c>
      <c r="AB27" s="8">
        <f t="shared" si="27"/>
        <v>4.3443220498612192</v>
      </c>
      <c r="AC27" s="8">
        <f t="shared" si="28"/>
        <v>0.44123206286927541</v>
      </c>
      <c r="AD27" s="10">
        <f t="shared" si="29"/>
        <v>31.3</v>
      </c>
      <c r="AE27" s="12">
        <f t="shared" si="30"/>
        <v>0.28493580239096139</v>
      </c>
      <c r="AF27" s="12">
        <f t="shared" si="16"/>
        <v>6.5588093866122046</v>
      </c>
      <c r="AG27" s="13">
        <v>1</v>
      </c>
      <c r="AH27" s="13">
        <v>1</v>
      </c>
    </row>
    <row r="28" spans="1:34">
      <c r="C28" s="4">
        <f t="shared" si="17"/>
        <v>1600</v>
      </c>
      <c r="D28" s="5">
        <f t="shared" si="13"/>
        <v>3.2041199826559246</v>
      </c>
      <c r="E28" s="11">
        <v>12088.8</v>
      </c>
      <c r="F28" s="7">
        <f>LOG(E28)</f>
        <v>4.082383192569317</v>
      </c>
      <c r="G28" s="8">
        <f t="shared" si="18"/>
        <v>0.87826320991339246</v>
      </c>
      <c r="H28" s="10">
        <v>33.31</v>
      </c>
      <c r="I28" s="11">
        <v>2433.6</v>
      </c>
      <c r="J28" s="7">
        <f t="shared" si="19"/>
        <v>3.3862491967089232</v>
      </c>
      <c r="K28" s="2">
        <f t="shared" si="20"/>
        <v>0.18212921405299864</v>
      </c>
      <c r="L28" s="10">
        <v>32.67</v>
      </c>
      <c r="M28" s="9">
        <v>4918.8</v>
      </c>
      <c r="N28" s="8">
        <f>LOG(M28)</f>
        <v>3.6918591643641268</v>
      </c>
      <c r="O28" s="8">
        <f t="shared" si="21"/>
        <v>0.48773918170820219</v>
      </c>
      <c r="P28" s="58">
        <v>31.58</v>
      </c>
      <c r="Q28" s="9">
        <v>6477.924</v>
      </c>
      <c r="R28" s="8">
        <f t="shared" si="22"/>
        <v>3.8114358484944355</v>
      </c>
      <c r="S28" s="8">
        <f t="shared" si="23"/>
        <v>0.60731586583851094</v>
      </c>
      <c r="T28">
        <v>33.71</v>
      </c>
      <c r="U28" s="90">
        <v>13910.07</v>
      </c>
      <c r="V28" s="74">
        <f t="shared" si="14"/>
        <v>4.1433293155087423</v>
      </c>
      <c r="W28" s="8">
        <f t="shared" si="24"/>
        <v>0.93920933285281771</v>
      </c>
      <c r="X28" s="58">
        <v>32.99</v>
      </c>
      <c r="Y28" s="4">
        <f t="shared" si="25"/>
        <v>1600</v>
      </c>
      <c r="Z28" s="42">
        <f t="shared" si="15"/>
        <v>3.2041199826559246</v>
      </c>
      <c r="AA28" s="9">
        <f t="shared" si="26"/>
        <v>7965.8388000000004</v>
      </c>
      <c r="AB28" s="8">
        <f t="shared" si="27"/>
        <v>3.9012315135999427</v>
      </c>
      <c r="AC28" s="8">
        <f t="shared" si="28"/>
        <v>0.69711153094401812</v>
      </c>
      <c r="AD28" s="10">
        <f t="shared" si="29"/>
        <v>32.852000000000004</v>
      </c>
      <c r="AE28" s="12">
        <f t="shared" si="30"/>
        <v>0.30739771076234129</v>
      </c>
      <c r="AF28" s="12">
        <f t="shared" si="16"/>
        <v>7.8795044511132755</v>
      </c>
      <c r="AG28" s="13">
        <v>1</v>
      </c>
      <c r="AH28" s="13">
        <v>1</v>
      </c>
    </row>
    <row r="29" spans="1:34">
      <c r="C29" s="80">
        <f t="shared" si="17"/>
        <v>320</v>
      </c>
      <c r="D29" s="18">
        <f t="shared" si="13"/>
        <v>2.5051499783199058</v>
      </c>
      <c r="E29" s="24">
        <v>2668.7999999999997</v>
      </c>
      <c r="F29" s="20">
        <f>LOG(E29)</f>
        <v>3.4263160289576446</v>
      </c>
      <c r="G29" s="21">
        <f t="shared" si="18"/>
        <v>0.92116605063773882</v>
      </c>
      <c r="H29" s="23">
        <v>35.42</v>
      </c>
      <c r="I29" s="24">
        <v>1380</v>
      </c>
      <c r="J29" s="20">
        <f t="shared" si="19"/>
        <v>3.1398790864012365</v>
      </c>
      <c r="K29" s="69">
        <f t="shared" si="20"/>
        <v>0.63472910808133065</v>
      </c>
      <c r="L29" s="23">
        <v>33.54</v>
      </c>
      <c r="M29" s="20" t="s">
        <v>53</v>
      </c>
      <c r="N29" s="20" t="s">
        <v>50</v>
      </c>
      <c r="O29" s="20" t="s">
        <v>50</v>
      </c>
      <c r="P29" s="20" t="s">
        <v>50</v>
      </c>
      <c r="Q29" s="97">
        <v>3209.6759999999999</v>
      </c>
      <c r="R29" s="21">
        <f t="shared" si="22"/>
        <v>3.5064611948615894</v>
      </c>
      <c r="S29" s="21">
        <f t="shared" si="23"/>
        <v>1.0013112165416835</v>
      </c>
      <c r="T29" s="73">
        <v>34.729999999999997</v>
      </c>
      <c r="U29" s="91">
        <v>2809.32</v>
      </c>
      <c r="V29" s="75">
        <f t="shared" si="14"/>
        <v>3.4486012110132083</v>
      </c>
      <c r="W29" s="21">
        <f t="shared" si="24"/>
        <v>0.94345123269330244</v>
      </c>
      <c r="X29" s="72">
        <v>35.49</v>
      </c>
      <c r="Y29" s="80">
        <f t="shared" si="25"/>
        <v>320</v>
      </c>
      <c r="Z29" s="43">
        <f t="shared" si="15"/>
        <v>2.5051499783199058</v>
      </c>
      <c r="AA29" s="22">
        <f t="shared" si="26"/>
        <v>2516.9490000000001</v>
      </c>
      <c r="AB29" s="21">
        <f t="shared" si="27"/>
        <v>3.4008744156902084</v>
      </c>
      <c r="AC29" s="21">
        <f t="shared" si="28"/>
        <v>0.89572443737030261</v>
      </c>
      <c r="AD29" s="23">
        <f t="shared" si="29"/>
        <v>34.795000000000002</v>
      </c>
      <c r="AE29" s="25">
        <f t="shared" si="30"/>
        <v>0.1638102482592711</v>
      </c>
      <c r="AF29" s="25">
        <f t="shared" si="16"/>
        <v>4.8167097115823889</v>
      </c>
      <c r="AG29" s="26">
        <v>0.8</v>
      </c>
      <c r="AH29" s="26">
        <v>0.8</v>
      </c>
    </row>
    <row r="30" spans="1:34">
      <c r="C30" s="80">
        <f t="shared" si="17"/>
        <v>64</v>
      </c>
      <c r="D30" s="18">
        <f t="shared" si="13"/>
        <v>1.8061799739838871</v>
      </c>
      <c r="E30" s="19" t="s">
        <v>15</v>
      </c>
      <c r="F30" s="20" t="s">
        <v>50</v>
      </c>
      <c r="G30" s="20" t="s">
        <v>50</v>
      </c>
      <c r="H30" s="20" t="s">
        <v>50</v>
      </c>
      <c r="I30" s="17">
        <v>771.6</v>
      </c>
      <c r="J30" s="20">
        <f t="shared" si="19"/>
        <v>2.8873922189718471</v>
      </c>
      <c r="K30" s="21">
        <f t="shared" si="20"/>
        <v>1.08121224498796</v>
      </c>
      <c r="L30" s="23">
        <v>34.44</v>
      </c>
      <c r="M30" s="20" t="s">
        <v>53</v>
      </c>
      <c r="N30" s="20" t="s">
        <v>50</v>
      </c>
      <c r="O30" s="20" t="s">
        <v>50</v>
      </c>
      <c r="P30" s="20" t="s">
        <v>50</v>
      </c>
      <c r="Q30" s="97">
        <v>1987.68</v>
      </c>
      <c r="R30" s="21">
        <f t="shared" si="22"/>
        <v>3.2983464678779653</v>
      </c>
      <c r="S30" s="21">
        <f t="shared" si="23"/>
        <v>1.4921664938940782</v>
      </c>
      <c r="T30" s="71">
        <v>35.44</v>
      </c>
      <c r="U30" s="91">
        <v>1087.32</v>
      </c>
      <c r="V30" s="75">
        <f t="shared" si="14"/>
        <v>3.0363573764524712</v>
      </c>
      <c r="W30" s="21">
        <f t="shared" si="24"/>
        <v>1.2301774024685841</v>
      </c>
      <c r="X30" s="72">
        <v>36.97</v>
      </c>
      <c r="Y30" s="80">
        <f t="shared" si="25"/>
        <v>64</v>
      </c>
      <c r="Z30" s="43">
        <f t="shared" si="15"/>
        <v>1.8061799739838871</v>
      </c>
      <c r="AA30" s="22">
        <f t="shared" si="26"/>
        <v>1282.2</v>
      </c>
      <c r="AB30" s="21">
        <f t="shared" si="27"/>
        <v>3.1079557725477129</v>
      </c>
      <c r="AC30" s="21">
        <f t="shared" si="28"/>
        <v>1.3017757985638259</v>
      </c>
      <c r="AD30" s="23">
        <f t="shared" si="29"/>
        <v>35.616666666666667</v>
      </c>
      <c r="AE30" s="25">
        <f t="shared" si="30"/>
        <v>0.20805139463731276</v>
      </c>
      <c r="AF30" s="25">
        <f t="shared" si="16"/>
        <v>6.6941555756684687</v>
      </c>
      <c r="AG30" s="26">
        <v>0.6</v>
      </c>
      <c r="AH30" s="26">
        <v>0.6</v>
      </c>
    </row>
    <row r="31" spans="1:34">
      <c r="C31" s="17">
        <f t="shared" si="17"/>
        <v>12.8</v>
      </c>
      <c r="D31" s="18">
        <f t="shared" si="13"/>
        <v>1.1072099696478683</v>
      </c>
      <c r="E31" s="19" t="s">
        <v>15</v>
      </c>
      <c r="F31" s="20" t="s">
        <v>50</v>
      </c>
      <c r="G31" s="20" t="s">
        <v>50</v>
      </c>
      <c r="H31" s="20" t="s">
        <v>50</v>
      </c>
      <c r="I31" s="17">
        <v>354</v>
      </c>
      <c r="J31" s="20">
        <f t="shared" si="19"/>
        <v>2.5490032620257876</v>
      </c>
      <c r="K31" s="21">
        <f t="shared" si="20"/>
        <v>1.4417932923779193</v>
      </c>
      <c r="L31" s="23">
        <v>35.64</v>
      </c>
      <c r="M31" s="20" t="s">
        <v>53</v>
      </c>
      <c r="N31" s="20" t="s">
        <v>50</v>
      </c>
      <c r="O31" s="20" t="s">
        <v>50</v>
      </c>
      <c r="P31" s="20" t="s">
        <v>50</v>
      </c>
      <c r="Q31" s="97">
        <v>88.32</v>
      </c>
      <c r="R31" s="21">
        <f t="shared" si="22"/>
        <v>1.9460590603851236</v>
      </c>
      <c r="S31" s="21">
        <f t="shared" si="23"/>
        <v>0.83884909073725522</v>
      </c>
      <c r="T31" s="71">
        <v>40</v>
      </c>
      <c r="U31" s="92" t="s">
        <v>53</v>
      </c>
      <c r="V31" s="20" t="s">
        <v>50</v>
      </c>
      <c r="W31" s="20" t="s">
        <v>50</v>
      </c>
      <c r="X31" s="20" t="s">
        <v>50</v>
      </c>
      <c r="Y31" s="17">
        <f t="shared" si="25"/>
        <v>12.8</v>
      </c>
      <c r="Z31" s="43">
        <f t="shared" si="15"/>
        <v>1.1072099696478683</v>
      </c>
      <c r="AA31" s="22">
        <f t="shared" si="26"/>
        <v>221.16</v>
      </c>
      <c r="AB31" s="21">
        <f t="shared" si="27"/>
        <v>2.3447065812666987</v>
      </c>
      <c r="AC31" s="21">
        <f t="shared" si="28"/>
        <v>1.2374966116188304</v>
      </c>
      <c r="AD31" s="23">
        <f t="shared" si="29"/>
        <v>37.82</v>
      </c>
      <c r="AE31" s="25">
        <f t="shared" si="30"/>
        <v>0.42634593365722206</v>
      </c>
      <c r="AF31" s="25">
        <f t="shared" si="16"/>
        <v>18.183338463906811</v>
      </c>
      <c r="AG31" s="26">
        <v>0.4</v>
      </c>
      <c r="AH31" s="26">
        <v>0.4</v>
      </c>
    </row>
    <row r="32" spans="1:34">
      <c r="C32" s="17">
        <f>C31/5</f>
        <v>2.56</v>
      </c>
      <c r="D32" s="18">
        <f t="shared" si="13"/>
        <v>0.40823996531184958</v>
      </c>
      <c r="E32" s="19" t="s">
        <v>15</v>
      </c>
      <c r="F32" s="20" t="s">
        <v>50</v>
      </c>
      <c r="G32" s="20" t="s">
        <v>50</v>
      </c>
      <c r="H32" s="20" t="s">
        <v>50</v>
      </c>
      <c r="I32" s="17">
        <v>88.8</v>
      </c>
      <c r="J32" s="20">
        <f t="shared" si="19"/>
        <v>1.9484129657786009</v>
      </c>
      <c r="K32" s="21">
        <f t="shared" si="20"/>
        <v>1.5401730004667513</v>
      </c>
      <c r="L32" s="23">
        <v>37.770000000000003</v>
      </c>
      <c r="M32" s="20" t="s">
        <v>53</v>
      </c>
      <c r="N32" s="20" t="s">
        <v>50</v>
      </c>
      <c r="O32" s="20" t="s">
        <v>50</v>
      </c>
      <c r="P32" s="20" t="s">
        <v>50</v>
      </c>
      <c r="Q32" s="97">
        <v>216.72</v>
      </c>
      <c r="R32" s="21">
        <f t="shared" si="22"/>
        <v>2.3358989920251116</v>
      </c>
      <c r="S32" s="21">
        <f t="shared" si="23"/>
        <v>1.9276590267132621</v>
      </c>
      <c r="T32" s="71">
        <v>38.68</v>
      </c>
      <c r="U32" s="92" t="s">
        <v>53</v>
      </c>
      <c r="V32" s="20" t="s">
        <v>50</v>
      </c>
      <c r="W32" s="20" t="s">
        <v>50</v>
      </c>
      <c r="X32" s="20" t="s">
        <v>50</v>
      </c>
      <c r="Y32" s="17">
        <f>Y31/5</f>
        <v>2.56</v>
      </c>
      <c r="Z32" s="43">
        <f t="shared" si="15"/>
        <v>0.40823996531184958</v>
      </c>
      <c r="AA32" s="22">
        <f>AVERAGE(E32,I32,M32,Q32,U32)</f>
        <v>152.76</v>
      </c>
      <c r="AB32" s="21">
        <f t="shared" si="27"/>
        <v>2.18400964970128</v>
      </c>
      <c r="AC32" s="21">
        <f t="shared" si="28"/>
        <v>1.7757696843894304</v>
      </c>
      <c r="AD32" s="23">
        <f t="shared" si="29"/>
        <v>38.225000000000001</v>
      </c>
      <c r="AE32" s="25">
        <f>STDEV(N32,J32,F32,R32,V32)</f>
        <v>0.27399399677393643</v>
      </c>
      <c r="AF32" s="25">
        <f t="shared" si="16"/>
        <v>12.545457242435361</v>
      </c>
      <c r="AG32" s="26">
        <v>0.4</v>
      </c>
      <c r="AH32" s="26">
        <v>0.4</v>
      </c>
    </row>
    <row r="33" spans="1:34">
      <c r="C33" s="28" t="s">
        <v>52</v>
      </c>
      <c r="D33" s="29" t="s">
        <v>17</v>
      </c>
      <c r="E33" s="30" t="s">
        <v>53</v>
      </c>
      <c r="F33" s="70" t="s">
        <v>50</v>
      </c>
      <c r="G33" s="70" t="s">
        <v>50</v>
      </c>
      <c r="H33" s="70" t="s">
        <v>50</v>
      </c>
      <c r="I33" s="28" t="s">
        <v>53</v>
      </c>
      <c r="J33" s="70" t="s">
        <v>50</v>
      </c>
      <c r="K33" s="70" t="s">
        <v>50</v>
      </c>
      <c r="L33" s="70" t="s">
        <v>50</v>
      </c>
      <c r="M33" s="93" t="s">
        <v>53</v>
      </c>
      <c r="N33" s="70" t="s">
        <v>50</v>
      </c>
      <c r="O33" s="70" t="s">
        <v>50</v>
      </c>
      <c r="P33" s="70" t="s">
        <v>50</v>
      </c>
      <c r="Q33" s="93" t="s">
        <v>53</v>
      </c>
      <c r="R33" s="70" t="s">
        <v>50</v>
      </c>
      <c r="S33" s="70" t="s">
        <v>50</v>
      </c>
      <c r="T33" s="70" t="s">
        <v>50</v>
      </c>
      <c r="U33" s="93" t="s">
        <v>53</v>
      </c>
      <c r="V33" s="70" t="s">
        <v>50</v>
      </c>
      <c r="W33" s="70" t="s">
        <v>50</v>
      </c>
      <c r="X33" s="70" t="s">
        <v>50</v>
      </c>
      <c r="Y33" s="28" t="s">
        <v>52</v>
      </c>
      <c r="Z33" s="44" t="s">
        <v>17</v>
      </c>
      <c r="AA33" s="70" t="s">
        <v>50</v>
      </c>
      <c r="AB33" s="70" t="s">
        <v>50</v>
      </c>
      <c r="AC33" s="70" t="s">
        <v>50</v>
      </c>
      <c r="AD33" s="70" t="s">
        <v>50</v>
      </c>
      <c r="AE33" s="31" t="s">
        <v>16</v>
      </c>
      <c r="AF33" s="70" t="s">
        <v>50</v>
      </c>
      <c r="AG33" s="32">
        <v>0</v>
      </c>
      <c r="AH33" s="32">
        <v>0</v>
      </c>
    </row>
    <row r="35" spans="1:34">
      <c r="AB35" s="59" t="s">
        <v>27</v>
      </c>
      <c r="AC35" s="60"/>
      <c r="AE35" s="59" t="s">
        <v>28</v>
      </c>
      <c r="AF35" s="60"/>
    </row>
    <row r="36" spans="1:34">
      <c r="AB36" s="65" t="s">
        <v>25</v>
      </c>
      <c r="AC36" s="56">
        <f>AVERAGE(AC25:AC28)</f>
        <v>0.47837712176823843</v>
      </c>
      <c r="AE36" s="62">
        <f>AVERAGE(AE25:AE28)</f>
        <v>0.32852338699621264</v>
      </c>
      <c r="AF36" s="67" t="s">
        <v>31</v>
      </c>
    </row>
    <row r="37" spans="1:34">
      <c r="AB37" s="66" t="s">
        <v>26</v>
      </c>
      <c r="AC37" s="78">
        <f>STDEV(AC25:AC28)</f>
        <v>0.14936401076570333</v>
      </c>
      <c r="AE37" s="63">
        <f>STDEV(AE25:AE28)</f>
        <v>3.8581848424080821E-2</v>
      </c>
      <c r="AF37" s="68" t="s">
        <v>29</v>
      </c>
    </row>
    <row r="38" spans="1:34">
      <c r="AF38" s="64">
        <f>AVERAGE(AF25:AF28)</f>
        <v>6.9996659087969864</v>
      </c>
      <c r="AG38" s="57" t="s">
        <v>32</v>
      </c>
    </row>
    <row r="39" spans="1:34">
      <c r="AF39" s="63">
        <f>STDEV(AF25:AF28)</f>
        <v>0.65917324424980661</v>
      </c>
      <c r="AG39" s="39" t="s">
        <v>30</v>
      </c>
    </row>
    <row r="41" spans="1:34">
      <c r="E41" s="38" t="s">
        <v>19</v>
      </c>
      <c r="I41" s="37" t="s">
        <v>20</v>
      </c>
      <c r="M41" s="37" t="s">
        <v>21</v>
      </c>
      <c r="Q41" s="37" t="s">
        <v>22</v>
      </c>
      <c r="U41" s="40" t="s">
        <v>0</v>
      </c>
    </row>
    <row r="42" spans="1:34" ht="31.2" customHeight="1">
      <c r="A42" s="48" t="s">
        <v>37</v>
      </c>
      <c r="B42" s="48"/>
      <c r="C42" s="33" t="s">
        <v>48</v>
      </c>
      <c r="D42" s="34"/>
      <c r="E42" s="33" t="s">
        <v>23</v>
      </c>
      <c r="F42" s="34"/>
      <c r="G42" s="34"/>
      <c r="H42" s="36"/>
      <c r="I42" s="33" t="s">
        <v>23</v>
      </c>
      <c r="J42" s="34"/>
      <c r="K42" s="34"/>
      <c r="L42" s="36"/>
      <c r="M42" s="33" t="s">
        <v>23</v>
      </c>
      <c r="N42" s="34"/>
      <c r="O42" s="34"/>
      <c r="P42" s="36"/>
      <c r="Q42" s="33" t="s">
        <v>23</v>
      </c>
      <c r="R42" s="34"/>
      <c r="S42" s="34"/>
      <c r="T42" s="36"/>
      <c r="U42" s="33" t="s">
        <v>48</v>
      </c>
      <c r="V42" s="41"/>
      <c r="W42" s="34" t="s">
        <v>23</v>
      </c>
      <c r="X42" s="34"/>
      <c r="Y42" s="34"/>
      <c r="Z42" s="36"/>
    </row>
    <row r="43" spans="1:34" ht="28.8">
      <c r="C43" s="49" t="s">
        <v>1</v>
      </c>
      <c r="D43" s="50" t="s">
        <v>2</v>
      </c>
      <c r="E43" s="49" t="s">
        <v>38</v>
      </c>
      <c r="F43" s="51" t="s">
        <v>39</v>
      </c>
      <c r="G43" s="52" t="s">
        <v>40</v>
      </c>
      <c r="H43" s="53" t="s">
        <v>6</v>
      </c>
      <c r="I43" s="51" t="s">
        <v>38</v>
      </c>
      <c r="J43" s="51" t="s">
        <v>39</v>
      </c>
      <c r="K43" s="52" t="s">
        <v>40</v>
      </c>
      <c r="L43" s="53" t="s">
        <v>6</v>
      </c>
      <c r="M43" s="51" t="s">
        <v>38</v>
      </c>
      <c r="N43" s="51" t="s">
        <v>39</v>
      </c>
      <c r="O43" s="52" t="s">
        <v>40</v>
      </c>
      <c r="P43" s="53" t="s">
        <v>6</v>
      </c>
      <c r="Q43" s="51" t="s">
        <v>38</v>
      </c>
      <c r="R43" s="51" t="s">
        <v>39</v>
      </c>
      <c r="S43" s="52" t="s">
        <v>40</v>
      </c>
      <c r="T43" s="53" t="s">
        <v>6</v>
      </c>
      <c r="U43" s="49" t="s">
        <v>1</v>
      </c>
      <c r="V43" s="54" t="s">
        <v>43</v>
      </c>
      <c r="W43" s="51" t="s">
        <v>38</v>
      </c>
      <c r="X43" s="51" t="s">
        <v>39</v>
      </c>
      <c r="Y43" s="52" t="s">
        <v>40</v>
      </c>
      <c r="Z43" s="53" t="s">
        <v>6</v>
      </c>
      <c r="AA43" s="86" t="s">
        <v>35</v>
      </c>
      <c r="AB43" s="3" t="s">
        <v>9</v>
      </c>
      <c r="AC43" s="3" t="s">
        <v>10</v>
      </c>
      <c r="AD43" s="3" t="s">
        <v>11</v>
      </c>
    </row>
    <row r="44" spans="1:34">
      <c r="C44" s="4">
        <v>200000</v>
      </c>
      <c r="D44" s="5">
        <f t="shared" ref="D44:D51" si="31">LOG(C44)</f>
        <v>5.3010299956639813</v>
      </c>
      <c r="E44" s="82">
        <f>10^5.02</f>
        <v>104712.85480508996</v>
      </c>
      <c r="F44" s="6">
        <v>5.0199999999999996</v>
      </c>
      <c r="G44" s="8">
        <f>F44-D44</f>
        <v>-0.28102999566398168</v>
      </c>
      <c r="H44" s="10">
        <v>21.81</v>
      </c>
      <c r="I44" s="11">
        <f>10^4.84</f>
        <v>69183.097091893651</v>
      </c>
      <c r="J44" s="6">
        <v>4.84</v>
      </c>
      <c r="K44" s="8">
        <f>J44-D44</f>
        <v>-0.4610299956639814</v>
      </c>
      <c r="L44" s="10">
        <v>22.42</v>
      </c>
      <c r="M44" s="11">
        <f>10^4.99</f>
        <v>97723.722095581266</v>
      </c>
      <c r="N44" s="6">
        <v>4.99</v>
      </c>
      <c r="O44" s="8">
        <f>N44-D44</f>
        <v>-0.31102999566398104</v>
      </c>
      <c r="P44" s="10">
        <v>21.92</v>
      </c>
      <c r="Q44" s="11">
        <v>44515</v>
      </c>
      <c r="R44" s="7">
        <v>4.6500000000000004</v>
      </c>
      <c r="S44" s="8">
        <f>R44-D44</f>
        <v>-0.6510299956639809</v>
      </c>
      <c r="T44" s="10">
        <v>22.5</v>
      </c>
      <c r="U44" s="4">
        <f>200000</f>
        <v>200000</v>
      </c>
      <c r="V44" s="42">
        <f t="shared" ref="V44:V51" si="32">LOG(U44)</f>
        <v>5.3010299956639813</v>
      </c>
      <c r="W44" s="7">
        <f>AVERAGE(M44,Q44,E44,I44)</f>
        <v>79033.668498141225</v>
      </c>
      <c r="X44" s="7">
        <f>LOG(W44)</f>
        <v>4.8978121410120217</v>
      </c>
      <c r="Y44" s="8">
        <f>X44-V44</f>
        <v>-0.40321785465195958</v>
      </c>
      <c r="Z44" s="10">
        <f>AVERAGE(P44,H44,L44,T44)</f>
        <v>22.162500000000001</v>
      </c>
      <c r="AA44" s="12">
        <f>STDEV(J44,N44,R44,F44)</f>
        <v>0.16941074346096199</v>
      </c>
      <c r="AB44" s="12">
        <f>AA44/X44*100</f>
        <v>3.4589065195537922</v>
      </c>
      <c r="AC44" s="13">
        <v>1</v>
      </c>
      <c r="AD44" s="13">
        <v>1</v>
      </c>
    </row>
    <row r="45" spans="1:34">
      <c r="C45" s="4">
        <f t="shared" ref="C45:C50" si="33">C44/5</f>
        <v>40000</v>
      </c>
      <c r="D45" s="5">
        <f t="shared" si="31"/>
        <v>4.6020599913279625</v>
      </c>
      <c r="E45" s="82">
        <f>10^4.43</f>
        <v>26915.348039269167</v>
      </c>
      <c r="F45" s="6">
        <v>4.43</v>
      </c>
      <c r="G45" s="8">
        <f t="shared" ref="G45:G49" si="34">F45-D45</f>
        <v>-0.17205999132796279</v>
      </c>
      <c r="H45" s="10">
        <v>23.85</v>
      </c>
      <c r="I45" s="11">
        <f>10^4.1</f>
        <v>12589.254117941671</v>
      </c>
      <c r="J45" s="6">
        <v>4.1100000000000003</v>
      </c>
      <c r="K45" s="8">
        <f t="shared" ref="K45:K47" si="35">J45-D45</f>
        <v>-0.49205999132796219</v>
      </c>
      <c r="L45" s="10">
        <v>24.96</v>
      </c>
      <c r="M45" s="11">
        <f>10^4.23</f>
        <v>16982.436524617482</v>
      </c>
      <c r="N45" s="6">
        <v>4.2300000000000004</v>
      </c>
      <c r="O45" s="8">
        <f t="shared" ref="O45:O50" si="36">N45-D45</f>
        <v>-0.37205999132796208</v>
      </c>
      <c r="P45" s="10">
        <v>24.52</v>
      </c>
      <c r="Q45" s="11">
        <v>8567</v>
      </c>
      <c r="R45" s="7">
        <v>3.93</v>
      </c>
      <c r="S45" s="8">
        <f t="shared" ref="S45:S48" si="37">R45-D45</f>
        <v>-0.67205999132796235</v>
      </c>
      <c r="T45" s="10">
        <v>24.86</v>
      </c>
      <c r="U45" s="4">
        <f t="shared" ref="U45:U50" si="38">U44/5</f>
        <v>40000</v>
      </c>
      <c r="V45" s="42">
        <f t="shared" si="32"/>
        <v>4.6020599913279625</v>
      </c>
      <c r="W45" s="7">
        <f t="shared" ref="W45:W50" si="39">AVERAGE(M45,Q45,E45,I45)</f>
        <v>16263.509670457081</v>
      </c>
      <c r="X45" s="7">
        <f t="shared" ref="X45:X50" si="40">LOG(W45)</f>
        <v>4.2112142722565897</v>
      </c>
      <c r="Y45" s="8">
        <f t="shared" ref="Y45:Y50" si="41">X45-V45</f>
        <v>-0.39084571907137278</v>
      </c>
      <c r="Z45" s="10">
        <f t="shared" ref="Z45:Z50" si="42">AVERAGE(P45,H45,L45,T45)</f>
        <v>24.547500000000003</v>
      </c>
      <c r="AA45" s="12">
        <f t="shared" ref="AA45:AA50" si="43">STDEV(J45,N45,R45,F45)</f>
        <v>0.21000000000001187</v>
      </c>
      <c r="AB45" s="12">
        <f>AA45/X45*100</f>
        <v>4.9866852271917965</v>
      </c>
      <c r="AC45" s="13">
        <v>1</v>
      </c>
      <c r="AD45" s="13">
        <v>1</v>
      </c>
    </row>
    <row r="46" spans="1:34">
      <c r="C46" s="4">
        <f t="shared" si="33"/>
        <v>8000</v>
      </c>
      <c r="D46" s="5">
        <f t="shared" si="31"/>
        <v>3.9030899869919438</v>
      </c>
      <c r="E46" s="82">
        <f>10^3.77</f>
        <v>5888.4365535558973</v>
      </c>
      <c r="F46" s="6">
        <v>3.77</v>
      </c>
      <c r="G46" s="8">
        <f t="shared" si="34"/>
        <v>-0.13308998699194374</v>
      </c>
      <c r="H46" s="10">
        <v>26.12</v>
      </c>
      <c r="I46" s="11">
        <f>10^3.78</f>
        <v>6025.595860743585</v>
      </c>
      <c r="J46" s="6">
        <v>3.78</v>
      </c>
      <c r="K46" s="8">
        <f t="shared" si="35"/>
        <v>-0.12308998699194396</v>
      </c>
      <c r="L46" s="10">
        <v>26.08</v>
      </c>
      <c r="M46" s="11">
        <f>10^3.67</f>
        <v>4677.3514128719844</v>
      </c>
      <c r="N46" s="6">
        <v>3.67</v>
      </c>
      <c r="O46" s="8">
        <f t="shared" si="36"/>
        <v>-0.23308998699194383</v>
      </c>
      <c r="P46" s="10">
        <v>26.46</v>
      </c>
      <c r="Q46" s="11">
        <v>2061</v>
      </c>
      <c r="R46" s="7">
        <v>3.31</v>
      </c>
      <c r="S46" s="8">
        <f t="shared" si="37"/>
        <v>-0.59308998699194371</v>
      </c>
      <c r="T46" s="10">
        <v>26.9</v>
      </c>
      <c r="U46" s="4">
        <f t="shared" si="38"/>
        <v>8000</v>
      </c>
      <c r="V46" s="42">
        <f t="shared" si="32"/>
        <v>3.9030899869919438</v>
      </c>
      <c r="W46" s="7">
        <f t="shared" si="39"/>
        <v>4663.0959567928667</v>
      </c>
      <c r="X46" s="7">
        <f t="shared" si="40"/>
        <v>3.6686743524214367</v>
      </c>
      <c r="Y46" s="8">
        <f t="shared" si="41"/>
        <v>-0.23441563457050707</v>
      </c>
      <c r="Z46" s="10">
        <f t="shared" si="42"/>
        <v>26.39</v>
      </c>
      <c r="AA46" s="12">
        <f t="shared" si="43"/>
        <v>0.2206618831304305</v>
      </c>
      <c r="AB46" s="12">
        <f>AA46/X46*100</f>
        <v>6.014757973402217</v>
      </c>
      <c r="AC46" s="13">
        <v>1</v>
      </c>
      <c r="AD46" s="13">
        <v>1</v>
      </c>
    </row>
    <row r="47" spans="1:34">
      <c r="C47" s="4">
        <f t="shared" si="33"/>
        <v>1600</v>
      </c>
      <c r="D47" s="5">
        <f t="shared" si="31"/>
        <v>3.2041199826559246</v>
      </c>
      <c r="E47" s="82">
        <f>10^3.12</f>
        <v>1318.2567385564089</v>
      </c>
      <c r="F47" s="6">
        <v>3.12</v>
      </c>
      <c r="G47" s="8">
        <f t="shared" si="34"/>
        <v>-8.4119982655924463E-2</v>
      </c>
      <c r="H47" s="10">
        <v>28.38</v>
      </c>
      <c r="I47" s="11">
        <f>10^3.36</f>
        <v>2290.8676527677749</v>
      </c>
      <c r="J47" s="6">
        <v>3.36</v>
      </c>
      <c r="K47" s="8">
        <f t="shared" si="35"/>
        <v>0.15588001734407531</v>
      </c>
      <c r="L47" s="10">
        <v>27.53</v>
      </c>
      <c r="M47" s="11">
        <f>10^2.93</f>
        <v>851.13803820237763</v>
      </c>
      <c r="N47" s="6">
        <v>2.93</v>
      </c>
      <c r="O47" s="8">
        <f t="shared" si="36"/>
        <v>-0.27411998265592441</v>
      </c>
      <c r="P47" s="10">
        <v>29.01</v>
      </c>
      <c r="Q47" s="11">
        <v>713</v>
      </c>
      <c r="R47" s="7">
        <v>2.85</v>
      </c>
      <c r="S47" s="8">
        <f t="shared" si="37"/>
        <v>-0.35411998265592448</v>
      </c>
      <c r="T47" s="10">
        <v>28.42</v>
      </c>
      <c r="U47" s="4">
        <f t="shared" si="38"/>
        <v>1600</v>
      </c>
      <c r="V47" s="42">
        <f t="shared" si="32"/>
        <v>3.2041199826559246</v>
      </c>
      <c r="W47" s="7">
        <f t="shared" si="39"/>
        <v>1293.3156073816403</v>
      </c>
      <c r="X47" s="7">
        <f t="shared" si="40"/>
        <v>3.1117045185530792</v>
      </c>
      <c r="Y47" s="8">
        <f t="shared" si="41"/>
        <v>-9.2415464102845402E-2</v>
      </c>
      <c r="Z47" s="10">
        <f t="shared" si="42"/>
        <v>28.335000000000001</v>
      </c>
      <c r="AA47" s="12">
        <f t="shared" si="43"/>
        <v>0.22693611435819822</v>
      </c>
      <c r="AB47" s="12">
        <f>AA47/X47*100</f>
        <v>7.2929840544025026</v>
      </c>
      <c r="AC47" s="13">
        <v>1</v>
      </c>
      <c r="AD47" s="13">
        <v>1</v>
      </c>
    </row>
    <row r="48" spans="1:34">
      <c r="C48" s="83">
        <f t="shared" si="33"/>
        <v>320</v>
      </c>
      <c r="D48" s="84">
        <f t="shared" si="31"/>
        <v>2.5051499783199058</v>
      </c>
      <c r="E48" s="82">
        <f>10^2.62</f>
        <v>416.86938347033572</v>
      </c>
      <c r="F48" s="6">
        <v>2.62</v>
      </c>
      <c r="G48" s="8">
        <f t="shared" si="34"/>
        <v>0.11485002168009428</v>
      </c>
      <c r="H48" s="10">
        <v>30.08</v>
      </c>
      <c r="I48" s="11">
        <f>10^2.7</f>
        <v>501.18723362727269</v>
      </c>
      <c r="J48" s="6">
        <v>2.7</v>
      </c>
      <c r="K48" s="8">
        <f>J48-D48</f>
        <v>0.19485002168009435</v>
      </c>
      <c r="L48" s="10">
        <v>29.82</v>
      </c>
      <c r="M48" s="11">
        <f>10^2.54</f>
        <v>346.73685045253183</v>
      </c>
      <c r="N48" s="6">
        <v>2.54</v>
      </c>
      <c r="O48" s="8">
        <f t="shared" si="36"/>
        <v>3.4850021680094212E-2</v>
      </c>
      <c r="P48" s="10">
        <v>30.35</v>
      </c>
      <c r="Q48" s="11">
        <v>280</v>
      </c>
      <c r="R48" s="7">
        <v>2.4500000000000002</v>
      </c>
      <c r="S48" s="8">
        <f t="shared" si="37"/>
        <v>-5.5149978319905646E-2</v>
      </c>
      <c r="T48" s="10">
        <v>29.76</v>
      </c>
      <c r="U48" s="4">
        <f t="shared" si="38"/>
        <v>320</v>
      </c>
      <c r="V48" s="42">
        <f t="shared" si="32"/>
        <v>2.5051499783199058</v>
      </c>
      <c r="W48" s="7">
        <f t="shared" si="39"/>
        <v>386.19836688753503</v>
      </c>
      <c r="X48" s="7">
        <f t="shared" si="40"/>
        <v>2.5868104329513213</v>
      </c>
      <c r="Y48" s="8">
        <f t="shared" si="41"/>
        <v>8.1660454631415469E-2</v>
      </c>
      <c r="Z48" s="10">
        <f t="shared" si="42"/>
        <v>30.002500000000001</v>
      </c>
      <c r="AA48" s="12">
        <f t="shared" si="43"/>
        <v>0.10719919153924075</v>
      </c>
      <c r="AB48" s="12">
        <f>AA48/X48*100</f>
        <v>4.144068315703211</v>
      </c>
      <c r="AC48" s="13">
        <v>1</v>
      </c>
      <c r="AD48" s="13">
        <v>1</v>
      </c>
    </row>
    <row r="49" spans="1:34">
      <c r="C49" s="80">
        <f t="shared" si="33"/>
        <v>64</v>
      </c>
      <c r="D49" s="18">
        <f t="shared" si="31"/>
        <v>1.8061799739838871</v>
      </c>
      <c r="E49" s="17">
        <f>10^2.4</f>
        <v>251.18864315095806</v>
      </c>
      <c r="F49" s="19">
        <v>2.4</v>
      </c>
      <c r="G49" s="21">
        <f t="shared" si="34"/>
        <v>0.59382002601611283</v>
      </c>
      <c r="H49" s="23">
        <v>30.84</v>
      </c>
      <c r="I49" s="19" t="s">
        <v>41</v>
      </c>
      <c r="J49" s="19" t="s">
        <v>42</v>
      </c>
      <c r="K49" s="20" t="s">
        <v>50</v>
      </c>
      <c r="L49" s="23">
        <v>32.950000000000003</v>
      </c>
      <c r="M49" s="24">
        <f>10^2.68</f>
        <v>478.63009232263886</v>
      </c>
      <c r="N49" s="19">
        <v>2.68</v>
      </c>
      <c r="O49" s="21">
        <f t="shared" si="36"/>
        <v>0.87382002601611308</v>
      </c>
      <c r="P49" s="23">
        <v>29.87</v>
      </c>
      <c r="Q49" s="19" t="s">
        <v>41</v>
      </c>
      <c r="R49" s="20" t="s">
        <v>42</v>
      </c>
      <c r="S49" s="20" t="s">
        <v>50</v>
      </c>
      <c r="T49" s="23">
        <v>32.15</v>
      </c>
      <c r="U49" s="80">
        <f t="shared" si="38"/>
        <v>64</v>
      </c>
      <c r="V49" s="43">
        <f t="shared" si="32"/>
        <v>1.8061799739838871</v>
      </c>
      <c r="W49" s="20">
        <f t="shared" si="39"/>
        <v>364.90936773679846</v>
      </c>
      <c r="X49" s="20">
        <f t="shared" si="40"/>
        <v>2.5621850124580403</v>
      </c>
      <c r="Y49" s="21">
        <f t="shared" si="41"/>
        <v>0.75600503847415323</v>
      </c>
      <c r="Z49" s="23">
        <f t="shared" si="42"/>
        <v>31.452500000000001</v>
      </c>
      <c r="AA49" s="25">
        <f>STDEV(J49,N49,R49,F49)</f>
        <v>0.19798989873223585</v>
      </c>
      <c r="AB49" s="25">
        <f>AA49/X49*100</f>
        <v>7.7273849378384121</v>
      </c>
      <c r="AC49" s="26">
        <v>1</v>
      </c>
      <c r="AD49" s="26">
        <v>0.5</v>
      </c>
    </row>
    <row r="50" spans="1:34">
      <c r="C50" s="17">
        <f t="shared" si="33"/>
        <v>12.8</v>
      </c>
      <c r="D50" s="18">
        <f t="shared" si="31"/>
        <v>1.1072099696478683</v>
      </c>
      <c r="E50" s="80" t="s">
        <v>41</v>
      </c>
      <c r="F50" s="19" t="s">
        <v>42</v>
      </c>
      <c r="G50" s="20" t="s">
        <v>50</v>
      </c>
      <c r="H50" s="20" t="s">
        <v>50</v>
      </c>
      <c r="I50" s="80" t="s">
        <v>41</v>
      </c>
      <c r="J50" s="19" t="s">
        <v>42</v>
      </c>
      <c r="K50" s="20" t="s">
        <v>50</v>
      </c>
      <c r="L50" s="23">
        <v>31.73</v>
      </c>
      <c r="M50" s="24">
        <f>10^2.23</f>
        <v>169.82436524617444</v>
      </c>
      <c r="N50" s="19">
        <v>2.23</v>
      </c>
      <c r="O50" s="21">
        <f t="shared" si="36"/>
        <v>1.1227900303521317</v>
      </c>
      <c r="P50" s="23">
        <v>31.43</v>
      </c>
      <c r="Q50" s="24" t="s">
        <v>53</v>
      </c>
      <c r="R50" s="20" t="s">
        <v>50</v>
      </c>
      <c r="S50" s="20" t="s">
        <v>50</v>
      </c>
      <c r="T50" s="20" t="s">
        <v>50</v>
      </c>
      <c r="U50" s="17">
        <f t="shared" si="38"/>
        <v>12.8</v>
      </c>
      <c r="V50" s="43">
        <f t="shared" si="32"/>
        <v>1.1072099696478683</v>
      </c>
      <c r="W50" s="20">
        <f t="shared" si="39"/>
        <v>169.82436524617444</v>
      </c>
      <c r="X50" s="20">
        <f t="shared" si="40"/>
        <v>2.23</v>
      </c>
      <c r="Y50" s="21">
        <f t="shared" si="41"/>
        <v>1.1227900303521317</v>
      </c>
      <c r="Z50" s="23">
        <f t="shared" si="42"/>
        <v>31.58</v>
      </c>
      <c r="AA50" s="27" t="s">
        <v>50</v>
      </c>
      <c r="AB50" s="27" t="s">
        <v>50</v>
      </c>
      <c r="AC50" s="26">
        <v>0.75</v>
      </c>
      <c r="AD50" s="26">
        <v>0.25</v>
      </c>
    </row>
    <row r="51" spans="1:34">
      <c r="C51" s="17">
        <f>C50/5</f>
        <v>2.56</v>
      </c>
      <c r="D51" s="18">
        <f t="shared" si="31"/>
        <v>0.40823996531184958</v>
      </c>
      <c r="E51" s="80" t="s">
        <v>53</v>
      </c>
      <c r="F51" s="20" t="s">
        <v>50</v>
      </c>
      <c r="G51" s="20" t="s">
        <v>50</v>
      </c>
      <c r="H51" s="20" t="s">
        <v>50</v>
      </c>
      <c r="I51" s="80" t="s">
        <v>53</v>
      </c>
      <c r="J51" s="20" t="s">
        <v>50</v>
      </c>
      <c r="K51" s="20" t="s">
        <v>50</v>
      </c>
      <c r="L51" s="20" t="s">
        <v>50</v>
      </c>
      <c r="M51" s="80" t="s">
        <v>41</v>
      </c>
      <c r="N51" s="19" t="s">
        <v>42</v>
      </c>
      <c r="O51" s="20" t="s">
        <v>50</v>
      </c>
      <c r="P51" s="23">
        <v>33.39</v>
      </c>
      <c r="Q51" s="19" t="s">
        <v>53</v>
      </c>
      <c r="R51" s="20" t="s">
        <v>50</v>
      </c>
      <c r="S51" s="20" t="s">
        <v>50</v>
      </c>
      <c r="T51" s="20" t="s">
        <v>50</v>
      </c>
      <c r="U51" s="17">
        <f>U50/5</f>
        <v>2.56</v>
      </c>
      <c r="V51" s="43">
        <f t="shared" si="32"/>
        <v>0.40823996531184958</v>
      </c>
      <c r="W51" s="24" t="s">
        <v>16</v>
      </c>
      <c r="X51" s="20" t="s">
        <v>16</v>
      </c>
      <c r="Y51" s="20" t="s">
        <v>16</v>
      </c>
      <c r="Z51" s="23">
        <f>AVERAGE(P51,H51,L51,T51)</f>
        <v>33.39</v>
      </c>
      <c r="AA51" s="27" t="s">
        <v>16</v>
      </c>
      <c r="AB51" s="27" t="s">
        <v>16</v>
      </c>
      <c r="AC51" s="26">
        <v>0.25</v>
      </c>
      <c r="AD51" s="26">
        <v>0</v>
      </c>
    </row>
    <row r="52" spans="1:34">
      <c r="C52" s="28" t="s">
        <v>52</v>
      </c>
      <c r="D52" s="29" t="s">
        <v>17</v>
      </c>
      <c r="E52" s="28" t="s">
        <v>53</v>
      </c>
      <c r="F52" s="70" t="s">
        <v>50</v>
      </c>
      <c r="G52" s="70" t="s">
        <v>50</v>
      </c>
      <c r="H52" s="70" t="s">
        <v>50</v>
      </c>
      <c r="I52" s="28" t="s">
        <v>53</v>
      </c>
      <c r="J52" s="70" t="s">
        <v>50</v>
      </c>
      <c r="K52" s="70" t="s">
        <v>50</v>
      </c>
      <c r="L52" s="70" t="s">
        <v>50</v>
      </c>
      <c r="M52" s="28" t="s">
        <v>53</v>
      </c>
      <c r="N52" s="70" t="s">
        <v>50</v>
      </c>
      <c r="O52" s="70" t="s">
        <v>50</v>
      </c>
      <c r="P52" s="70" t="s">
        <v>50</v>
      </c>
      <c r="Q52" s="28" t="s">
        <v>53</v>
      </c>
      <c r="R52" s="70" t="s">
        <v>50</v>
      </c>
      <c r="S52" s="70" t="s">
        <v>50</v>
      </c>
      <c r="T52" s="70" t="s">
        <v>50</v>
      </c>
      <c r="U52" s="28" t="s">
        <v>52</v>
      </c>
      <c r="V52" s="44" t="s">
        <v>17</v>
      </c>
      <c r="W52" s="70" t="s">
        <v>50</v>
      </c>
      <c r="X52" s="70" t="s">
        <v>50</v>
      </c>
      <c r="Y52" s="70" t="s">
        <v>50</v>
      </c>
      <c r="Z52" s="70" t="s">
        <v>50</v>
      </c>
      <c r="AA52" s="31" t="s">
        <v>16</v>
      </c>
      <c r="AB52" s="31" t="s">
        <v>16</v>
      </c>
      <c r="AC52" s="32">
        <v>0</v>
      </c>
      <c r="AD52" s="88">
        <v>0</v>
      </c>
    </row>
    <row r="54" spans="1:34">
      <c r="X54" s="59" t="s">
        <v>27</v>
      </c>
      <c r="Y54" s="60"/>
      <c r="AA54" s="59" t="s">
        <v>28</v>
      </c>
      <c r="AB54" s="60"/>
    </row>
    <row r="55" spans="1:34">
      <c r="X55" s="65" t="s">
        <v>25</v>
      </c>
      <c r="Y55" s="56">
        <f>AVERAGE(Y44:Y48)</f>
        <v>-0.20784684355305388</v>
      </c>
      <c r="AA55" s="62">
        <f>AVERAGE(AA44:AA48)</f>
        <v>0.18684158649776866</v>
      </c>
      <c r="AB55" s="67" t="s">
        <v>31</v>
      </c>
    </row>
    <row r="56" spans="1:34">
      <c r="X56" s="66" t="s">
        <v>26</v>
      </c>
      <c r="Y56" s="78">
        <f>STDEV(Y44:Y48)</f>
        <v>0.20585383172214469</v>
      </c>
      <c r="AA56" s="63">
        <f>STDEV(AA44:AA48)</f>
        <v>4.9835833263618769E-2</v>
      </c>
      <c r="AB56" s="68" t="s">
        <v>29</v>
      </c>
    </row>
    <row r="57" spans="1:34">
      <c r="AB57" s="64">
        <f>AVERAGE(AB44:AB48)</f>
        <v>5.1794804180507032</v>
      </c>
      <c r="AC57" s="57" t="s">
        <v>32</v>
      </c>
    </row>
    <row r="58" spans="1:34">
      <c r="AB58" s="63">
        <f>STDEV(AB44:AB48)</f>
        <v>1.5193920628693165</v>
      </c>
      <c r="AC58" s="39" t="s">
        <v>30</v>
      </c>
    </row>
    <row r="61" spans="1:34">
      <c r="E61" s="38" t="s">
        <v>19</v>
      </c>
      <c r="F61" s="94"/>
      <c r="G61" s="2"/>
      <c r="J61" s="37" t="s">
        <v>20</v>
      </c>
      <c r="K61" s="94"/>
      <c r="O61" s="37" t="s">
        <v>21</v>
      </c>
      <c r="T61" s="37" t="s">
        <v>22</v>
      </c>
      <c r="U61" s="94"/>
      <c r="Y61" s="40" t="s">
        <v>0</v>
      </c>
      <c r="AA61" s="61"/>
    </row>
    <row r="62" spans="1:34" ht="29.4" customHeight="1">
      <c r="A62" s="48" t="s">
        <v>51</v>
      </c>
      <c r="B62" s="48"/>
      <c r="C62" s="33" t="s">
        <v>48</v>
      </c>
      <c r="D62" s="34"/>
      <c r="E62" s="34" t="s">
        <v>34</v>
      </c>
      <c r="F62" s="34"/>
      <c r="G62" s="34"/>
      <c r="H62" s="34"/>
      <c r="I62" s="36"/>
      <c r="J62" s="33" t="s">
        <v>34</v>
      </c>
      <c r="K62" s="34"/>
      <c r="L62" s="34"/>
      <c r="M62" s="34"/>
      <c r="N62" s="36"/>
      <c r="O62" s="33" t="s">
        <v>34</v>
      </c>
      <c r="P62" s="34"/>
      <c r="Q62" s="34"/>
      <c r="R62" s="34"/>
      <c r="S62" s="36"/>
      <c r="T62" s="33" t="s">
        <v>34</v>
      </c>
      <c r="U62" s="34"/>
      <c r="V62" s="34"/>
      <c r="W62" s="34"/>
      <c r="X62" s="36"/>
      <c r="Y62" s="33" t="s">
        <v>48</v>
      </c>
      <c r="Z62" s="41"/>
      <c r="AA62" s="87" t="s">
        <v>34</v>
      </c>
      <c r="AB62" s="34"/>
      <c r="AC62" s="34"/>
      <c r="AD62" s="36"/>
    </row>
    <row r="63" spans="1:34" ht="28.8">
      <c r="C63" s="76" t="s">
        <v>1</v>
      </c>
      <c r="D63" s="100" t="s">
        <v>2</v>
      </c>
      <c r="E63" s="76" t="s">
        <v>49</v>
      </c>
      <c r="F63" s="77" t="s">
        <v>44</v>
      </c>
      <c r="G63" s="77" t="s">
        <v>45</v>
      </c>
      <c r="H63" s="77" t="s">
        <v>46</v>
      </c>
      <c r="I63" s="101" t="s">
        <v>6</v>
      </c>
      <c r="J63" s="76" t="s">
        <v>49</v>
      </c>
      <c r="K63" s="77" t="s">
        <v>44</v>
      </c>
      <c r="L63" s="77" t="s">
        <v>45</v>
      </c>
      <c r="M63" s="77" t="s">
        <v>46</v>
      </c>
      <c r="N63" s="101" t="s">
        <v>6</v>
      </c>
      <c r="O63" s="76" t="s">
        <v>49</v>
      </c>
      <c r="P63" s="77" t="s">
        <v>44</v>
      </c>
      <c r="Q63" s="77" t="s">
        <v>45</v>
      </c>
      <c r="R63" s="77" t="s">
        <v>46</v>
      </c>
      <c r="S63" s="101" t="s">
        <v>6</v>
      </c>
      <c r="T63" s="76" t="s">
        <v>49</v>
      </c>
      <c r="U63" s="77" t="s">
        <v>44</v>
      </c>
      <c r="V63" s="77" t="s">
        <v>45</v>
      </c>
      <c r="W63" s="77" t="s">
        <v>46</v>
      </c>
      <c r="X63" s="101" t="s">
        <v>6</v>
      </c>
      <c r="Y63" s="49" t="s">
        <v>1</v>
      </c>
      <c r="Z63" s="54" t="s">
        <v>43</v>
      </c>
      <c r="AA63" s="77" t="s">
        <v>44</v>
      </c>
      <c r="AB63" s="77" t="s">
        <v>45</v>
      </c>
      <c r="AC63" s="77" t="s">
        <v>46</v>
      </c>
      <c r="AD63" s="101" t="s">
        <v>6</v>
      </c>
      <c r="AE63" s="77" t="s">
        <v>35</v>
      </c>
      <c r="AF63" s="104" t="s">
        <v>47</v>
      </c>
      <c r="AG63" s="103" t="s">
        <v>10</v>
      </c>
      <c r="AH63" s="102" t="s">
        <v>11</v>
      </c>
    </row>
    <row r="64" spans="1:34">
      <c r="C64" s="4">
        <v>200000</v>
      </c>
      <c r="D64" s="5">
        <f t="shared" ref="D64:D71" si="44">LOG(C64)</f>
        <v>5.3010299956639813</v>
      </c>
      <c r="E64" s="82">
        <v>346598</v>
      </c>
      <c r="F64" s="11">
        <f>E64*0.77</f>
        <v>266880.46000000002</v>
      </c>
      <c r="G64" s="7">
        <f>LOG(F64)</f>
        <v>5.4263167775161332</v>
      </c>
      <c r="H64" s="2">
        <f>G64-D64</f>
        <v>0.12528678185215192</v>
      </c>
      <c r="I64" s="10">
        <v>26.85</v>
      </c>
      <c r="J64">
        <v>106911</v>
      </c>
      <c r="K64">
        <f>J64*0.77</f>
        <v>82321.47</v>
      </c>
      <c r="L64" s="2">
        <f>LOG(K64)</f>
        <v>4.9155131169437398</v>
      </c>
      <c r="M64" s="2">
        <f>L64-D64</f>
        <v>-0.38551687872024143</v>
      </c>
      <c r="N64">
        <v>27.62</v>
      </c>
      <c r="O64" s="82">
        <v>147461</v>
      </c>
      <c r="P64" s="11">
        <f>O64*0.77</f>
        <v>113544.97</v>
      </c>
      <c r="Q64" s="7">
        <f t="shared" ref="Q64:Q69" si="45">LOG(P64)</f>
        <v>5.0551678998976337</v>
      </c>
      <c r="R64" s="2">
        <f>Q64-D64</f>
        <v>-0.24586209576634754</v>
      </c>
      <c r="S64" s="10">
        <v>27.15</v>
      </c>
      <c r="T64" s="95">
        <v>664453</v>
      </c>
      <c r="U64" s="95">
        <f>T64*0.77</f>
        <v>511628.81</v>
      </c>
      <c r="V64" s="2">
        <f>LOG(U64)</f>
        <v>5.7089549917717042</v>
      </c>
      <c r="W64" s="2">
        <f>V64-D64</f>
        <v>0.40792499610772293</v>
      </c>
      <c r="X64">
        <v>26.68</v>
      </c>
      <c r="Y64" s="4">
        <f>200000</f>
        <v>200000</v>
      </c>
      <c r="Z64" s="42">
        <f t="shared" ref="Z64:Z71" si="46">LOG(Y64)</f>
        <v>5.3010299956639813</v>
      </c>
      <c r="AA64" s="9">
        <f>AVERAGE(P64,K64,F64,U64)</f>
        <v>243593.92749999999</v>
      </c>
      <c r="AB64" s="2">
        <f>AVERAGE(Q64,L64,G64,V64)</f>
        <v>5.2764881965323029</v>
      </c>
      <c r="AC64" s="2">
        <f>AB64-Z64</f>
        <v>-2.454179913167831E-2</v>
      </c>
      <c r="AD64" s="10">
        <f>AVERAGE(S64,N64,I64,X64)</f>
        <v>27.075000000000003</v>
      </c>
      <c r="AE64" s="85">
        <f>STDEV(G64,L64,Q64,V64)</f>
        <v>0.35998232107085232</v>
      </c>
      <c r="AF64" s="12">
        <f>AE64/AB64*100</f>
        <v>6.8223846555258465</v>
      </c>
      <c r="AG64" s="96">
        <v>1</v>
      </c>
      <c r="AH64" s="96">
        <v>1</v>
      </c>
    </row>
    <row r="65" spans="3:34">
      <c r="C65" s="4">
        <f t="shared" ref="C65:C70" si="47">C64/5</f>
        <v>40000</v>
      </c>
      <c r="D65" s="5">
        <f t="shared" si="44"/>
        <v>4.6020599913279625</v>
      </c>
      <c r="E65" s="82">
        <v>80733</v>
      </c>
      <c r="F65" s="11">
        <f t="shared" ref="F65:F70" si="48">E65*0.77</f>
        <v>62164.41</v>
      </c>
      <c r="G65" s="7">
        <f t="shared" ref="G64:G70" si="49">LOG(F65)</f>
        <v>4.7935418161327741</v>
      </c>
      <c r="H65" s="2">
        <f t="shared" ref="H65:H70" si="50">G65-D65</f>
        <v>0.19148182480481157</v>
      </c>
      <c r="I65" s="10">
        <v>29.08</v>
      </c>
      <c r="J65">
        <v>33655</v>
      </c>
      <c r="K65">
        <f t="shared" ref="K65:K69" si="51">J65*0.77</f>
        <v>25914.350000000002</v>
      </c>
      <c r="L65" s="2">
        <f t="shared" ref="L64:L69" si="52">LOG(K65)</f>
        <v>4.4135403200652465</v>
      </c>
      <c r="M65" s="2">
        <f t="shared" ref="M65:M69" si="53">L65-D65</f>
        <v>-0.18851967126271596</v>
      </c>
      <c r="N65">
        <v>29.32</v>
      </c>
      <c r="O65" s="82">
        <v>23509</v>
      </c>
      <c r="P65" s="11">
        <f t="shared" ref="P65:P69" si="54">O65*0.77</f>
        <v>18101.93</v>
      </c>
      <c r="Q65" s="7">
        <f t="shared" si="45"/>
        <v>4.257724881149036</v>
      </c>
      <c r="R65" s="2">
        <f t="shared" ref="R65:R69" si="55">Q65-D65</f>
        <v>-0.34433511017892648</v>
      </c>
      <c r="S65" s="10">
        <v>29.85</v>
      </c>
      <c r="T65" s="95">
        <v>147813</v>
      </c>
      <c r="U65" s="95">
        <f t="shared" ref="U65:U71" si="56">T65*0.77</f>
        <v>113816.01000000001</v>
      </c>
      <c r="V65" s="2">
        <f t="shared" ref="V65:V71" si="57">LOG(U65)</f>
        <v>5.0562033566601459</v>
      </c>
      <c r="W65" s="2">
        <f t="shared" ref="W65:W71" si="58">V65-D65</f>
        <v>0.45414336533218336</v>
      </c>
      <c r="X65">
        <v>30.03</v>
      </c>
      <c r="Y65" s="4">
        <f t="shared" ref="Y65:Y70" si="59">Y64/5</f>
        <v>40000</v>
      </c>
      <c r="Z65" s="42">
        <f t="shared" si="46"/>
        <v>4.6020599913279625</v>
      </c>
      <c r="AA65" s="9">
        <f>AVERAGE(P65,K65,F65,U65)</f>
        <v>54999.175000000003</v>
      </c>
      <c r="AB65" s="2">
        <f>AVERAGE(Q65,L65,G65,V65)</f>
        <v>4.6302525935018002</v>
      </c>
      <c r="AC65" s="2">
        <f t="shared" ref="AC65:AC71" si="60">AB65-Z65</f>
        <v>2.8192602173837678E-2</v>
      </c>
      <c r="AD65" s="10">
        <f>AVERAGE(S65,N65,I65,X65)</f>
        <v>29.57</v>
      </c>
      <c r="AE65" s="8">
        <f>STDEV(G65,L65,Q65,V65)</f>
        <v>0.36232514347907918</v>
      </c>
      <c r="AF65" s="12">
        <f>AE65/AB65*100</f>
        <v>7.8251701427169307</v>
      </c>
      <c r="AG65" s="96">
        <v>1</v>
      </c>
      <c r="AH65" s="96">
        <v>1</v>
      </c>
    </row>
    <row r="66" spans="3:34">
      <c r="C66" s="4">
        <f t="shared" si="47"/>
        <v>8000</v>
      </c>
      <c r="D66" s="5">
        <f t="shared" si="44"/>
        <v>3.9030899869919438</v>
      </c>
      <c r="E66" s="82">
        <v>21983</v>
      </c>
      <c r="F66" s="11">
        <f t="shared" si="48"/>
        <v>16926.91</v>
      </c>
      <c r="G66" s="7">
        <f t="shared" si="49"/>
        <v>4.2285776850770604</v>
      </c>
      <c r="H66" s="2">
        <f t="shared" si="50"/>
        <v>0.32548769808511668</v>
      </c>
      <c r="I66" s="10">
        <v>31.07</v>
      </c>
      <c r="J66">
        <v>5659</v>
      </c>
      <c r="K66">
        <f t="shared" si="51"/>
        <v>4357.43</v>
      </c>
      <c r="L66" s="2">
        <f t="shared" si="52"/>
        <v>3.6392304191078098</v>
      </c>
      <c r="M66" s="2">
        <f t="shared" si="53"/>
        <v>-0.26385956788413401</v>
      </c>
      <c r="N66">
        <v>31.94</v>
      </c>
      <c r="O66" s="82">
        <v>4608</v>
      </c>
      <c r="P66" s="11">
        <f t="shared" si="54"/>
        <v>3548.16</v>
      </c>
      <c r="Q66" s="7">
        <f t="shared" si="45"/>
        <v>3.5500031955876374</v>
      </c>
      <c r="R66" s="2">
        <f t="shared" si="55"/>
        <v>-0.35308679140430632</v>
      </c>
      <c r="S66" s="10">
        <v>32.25</v>
      </c>
      <c r="T66" s="95">
        <v>29006</v>
      </c>
      <c r="U66" s="95">
        <f t="shared" si="56"/>
        <v>22334.62</v>
      </c>
      <c r="V66" s="2">
        <f t="shared" si="57"/>
        <v>4.3489785678082136</v>
      </c>
      <c r="W66" s="2">
        <f t="shared" si="58"/>
        <v>0.44588858081626981</v>
      </c>
      <c r="X66">
        <v>32.130000000000003</v>
      </c>
      <c r="Y66" s="4">
        <f t="shared" si="59"/>
        <v>8000</v>
      </c>
      <c r="Z66" s="42">
        <f t="shared" si="46"/>
        <v>3.9030899869919438</v>
      </c>
      <c r="AA66" s="9">
        <f>AVERAGE(P66,K66,F66,U66)</f>
        <v>11791.779999999999</v>
      </c>
      <c r="AB66" s="2">
        <f>AVERAGE(Q66,L66,G66,V66)</f>
        <v>3.9416974668951803</v>
      </c>
      <c r="AC66" s="2">
        <f t="shared" si="60"/>
        <v>3.8607479903236541E-2</v>
      </c>
      <c r="AD66" s="10">
        <f>AVERAGE(S66,N66,I66,X66)</f>
        <v>31.847499999999997</v>
      </c>
      <c r="AE66" s="8">
        <f>STDEV(G66,L66,Q66,V66)</f>
        <v>0.40541701654690171</v>
      </c>
      <c r="AF66" s="12">
        <f>AE66/AB66*100</f>
        <v>10.285340768839953</v>
      </c>
      <c r="AG66" s="96">
        <v>1</v>
      </c>
      <c r="AH66" s="96">
        <v>1</v>
      </c>
    </row>
    <row r="67" spans="3:34">
      <c r="C67" s="4">
        <f t="shared" si="47"/>
        <v>1600</v>
      </c>
      <c r="D67" s="5">
        <f t="shared" si="44"/>
        <v>3.2041199826559246</v>
      </c>
      <c r="E67" s="82">
        <v>7077</v>
      </c>
      <c r="F67" s="11">
        <f t="shared" si="48"/>
        <v>5449.29</v>
      </c>
      <c r="G67" s="7">
        <f t="shared" si="49"/>
        <v>3.7363399207777399</v>
      </c>
      <c r="H67" s="2">
        <f t="shared" si="50"/>
        <v>0.53221993812181534</v>
      </c>
      <c r="I67" s="10">
        <v>32.81</v>
      </c>
      <c r="J67">
        <v>1002</v>
      </c>
      <c r="K67">
        <f t="shared" si="51"/>
        <v>771.54</v>
      </c>
      <c r="L67" s="2">
        <f t="shared" si="52"/>
        <v>2.8873584467037086</v>
      </c>
      <c r="M67" s="2">
        <f t="shared" si="53"/>
        <v>-0.31676153595221601</v>
      </c>
      <c r="N67">
        <v>34.49</v>
      </c>
      <c r="O67" s="82">
        <v>1316</v>
      </c>
      <c r="P67" s="11">
        <f t="shared" si="54"/>
        <v>1013.32</v>
      </c>
      <c r="Q67" s="7">
        <f t="shared" si="45"/>
        <v>3.0057466144504188</v>
      </c>
      <c r="R67" s="2">
        <f t="shared" si="55"/>
        <v>-0.19837336820550577</v>
      </c>
      <c r="S67" s="10">
        <v>34.090000000000003</v>
      </c>
      <c r="T67" s="95">
        <v>13325</v>
      </c>
      <c r="U67" s="95">
        <f t="shared" si="56"/>
        <v>10260.25</v>
      </c>
      <c r="V67" s="2">
        <f t="shared" si="57"/>
        <v>4.0111579428710922</v>
      </c>
      <c r="W67" s="2">
        <f t="shared" si="58"/>
        <v>0.8070379602151676</v>
      </c>
      <c r="X67">
        <v>33.71</v>
      </c>
      <c r="Y67" s="4">
        <f t="shared" si="59"/>
        <v>1600</v>
      </c>
      <c r="Z67" s="42">
        <f t="shared" si="46"/>
        <v>3.2041199826559246</v>
      </c>
      <c r="AA67" s="9">
        <f>AVERAGE(P67,K67,F67,U67)</f>
        <v>4373.6000000000004</v>
      </c>
      <c r="AB67" s="2">
        <f>AVERAGE(Q67,L67,G67,V67)</f>
        <v>3.4101507312007397</v>
      </c>
      <c r="AC67" s="2">
        <f t="shared" si="60"/>
        <v>0.20603074854481518</v>
      </c>
      <c r="AD67" s="10">
        <f>AVERAGE(S67,N67,I67,X67)</f>
        <v>33.775000000000006</v>
      </c>
      <c r="AE67" s="8">
        <f>STDEV(G67,L67,Q67,V67)</f>
        <v>0.54907908302626518</v>
      </c>
      <c r="AF67" s="12">
        <f>AE67/AB67*100</f>
        <v>16.101314173667927</v>
      </c>
      <c r="AG67" s="96">
        <v>1</v>
      </c>
      <c r="AH67" s="96">
        <v>1</v>
      </c>
    </row>
    <row r="68" spans="3:34">
      <c r="C68" s="80">
        <f t="shared" si="47"/>
        <v>320</v>
      </c>
      <c r="D68" s="18">
        <f t="shared" si="44"/>
        <v>2.5051499783199058</v>
      </c>
      <c r="E68" s="17">
        <v>1440</v>
      </c>
      <c r="F68" s="24">
        <f t="shared" si="48"/>
        <v>1108.8</v>
      </c>
      <c r="G68" s="20">
        <f t="shared" si="49"/>
        <v>3.0448532172677316</v>
      </c>
      <c r="H68" s="21">
        <f t="shared" si="50"/>
        <v>0.53970323894782579</v>
      </c>
      <c r="I68" s="23">
        <v>35.25</v>
      </c>
      <c r="J68" s="71">
        <v>620</v>
      </c>
      <c r="K68" s="71">
        <f t="shared" si="51"/>
        <v>477.40000000000003</v>
      </c>
      <c r="L68" s="21">
        <f t="shared" si="52"/>
        <v>2.6788824146707357</v>
      </c>
      <c r="M68" s="21">
        <f t="shared" si="53"/>
        <v>0.17373243635082991</v>
      </c>
      <c r="N68" s="71">
        <v>35.19</v>
      </c>
      <c r="O68" s="17">
        <v>203</v>
      </c>
      <c r="P68" s="24">
        <f t="shared" si="54"/>
        <v>156.31</v>
      </c>
      <c r="Q68" s="20">
        <f t="shared" si="45"/>
        <v>2.1939867630856948</v>
      </c>
      <c r="R68" s="21">
        <f t="shared" si="55"/>
        <v>-0.31116321523421098</v>
      </c>
      <c r="S68" s="23">
        <v>36.840000000000003</v>
      </c>
      <c r="T68" s="22">
        <v>2577</v>
      </c>
      <c r="U68" s="22">
        <f t="shared" si="56"/>
        <v>1984.29</v>
      </c>
      <c r="V68" s="21">
        <f t="shared" si="57"/>
        <v>3.2976051437233864</v>
      </c>
      <c r="W68" s="21">
        <f t="shared" si="58"/>
        <v>0.7924551654034806</v>
      </c>
      <c r="X68" s="71">
        <v>34.729999999999997</v>
      </c>
      <c r="Y68" s="80">
        <f t="shared" si="59"/>
        <v>320</v>
      </c>
      <c r="Z68" s="43">
        <f t="shared" si="46"/>
        <v>2.5051499783199058</v>
      </c>
      <c r="AA68" s="22">
        <f>AVERAGE(P68,K68,F68,U68)</f>
        <v>931.7</v>
      </c>
      <c r="AB68" s="21">
        <f>AVERAGE(Q68,L68,G68,V68)</f>
        <v>2.803831884686887</v>
      </c>
      <c r="AC68" s="21">
        <f t="shared" si="60"/>
        <v>0.29868190636698122</v>
      </c>
      <c r="AD68" s="23">
        <f>AVERAGE(S68,N68,I68,X68)</f>
        <v>35.502499999999998</v>
      </c>
      <c r="AE68" s="21">
        <f>STDEV(G68,L68,Q68,V68)</f>
        <v>0.47938389504886558</v>
      </c>
      <c r="AF68" s="25">
        <f>AE68/AB68*100</f>
        <v>17.097455010302802</v>
      </c>
      <c r="AG68" s="98">
        <v>1</v>
      </c>
      <c r="AH68" s="98">
        <v>1</v>
      </c>
    </row>
    <row r="69" spans="3:34">
      <c r="C69" s="80">
        <f t="shared" si="47"/>
        <v>64</v>
      </c>
      <c r="D69" s="18">
        <f t="shared" si="44"/>
        <v>1.8061799739838871</v>
      </c>
      <c r="E69" s="17">
        <v>671</v>
      </c>
      <c r="F69" s="24">
        <f t="shared" si="48"/>
        <v>516.66999999999996</v>
      </c>
      <c r="G69" s="20">
        <f t="shared" si="49"/>
        <v>2.7132132453414739</v>
      </c>
      <c r="H69" s="21">
        <f t="shared" si="50"/>
        <v>0.90703327135758682</v>
      </c>
      <c r="I69" s="23">
        <v>36.42</v>
      </c>
      <c r="J69" s="71">
        <v>245</v>
      </c>
      <c r="K69" s="71">
        <f t="shared" si="51"/>
        <v>188.65</v>
      </c>
      <c r="L69" s="21">
        <f t="shared" si="52"/>
        <v>2.2756568095370144</v>
      </c>
      <c r="M69" s="21">
        <f t="shared" si="53"/>
        <v>0.46947683555312736</v>
      </c>
      <c r="N69" s="71">
        <v>36.56</v>
      </c>
      <c r="O69" s="17">
        <v>92</v>
      </c>
      <c r="P69" s="24">
        <f t="shared" si="54"/>
        <v>70.84</v>
      </c>
      <c r="Q69" s="20">
        <f t="shared" si="45"/>
        <v>1.8502785525180372</v>
      </c>
      <c r="R69" s="21">
        <f t="shared" si="55"/>
        <v>4.4098578534150112E-2</v>
      </c>
      <c r="S69" s="23">
        <v>38</v>
      </c>
      <c r="T69" s="22">
        <v>769</v>
      </c>
      <c r="U69" s="22">
        <f t="shared" si="56"/>
        <v>592.13</v>
      </c>
      <c r="V69" s="21">
        <f t="shared" si="57"/>
        <v>2.7724170649739128</v>
      </c>
      <c r="W69" s="21">
        <f t="shared" si="58"/>
        <v>0.96623709099002575</v>
      </c>
      <c r="X69" s="71">
        <v>35.44</v>
      </c>
      <c r="Y69" s="80">
        <f t="shared" si="59"/>
        <v>64</v>
      </c>
      <c r="Z69" s="43">
        <f t="shared" si="46"/>
        <v>1.8061799739838871</v>
      </c>
      <c r="AA69" s="22">
        <f>AVERAGE(P69,K69,F69,U69)</f>
        <v>342.07249999999999</v>
      </c>
      <c r="AB69" s="21">
        <f>AVERAGE(Q69,L69,G69,V69)</f>
        <v>2.4028914180926098</v>
      </c>
      <c r="AC69" s="21">
        <f t="shared" si="60"/>
        <v>0.59671144410872268</v>
      </c>
      <c r="AD69" s="23">
        <f>AVERAGE(S69,N69,I69,X69)</f>
        <v>36.605000000000004</v>
      </c>
      <c r="AE69" s="21">
        <f>STDEV(G69,L69,Q69,V69)</f>
        <v>0.4298908640507737</v>
      </c>
      <c r="AF69" s="25">
        <f>AE69/AB69*100</f>
        <v>17.890565541742898</v>
      </c>
      <c r="AG69" s="98">
        <v>1</v>
      </c>
      <c r="AH69" s="98">
        <v>1</v>
      </c>
    </row>
    <row r="70" spans="3:34">
      <c r="C70" s="17">
        <f t="shared" si="47"/>
        <v>12.8</v>
      </c>
      <c r="D70" s="18">
        <f t="shared" si="44"/>
        <v>1.1072099696478683</v>
      </c>
      <c r="E70" s="80">
        <v>154</v>
      </c>
      <c r="F70" s="24">
        <f t="shared" si="48"/>
        <v>118.58</v>
      </c>
      <c r="G70" s="20">
        <f t="shared" si="49"/>
        <v>2.0740114460089449</v>
      </c>
      <c r="H70" s="21">
        <f t="shared" si="50"/>
        <v>0.96680147636107661</v>
      </c>
      <c r="I70" s="23">
        <v>38.68</v>
      </c>
      <c r="J70" s="19" t="s">
        <v>53</v>
      </c>
      <c r="K70" s="20" t="s">
        <v>50</v>
      </c>
      <c r="L70" s="20" t="s">
        <v>50</v>
      </c>
      <c r="M70" s="20" t="s">
        <v>50</v>
      </c>
      <c r="N70" s="20" t="s">
        <v>50</v>
      </c>
      <c r="O70" s="80" t="s">
        <v>53</v>
      </c>
      <c r="P70" s="20" t="s">
        <v>50</v>
      </c>
      <c r="Q70" s="20" t="s">
        <v>50</v>
      </c>
      <c r="R70" s="20" t="s">
        <v>50</v>
      </c>
      <c r="S70" s="20" t="s">
        <v>50</v>
      </c>
      <c r="T70" s="17">
        <v>549</v>
      </c>
      <c r="U70" s="22">
        <f t="shared" si="56"/>
        <v>422.73</v>
      </c>
      <c r="V70" s="21">
        <f t="shared" si="57"/>
        <v>2.6260630696225737</v>
      </c>
      <c r="W70" s="21">
        <f t="shared" si="58"/>
        <v>1.5188530999747054</v>
      </c>
      <c r="X70" s="71">
        <v>40</v>
      </c>
      <c r="Y70" s="17">
        <f t="shared" si="59"/>
        <v>12.8</v>
      </c>
      <c r="Z70" s="43">
        <f t="shared" si="46"/>
        <v>1.1072099696478683</v>
      </c>
      <c r="AA70" s="22">
        <f>AVERAGE(P70,K70,F70,U70)</f>
        <v>270.65500000000003</v>
      </c>
      <c r="AB70" s="21">
        <f>AVERAGE(Q70,L70,G70,V70)</f>
        <v>2.3500372578157593</v>
      </c>
      <c r="AC70" s="21">
        <f t="shared" si="60"/>
        <v>1.242827288167891</v>
      </c>
      <c r="AD70" s="23">
        <f>AVERAGE(S70,N70,I70,X70)</f>
        <v>39.340000000000003</v>
      </c>
      <c r="AE70" s="21">
        <f>STDEV(G70,L70,Q70,V70)</f>
        <v>0.39035944662224076</v>
      </c>
      <c r="AF70" s="25">
        <f>AE70/AB70*100</f>
        <v>16.610776928067096</v>
      </c>
      <c r="AG70" s="98">
        <v>0.5</v>
      </c>
      <c r="AH70" s="98">
        <v>0.5</v>
      </c>
    </row>
    <row r="71" spans="3:34">
      <c r="C71" s="17">
        <f>C70/5</f>
        <v>2.56</v>
      </c>
      <c r="D71" s="18">
        <f t="shared" si="44"/>
        <v>0.40823996531184958</v>
      </c>
      <c r="E71" s="80" t="s">
        <v>53</v>
      </c>
      <c r="F71" s="20" t="s">
        <v>50</v>
      </c>
      <c r="G71" s="20" t="s">
        <v>50</v>
      </c>
      <c r="H71" s="20" t="s">
        <v>50</v>
      </c>
      <c r="I71" s="20" t="s">
        <v>50</v>
      </c>
      <c r="J71" s="80" t="s">
        <v>53</v>
      </c>
      <c r="K71" s="20" t="s">
        <v>50</v>
      </c>
      <c r="L71" s="20" t="s">
        <v>50</v>
      </c>
      <c r="M71" s="20" t="s">
        <v>50</v>
      </c>
      <c r="N71" s="20" t="s">
        <v>50</v>
      </c>
      <c r="O71" s="80" t="s">
        <v>53</v>
      </c>
      <c r="P71" s="20" t="s">
        <v>50</v>
      </c>
      <c r="Q71" s="20" t="s">
        <v>50</v>
      </c>
      <c r="R71" s="20" t="s">
        <v>50</v>
      </c>
      <c r="S71" s="20" t="s">
        <v>50</v>
      </c>
      <c r="T71" s="17">
        <v>340</v>
      </c>
      <c r="U71" s="22">
        <f t="shared" si="56"/>
        <v>261.8</v>
      </c>
      <c r="V71" s="21">
        <f t="shared" si="57"/>
        <v>2.4179696422147372</v>
      </c>
      <c r="W71" s="21">
        <f t="shared" si="58"/>
        <v>2.0097296769028876</v>
      </c>
      <c r="X71" s="71">
        <v>38.68</v>
      </c>
      <c r="Y71" s="17">
        <f>Y70/5</f>
        <v>2.56</v>
      </c>
      <c r="Z71" s="43">
        <f t="shared" si="46"/>
        <v>0.40823996531184958</v>
      </c>
      <c r="AA71" s="22">
        <f>AVERAGE(P71,K71,F71,U71)</f>
        <v>261.8</v>
      </c>
      <c r="AB71" s="21">
        <f>AVERAGE(Q71,L71,G71,V71)</f>
        <v>2.4179696422147372</v>
      </c>
      <c r="AC71" s="21">
        <f t="shared" si="60"/>
        <v>2.0097296769028876</v>
      </c>
      <c r="AD71" s="23">
        <f>AVERAGE(S71,N71,I71,X71)</f>
        <v>38.68</v>
      </c>
      <c r="AE71" s="20" t="s">
        <v>50</v>
      </c>
      <c r="AF71" s="27" t="s">
        <v>50</v>
      </c>
      <c r="AG71" s="98">
        <v>0.5</v>
      </c>
      <c r="AH71" s="98">
        <v>0.5</v>
      </c>
    </row>
    <row r="72" spans="3:34">
      <c r="C72" s="28" t="s">
        <v>52</v>
      </c>
      <c r="D72" s="29" t="s">
        <v>17</v>
      </c>
      <c r="E72" s="28" t="s">
        <v>53</v>
      </c>
      <c r="F72" s="70" t="s">
        <v>50</v>
      </c>
      <c r="G72" s="70" t="s">
        <v>50</v>
      </c>
      <c r="H72" s="70" t="s">
        <v>50</v>
      </c>
      <c r="I72" s="70" t="s">
        <v>50</v>
      </c>
      <c r="J72" s="28" t="s">
        <v>53</v>
      </c>
      <c r="K72" s="70" t="s">
        <v>50</v>
      </c>
      <c r="L72" s="70" t="s">
        <v>50</v>
      </c>
      <c r="M72" s="70" t="s">
        <v>50</v>
      </c>
      <c r="N72" s="70" t="s">
        <v>50</v>
      </c>
      <c r="O72" s="28" t="s">
        <v>53</v>
      </c>
      <c r="P72" s="70" t="s">
        <v>50</v>
      </c>
      <c r="Q72" s="70" t="s">
        <v>50</v>
      </c>
      <c r="R72" s="70" t="s">
        <v>50</v>
      </c>
      <c r="S72" s="70" t="s">
        <v>50</v>
      </c>
      <c r="T72" s="28" t="s">
        <v>53</v>
      </c>
      <c r="U72" s="70" t="s">
        <v>50</v>
      </c>
      <c r="V72" s="70" t="s">
        <v>50</v>
      </c>
      <c r="W72" s="70" t="s">
        <v>50</v>
      </c>
      <c r="X72" s="70" t="s">
        <v>50</v>
      </c>
      <c r="Y72" s="28" t="s">
        <v>52</v>
      </c>
      <c r="Z72" s="44" t="s">
        <v>17</v>
      </c>
      <c r="AA72" s="70" t="s">
        <v>50</v>
      </c>
      <c r="AB72" s="70" t="s">
        <v>50</v>
      </c>
      <c r="AC72" s="70" t="s">
        <v>50</v>
      </c>
      <c r="AD72" s="81" t="s">
        <v>50</v>
      </c>
      <c r="AE72" s="70" t="s">
        <v>16</v>
      </c>
      <c r="AF72" s="31" t="s">
        <v>50</v>
      </c>
      <c r="AG72" s="99">
        <v>0</v>
      </c>
      <c r="AH72" s="99">
        <v>0</v>
      </c>
    </row>
    <row r="74" spans="3:34">
      <c r="AB74" s="59" t="s">
        <v>27</v>
      </c>
      <c r="AC74" s="60"/>
      <c r="AE74" s="59" t="s">
        <v>28</v>
      </c>
      <c r="AF74" s="60"/>
    </row>
    <row r="75" spans="3:34">
      <c r="AB75" s="105" t="s">
        <v>25</v>
      </c>
      <c r="AC75" s="56">
        <f>AVERAGE(AC64:AC69)</f>
        <v>0.1906137303276525</v>
      </c>
      <c r="AE75" s="62">
        <f>AVERAGE(AE64:AE69)</f>
        <v>0.43101305387045635</v>
      </c>
      <c r="AF75" s="109" t="s">
        <v>31</v>
      </c>
      <c r="AG75" s="108"/>
    </row>
    <row r="76" spans="3:34">
      <c r="AB76" s="106" t="s">
        <v>26</v>
      </c>
      <c r="AC76" s="112">
        <f>STDEV(AC64:AC69)</f>
        <v>0.23349954739020837</v>
      </c>
      <c r="AE76" s="110">
        <f>STDEV(AE64:AE69)</f>
        <v>7.307412125995065E-2</v>
      </c>
      <c r="AF76" s="107"/>
      <c r="AG76" s="108"/>
    </row>
    <row r="77" spans="3:34">
      <c r="AE77" s="108"/>
      <c r="AF77" s="111">
        <f>AVERAGE(AF64:AF69)</f>
        <v>12.670371715466059</v>
      </c>
      <c r="AG77" s="109" t="s">
        <v>32</v>
      </c>
    </row>
    <row r="78" spans="3:34">
      <c r="AF78" s="110">
        <f>STDEV(AF64:AF69)</f>
        <v>4.9393149279019815</v>
      </c>
      <c r="AG78" s="107" t="s">
        <v>30</v>
      </c>
    </row>
    <row r="79" spans="3:34">
      <c r="AG79" s="108"/>
    </row>
  </sheetData>
  <mergeCells count="37">
    <mergeCell ref="AB74:AC74"/>
    <mergeCell ref="AE74:AF74"/>
    <mergeCell ref="O62:S62"/>
    <mergeCell ref="T62:X62"/>
    <mergeCell ref="E62:I62"/>
    <mergeCell ref="J62:N62"/>
    <mergeCell ref="W4:Z4"/>
    <mergeCell ref="W42:Z42"/>
    <mergeCell ref="X54:Y54"/>
    <mergeCell ref="AA54:AB54"/>
    <mergeCell ref="C62:D62"/>
    <mergeCell ref="Y62:Z62"/>
    <mergeCell ref="AA62:AD62"/>
    <mergeCell ref="AB35:AC35"/>
    <mergeCell ref="AE35:AF35"/>
    <mergeCell ref="C42:D42"/>
    <mergeCell ref="E42:H42"/>
    <mergeCell ref="I42:L42"/>
    <mergeCell ref="M42:P42"/>
    <mergeCell ref="Q42:T42"/>
    <mergeCell ref="U42:V42"/>
    <mergeCell ref="Y23:Z23"/>
    <mergeCell ref="I23:L23"/>
    <mergeCell ref="M23:P23"/>
    <mergeCell ref="Q23:T23"/>
    <mergeCell ref="U23:X23"/>
    <mergeCell ref="X16:Y16"/>
    <mergeCell ref="AA16:AB16"/>
    <mergeCell ref="C23:D23"/>
    <mergeCell ref="E23:H23"/>
    <mergeCell ref="AA23:AD23"/>
    <mergeCell ref="U4:V4"/>
    <mergeCell ref="C4:D4"/>
    <mergeCell ref="E4:H4"/>
    <mergeCell ref="I4:L4"/>
    <mergeCell ref="Q4:T4"/>
    <mergeCell ref="M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C.H.U. de Liège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c160014</dc:creator>
  <cp:lastModifiedBy>c160014</cp:lastModifiedBy>
  <dcterms:created xsi:type="dcterms:W3CDTF">2019-04-18T10:28:18Z</dcterms:created>
  <dcterms:modified xsi:type="dcterms:W3CDTF">2019-04-19T12:17:42Z</dcterms:modified>
</cp:coreProperties>
</file>