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V10" i="1"/>
  <c r="U10" i="1"/>
  <c r="T10" i="1"/>
  <c r="V8" i="1"/>
  <c r="U8" i="1"/>
  <c r="U7" i="1"/>
  <c r="V7" i="1"/>
  <c r="T7" i="1"/>
  <c r="V6" i="1"/>
  <c r="U6" i="1"/>
  <c r="T6" i="1"/>
  <c r="U5" i="1" l="1"/>
  <c r="V5" i="1"/>
  <c r="T5" i="1"/>
  <c r="P16" i="1"/>
  <c r="P17" i="1" s="1"/>
  <c r="P18" i="1" s="1"/>
  <c r="O16" i="1"/>
  <c r="N16" i="1"/>
  <c r="P9" i="1"/>
  <c r="O9" i="1"/>
  <c r="N9" i="1"/>
  <c r="O19" i="1"/>
  <c r="P19" i="1"/>
  <c r="O20" i="1"/>
  <c r="P20" i="1"/>
  <c r="O21" i="1"/>
  <c r="P21" i="1"/>
  <c r="O23" i="1"/>
  <c r="P23" i="1"/>
  <c r="O24" i="1"/>
  <c r="P24" i="1"/>
  <c r="P27" i="1"/>
  <c r="O27" i="1"/>
  <c r="N27" i="1"/>
  <c r="N24" i="1"/>
  <c r="N23" i="1"/>
  <c r="N21" i="1"/>
  <c r="N20" i="1"/>
  <c r="N19" i="1"/>
  <c r="O15" i="1"/>
  <c r="P15" i="1"/>
  <c r="N15" i="1"/>
  <c r="O14" i="1"/>
  <c r="P14" i="1"/>
  <c r="N14" i="1"/>
  <c r="N17" i="1" s="1"/>
  <c r="N18" i="1" s="1"/>
  <c r="O17" i="1" l="1"/>
  <c r="O18" i="1" s="1"/>
  <c r="O8" i="1"/>
  <c r="P8" i="1"/>
  <c r="P13" i="1"/>
  <c r="O13" i="1"/>
  <c r="N13" i="1"/>
  <c r="N8" i="1"/>
  <c r="P7" i="1"/>
  <c r="O7" i="1"/>
  <c r="N7" i="1"/>
  <c r="O6" i="1"/>
  <c r="O22" i="1" s="1"/>
  <c r="P6" i="1"/>
  <c r="P22" i="1" s="1"/>
  <c r="P25" i="1" s="1"/>
  <c r="N6" i="1"/>
  <c r="N22" i="1" s="1"/>
  <c r="N25" i="1" s="1"/>
  <c r="I27" i="1"/>
  <c r="G27" i="1"/>
  <c r="H27" i="1"/>
  <c r="H26" i="1"/>
  <c r="I26" i="1"/>
  <c r="G26" i="1"/>
  <c r="J25" i="1"/>
  <c r="I25" i="1"/>
  <c r="H25" i="1"/>
  <c r="G25" i="1"/>
  <c r="H21" i="1"/>
  <c r="I21" i="1"/>
  <c r="G21" i="1"/>
  <c r="I20" i="1"/>
  <c r="H20" i="1"/>
  <c r="G20" i="1"/>
  <c r="I16" i="1"/>
  <c r="H16" i="1"/>
  <c r="J15" i="1"/>
  <c r="G16" i="1" s="1"/>
  <c r="I15" i="1"/>
  <c r="H15" i="1"/>
  <c r="N5" i="1"/>
  <c r="O5" i="1" s="1"/>
  <c r="G15" i="1"/>
  <c r="G14" i="1"/>
  <c r="H14" i="1" s="1"/>
  <c r="I14" i="1" s="1"/>
  <c r="C3" i="1"/>
  <c r="N10" i="1" l="1"/>
  <c r="O25" i="1"/>
  <c r="O10" i="1"/>
  <c r="P10" i="1"/>
  <c r="P5" i="1"/>
  <c r="N11" i="1" l="1"/>
  <c r="N12" i="1" s="1"/>
  <c r="N26" i="1" s="1"/>
  <c r="N28" i="1" s="1"/>
  <c r="P11" i="1"/>
  <c r="P12" i="1" s="1"/>
  <c r="P26" i="1" s="1"/>
  <c r="P28" i="1" s="1"/>
  <c r="O11" i="1"/>
  <c r="O12" i="1" s="1"/>
  <c r="O26" i="1" s="1"/>
  <c r="O28" i="1" s="1"/>
  <c r="T9" i="1" l="1"/>
  <c r="U9" i="1"/>
  <c r="V9" i="1"/>
</calcChain>
</file>

<file path=xl/comments1.xml><?xml version="1.0" encoding="utf-8"?>
<comments xmlns="http://schemas.openxmlformats.org/spreadsheetml/2006/main">
  <authors>
    <author>Auteur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Amortization factor [year-1]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Plant life [year]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Interest rate [-]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Initial osmotic concentration [g L-1]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Pump cost [$]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Pressure at feed inlet [bar]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Initial osmotic flow rate [L h-1]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Membrane cost [$]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Membrane cost per area [$ m-2]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Initial feed concentration [g L-1]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Mass of crystals produced [kg h-1]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Electric cost [$ kWh]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Initial feed flow rate [L h-1]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Calculation parameter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Plant availability [-]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Crystallizer cost [$]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NaCl price [$ ton-1]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Direct capital cost [$]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NaCl density [kg L-1]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Indirect capital cost [$ year-1]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Specific cost [$ m-3]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Annual capital cost [$ year-1]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Spare parts [$ m-3]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Plant capacity [L h-1]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Membrane replacement rate [$ year-1]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Vapor pressure [mmHg]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Electric power consumption feed [kWh m-3]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Specific cost of brine disposal [$ m-3]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Activity [-]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Electric power consumption osmotic [kWh m-3]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Specific chemical cost [$ m-3]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Overall mass transfer coefficient [mPa-1s-1]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Electric power consumption recirculation [kWh m-3]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Height of crystallizer [m]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Total electric power consumption [kWh m-3]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Saturation density Na2SO4
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Annual electricity cost [$ year-1]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Saturation density  KNO3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Annual NaCl [$ year-1]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Saturation density  Na2CO3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Final feed flow rate [L h-1]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Annual labor cost [$ year-1]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Temperature [K]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Final osmotic flow rate [L h-1]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Annual maintenance cost [$ year-1]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Total Water Fraction Na2SO4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Annual membrane cost [$ year-1]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Total Water Fraction KNO3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Annual cleaning costs [$ year-1]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Total Water Fraction Na2CO3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Annual brine disposal cost [$ year-1]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Price Na2SO4 [$ ton-1]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Activity [-]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Annual operating cost [$ year-1]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Price KNO3 [$ ton-1]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Transmembrane flux [L m-2 h-1]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Annual cost [$ year-1]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Price Na2CO3 [$ ton-1]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Area [m2]
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Salt sale profit [$ year-1]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Final feed concentration Na2SO4 [g L-1]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Benefit [$ year-1]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Final feed concentration KNO3 [g L-1]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Final feed concentration Na2CO3 [g L-1]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Transmembrane flux Na2SO4 [L m-2 h-1]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Transmembrane flux KNO3 [L m-2 h-1]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Transmembrane flux Na2CO3 [L m-2 h-1]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Cost index [-]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Pump efficiency [-]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Gravitational constant [m s-2]</t>
        </r>
      </text>
    </comment>
  </commentList>
</comments>
</file>

<file path=xl/sharedStrings.xml><?xml version="1.0" encoding="utf-8"?>
<sst xmlns="http://schemas.openxmlformats.org/spreadsheetml/2006/main" count="100" uniqueCount="87">
  <si>
    <t>n</t>
  </si>
  <si>
    <t>i</t>
  </si>
  <si>
    <t>P</t>
  </si>
  <si>
    <t>Pm</t>
  </si>
  <si>
    <t>c</t>
  </si>
  <si>
    <t>f</t>
  </si>
  <si>
    <t>Pnacl</t>
  </si>
  <si>
    <t>rhonacl</t>
  </si>
  <si>
    <t>gamma</t>
  </si>
  <si>
    <t>sp</t>
  </si>
  <si>
    <t>Mr</t>
  </si>
  <si>
    <t>b</t>
  </si>
  <si>
    <t>k</t>
  </si>
  <si>
    <t>h</t>
  </si>
  <si>
    <t>rhosatNa2CO3</t>
  </si>
  <si>
    <t>rhosatKNO3</t>
  </si>
  <si>
    <t>rhosatNa2SO4</t>
  </si>
  <si>
    <t>T</t>
  </si>
  <si>
    <t>a</t>
  </si>
  <si>
    <t>TWFNa2SO4</t>
  </si>
  <si>
    <t>TWFKNO3</t>
  </si>
  <si>
    <t>TWFNa2CO3</t>
  </si>
  <si>
    <t>PNA2SO4</t>
  </si>
  <si>
    <t>PKNO3</t>
  </si>
  <si>
    <t>PNA2CO3</t>
  </si>
  <si>
    <t>CffNa2SO4</t>
  </si>
  <si>
    <t>CffKNO3</t>
  </si>
  <si>
    <t>CffNa2CO3</t>
  </si>
  <si>
    <t>JexpNa2SO4</t>
  </si>
  <si>
    <t>JexpKNO3</t>
  </si>
  <si>
    <t>JexpNa2CO3</t>
  </si>
  <si>
    <t>Overall mass transfer coefficient calculation</t>
  </si>
  <si>
    <t>p*</t>
  </si>
  <si>
    <t>Parameters</t>
  </si>
  <si>
    <t>Co0</t>
  </si>
  <si>
    <t>Qo0</t>
  </si>
  <si>
    <t>Cf0</t>
  </si>
  <si>
    <t>Qf0</t>
  </si>
  <si>
    <t>Kov</t>
  </si>
  <si>
    <t>Qff</t>
  </si>
  <si>
    <t>Qof</t>
  </si>
  <si>
    <t>Area Calculation</t>
  </si>
  <si>
    <t>A</t>
  </si>
  <si>
    <t>CE</t>
  </si>
  <si>
    <t>eta</t>
  </si>
  <si>
    <t>Economic Calculations</t>
  </si>
  <si>
    <t>Cp</t>
  </si>
  <si>
    <t>Cm</t>
  </si>
  <si>
    <t>Na2SO4</t>
  </si>
  <si>
    <t>KNO3</t>
  </si>
  <si>
    <t>Na2CO3</t>
  </si>
  <si>
    <t>NaCl</t>
  </si>
  <si>
    <t>Activity</t>
  </si>
  <si>
    <t>ActivityFromExperiment</t>
  </si>
  <si>
    <t>J</t>
  </si>
  <si>
    <t>Mcf</t>
  </si>
  <si>
    <t>PR</t>
  </si>
  <si>
    <t>Ccryst</t>
  </si>
  <si>
    <t>Dcc</t>
  </si>
  <si>
    <t>Icc</t>
  </si>
  <si>
    <t>Acc</t>
  </si>
  <si>
    <t>Qevap</t>
  </si>
  <si>
    <t>Pfeed</t>
  </si>
  <si>
    <t>Posmotic</t>
  </si>
  <si>
    <t>Precirc</t>
  </si>
  <si>
    <t>w</t>
  </si>
  <si>
    <t>Aelec</t>
  </si>
  <si>
    <t>ANaCl</t>
  </si>
  <si>
    <t>Alabor</t>
  </si>
  <si>
    <t>Amaint</t>
  </si>
  <si>
    <t>Amem</t>
  </si>
  <si>
    <t>Achem</t>
  </si>
  <si>
    <t>Adisp</t>
  </si>
  <si>
    <t>Aoc</t>
  </si>
  <si>
    <t>At</t>
  </si>
  <si>
    <t>Pss</t>
  </si>
  <si>
    <t>Benef</t>
  </si>
  <si>
    <t>Operational Parameters</t>
  </si>
  <si>
    <t>Miscellaneous</t>
  </si>
  <si>
    <t>g</t>
  </si>
  <si>
    <t>Membrane area required [m2]</t>
  </si>
  <si>
    <t>Number of 14x28 Extra-Flow Liqui-Cel modules required [-]</t>
  </si>
  <si>
    <t>Volume of 14x28 Extra-Flow Liqui-Cel modules required [m3]</t>
  </si>
  <si>
    <t>Volume of crystallizer required [m3]</t>
  </si>
  <si>
    <t>Payback time [years]</t>
  </si>
  <si>
    <t>Unit crystal production cost [$ ton-1]</t>
  </si>
  <si>
    <t>Plant Considerations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</si>
</sst>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Fill="1" applyBorder="1"/>
    <xf numFmtId="0" fontId="0" fillId="0" borderId="5" xfId="0" applyFill="1" applyBorder="1"/>
    <xf numFmtId="0" fontId="0" fillId="0" borderId="0" xfId="0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1" xfId="0" applyFill="1" applyBorder="1"/>
    <xf numFmtId="2" fontId="0" fillId="0" borderId="3" xfId="0" applyNumberFormat="1" applyBorder="1"/>
    <xf numFmtId="0" fontId="0" fillId="0" borderId="0" xfId="0" applyFill="1" applyBorder="1"/>
    <xf numFmtId="2" fontId="0" fillId="0" borderId="0" xfId="0" applyNumberFormat="1" applyFill="1" applyBorder="1"/>
    <xf numFmtId="0" fontId="0" fillId="0" borderId="12" xfId="0" applyFill="1" applyBorder="1"/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38"/>
  <sheetViews>
    <sheetView tabSelected="1" topLeftCell="M1" workbookViewId="0">
      <selection activeCell="S5" sqref="S5"/>
    </sheetView>
  </sheetViews>
  <sheetFormatPr baseColWidth="10" defaultColWidth="9.109375" defaultRowHeight="14.4" x14ac:dyDescent="0.3"/>
  <cols>
    <col min="2" max="2" width="7.33203125" customWidth="1"/>
    <col min="5" max="5" width="5.5546875" customWidth="1"/>
    <col min="6" max="6" width="11.109375" customWidth="1"/>
    <col min="7" max="7" width="12" bestFit="1" customWidth="1"/>
    <col min="19" max="19" width="31" customWidth="1"/>
  </cols>
  <sheetData>
    <row r="1" spans="2:24" ht="15" thickBot="1" x14ac:dyDescent="0.35"/>
    <row r="2" spans="2:24" ht="15" thickBot="1" x14ac:dyDescent="0.35">
      <c r="B2" s="23" t="s">
        <v>33</v>
      </c>
      <c r="C2" s="24"/>
    </row>
    <row r="3" spans="2:24" ht="15" thickBot="1" x14ac:dyDescent="0.35">
      <c r="B3" s="9" t="s">
        <v>18</v>
      </c>
      <c r="C3" s="16">
        <f>C5*(1+C5)^C4/((1+C5)^C4-1)</f>
        <v>8.0242587190691314E-2</v>
      </c>
      <c r="M3" s="20" t="s">
        <v>45</v>
      </c>
      <c r="N3" s="21"/>
      <c r="O3" s="21"/>
      <c r="P3" s="22"/>
      <c r="S3" s="20" t="s">
        <v>86</v>
      </c>
      <c r="T3" s="21"/>
      <c r="U3" s="21"/>
      <c r="V3" s="22"/>
    </row>
    <row r="4" spans="2:24" ht="15" thickBot="1" x14ac:dyDescent="0.35">
      <c r="B4" s="10" t="s">
        <v>0</v>
      </c>
      <c r="C4" s="4">
        <v>20</v>
      </c>
      <c r="F4" s="20" t="s">
        <v>77</v>
      </c>
      <c r="G4" s="22"/>
      <c r="M4" s="12"/>
      <c r="N4" s="13" t="s">
        <v>48</v>
      </c>
      <c r="O4" s="13" t="s">
        <v>49</v>
      </c>
      <c r="P4" s="14" t="s">
        <v>50</v>
      </c>
      <c r="S4" s="12"/>
      <c r="T4" s="13" t="s">
        <v>48</v>
      </c>
      <c r="U4" s="13" t="s">
        <v>49</v>
      </c>
      <c r="V4" s="14" t="s">
        <v>50</v>
      </c>
    </row>
    <row r="5" spans="2:24" x14ac:dyDescent="0.3">
      <c r="B5" s="10" t="s">
        <v>1</v>
      </c>
      <c r="C5" s="4">
        <v>0.05</v>
      </c>
      <c r="F5" s="9" t="s">
        <v>34</v>
      </c>
      <c r="G5" s="1">
        <v>350</v>
      </c>
      <c r="M5" s="10" t="s">
        <v>46</v>
      </c>
      <c r="N5" s="3">
        <f>0.0151*(G8+G6)*C6</f>
        <v>11.93655</v>
      </c>
      <c r="O5" s="3">
        <f>N5</f>
        <v>11.93655</v>
      </c>
      <c r="P5" s="6">
        <f>N5</f>
        <v>11.93655</v>
      </c>
      <c r="S5" s="10" t="s">
        <v>80</v>
      </c>
      <c r="T5" s="3">
        <f>G27</f>
        <v>2068.2645487637683</v>
      </c>
      <c r="U5" s="3">
        <f t="shared" ref="U5:V5" si="0">H27</f>
        <v>3076.9932225252292</v>
      </c>
      <c r="V5" s="6">
        <f t="shared" si="0"/>
        <v>2489.0314009073554</v>
      </c>
    </row>
    <row r="6" spans="2:24" x14ac:dyDescent="0.3">
      <c r="B6" s="10" t="s">
        <v>2</v>
      </c>
      <c r="C6" s="4">
        <v>1.5</v>
      </c>
      <c r="F6" s="10" t="s">
        <v>35</v>
      </c>
      <c r="G6" s="1">
        <v>27</v>
      </c>
      <c r="M6" s="10" t="s">
        <v>47</v>
      </c>
      <c r="N6" s="3">
        <f>$C$7*G27</f>
        <v>186143.80938873914</v>
      </c>
      <c r="O6" s="3">
        <f t="shared" ref="O6:P6" si="1">$C$7*H27</f>
        <v>276929.39002727065</v>
      </c>
      <c r="P6" s="6">
        <f t="shared" si="1"/>
        <v>224012.82608166197</v>
      </c>
      <c r="S6" s="10" t="s">
        <v>81</v>
      </c>
      <c r="T6" s="17">
        <f>ROUNDUP(T5/200,0)</f>
        <v>11</v>
      </c>
      <c r="U6" s="17">
        <f>ROUNDUP(U5/200,0)</f>
        <v>16</v>
      </c>
      <c r="V6" s="1">
        <f>ROUNDUP(V5/200,0)</f>
        <v>13</v>
      </c>
    </row>
    <row r="7" spans="2:24" x14ac:dyDescent="0.3">
      <c r="B7" s="10" t="s">
        <v>3</v>
      </c>
      <c r="C7" s="4">
        <v>90</v>
      </c>
      <c r="F7" s="10" t="s">
        <v>36</v>
      </c>
      <c r="G7" s="1">
        <v>100</v>
      </c>
      <c r="M7" s="10" t="s">
        <v>55</v>
      </c>
      <c r="N7" s="3">
        <f>$G$7*$G$8/(1-C22)/1000</f>
        <v>119.04761904761904</v>
      </c>
      <c r="O7" s="3">
        <f>$G$7*$G$8/(1-C23)/1000</f>
        <v>53.191489361702132</v>
      </c>
      <c r="P7" s="6">
        <f>$G$7*$G$8/(1-C24)/1000</f>
        <v>151.51515151515153</v>
      </c>
      <c r="S7" s="10" t="s">
        <v>82</v>
      </c>
      <c r="T7" s="17">
        <f>T6*0.12</f>
        <v>1.3199999999999998</v>
      </c>
      <c r="U7" s="17">
        <f t="shared" ref="U7:V7" si="2">U6*0.12</f>
        <v>1.92</v>
      </c>
      <c r="V7" s="1">
        <f t="shared" si="2"/>
        <v>1.56</v>
      </c>
    </row>
    <row r="8" spans="2:24" ht="15" thickBot="1" x14ac:dyDescent="0.35">
      <c r="B8" s="10" t="s">
        <v>4</v>
      </c>
      <c r="C8" s="4">
        <v>0.09</v>
      </c>
      <c r="F8" s="11" t="s">
        <v>37</v>
      </c>
      <c r="G8" s="2">
        <v>500</v>
      </c>
      <c r="M8" s="10" t="s">
        <v>56</v>
      </c>
      <c r="N8" s="3">
        <f>N7*24/1000</f>
        <v>2.8571428571428568</v>
      </c>
      <c r="O8" s="3">
        <f t="shared" ref="O8:P8" si="3">O7*24/1000</f>
        <v>1.2765957446808511</v>
      </c>
      <c r="P8" s="6">
        <f t="shared" si="3"/>
        <v>3.6363636363636371</v>
      </c>
      <c r="S8" s="10" t="s">
        <v>83</v>
      </c>
      <c r="T8" s="17">
        <f>G20*5/1000</f>
        <v>1.3000520020800832</v>
      </c>
      <c r="U8" s="17">
        <f>H20*5/1000</f>
        <v>0.79113924050632922</v>
      </c>
      <c r="V8" s="1">
        <f>I20*5/1000</f>
        <v>1.1574074074074074</v>
      </c>
    </row>
    <row r="9" spans="2:24" x14ac:dyDescent="0.3">
      <c r="B9" s="10" t="s">
        <v>5</v>
      </c>
      <c r="C9" s="4">
        <v>0.9</v>
      </c>
      <c r="M9" s="10" t="s">
        <v>57</v>
      </c>
      <c r="N9" s="3">
        <f>$C$34/500*(2.4422*10^(-3)*N8^3-5.3146*N8^2+5621.3*N8+237830)*2.06</f>
        <v>593520.90899047977</v>
      </c>
      <c r="O9" s="3">
        <f>$C$34/500*(2.4422*10^(-3)*O8^3-5.3146*O8^2+5621.3*O8+237830)*2.06</f>
        <v>572828.58824140404</v>
      </c>
      <c r="P9" s="6">
        <f>$C$34/500*(2.4422*10^(-3)*P8^3-5.3146*P8^2+5621.3*P8+237830)*2.06</f>
        <v>603699.60060024378</v>
      </c>
      <c r="S9" s="10" t="s">
        <v>84</v>
      </c>
      <c r="T9" s="3">
        <f>(N10+N11)/(N27-N25)</f>
        <v>10.289956694846213</v>
      </c>
      <c r="U9" s="3">
        <f>(O10+O11)/(O27-O25)</f>
        <v>4.4816315727846421</v>
      </c>
      <c r="V9" s="6">
        <f>(P10+P11)/(P27-P25)</f>
        <v>7.8910538511619155</v>
      </c>
    </row>
    <row r="10" spans="2:24" ht="15" thickBot="1" x14ac:dyDescent="0.35">
      <c r="B10" s="10" t="s">
        <v>6</v>
      </c>
      <c r="C10" s="4">
        <v>50</v>
      </c>
      <c r="M10" s="10" t="s">
        <v>58</v>
      </c>
      <c r="N10" s="3">
        <f>N5+N6+N9</f>
        <v>779676.65492921893</v>
      </c>
      <c r="O10" s="3">
        <f t="shared" ref="O10:P10" si="4">O5+O6+O9</f>
        <v>849769.91481867468</v>
      </c>
      <c r="P10" s="6">
        <f t="shared" si="4"/>
        <v>827724.36323190574</v>
      </c>
      <c r="S10" s="19" t="s">
        <v>85</v>
      </c>
      <c r="T10" s="7">
        <f>N26/24/365/N7</f>
        <v>0.12466893537877696</v>
      </c>
      <c r="U10" s="7">
        <f>O26/24/365/O7</f>
        <v>0.34335066418818883</v>
      </c>
      <c r="V10" s="8">
        <f>P26/24/365/P7</f>
        <v>0.10851295622358349</v>
      </c>
    </row>
    <row r="11" spans="2:24" ht="15" thickBot="1" x14ac:dyDescent="0.35">
      <c r="B11" s="10" t="s">
        <v>7</v>
      </c>
      <c r="C11" s="4">
        <v>1.1085</v>
      </c>
      <c r="M11" s="10" t="s">
        <v>59</v>
      </c>
      <c r="N11" s="3">
        <f>0.1*N10</f>
        <v>77967.665492921893</v>
      </c>
      <c r="O11" s="3">
        <f t="shared" ref="O11:P11" si="5">0.1*O10</f>
        <v>84976.991481867473</v>
      </c>
      <c r="P11" s="6">
        <f t="shared" si="5"/>
        <v>82772.436323190574</v>
      </c>
      <c r="R11" s="3"/>
      <c r="S11" s="3"/>
      <c r="T11" s="3"/>
      <c r="U11" s="3"/>
      <c r="V11" s="3"/>
      <c r="W11" s="3"/>
      <c r="X11" s="3"/>
    </row>
    <row r="12" spans="2:24" ht="15" thickBot="1" x14ac:dyDescent="0.35">
      <c r="B12" s="10" t="s">
        <v>8</v>
      </c>
      <c r="C12" s="4">
        <v>0.05</v>
      </c>
      <c r="F12" s="20" t="s">
        <v>31</v>
      </c>
      <c r="G12" s="21"/>
      <c r="H12" s="21"/>
      <c r="I12" s="21"/>
      <c r="J12" s="22"/>
      <c r="M12" s="10" t="s">
        <v>60</v>
      </c>
      <c r="N12" s="3">
        <f>$C$3*(N10+N11)</f>
        <v>68819.599160074838</v>
      </c>
      <c r="O12" s="3">
        <f t="shared" ref="O12:P12" si="6">$C$3*(O10+O11)</f>
        <v>75006.510130050214</v>
      </c>
      <c r="P12" s="6">
        <f t="shared" si="6"/>
        <v>73060.618825145211</v>
      </c>
      <c r="R12" s="3"/>
      <c r="S12" s="3"/>
      <c r="T12" s="3"/>
      <c r="U12" s="3"/>
      <c r="V12" s="3"/>
      <c r="W12" s="3"/>
      <c r="X12" s="3"/>
    </row>
    <row r="13" spans="2:24" x14ac:dyDescent="0.3">
      <c r="B13" s="10" t="s">
        <v>9</v>
      </c>
      <c r="C13" s="4">
        <v>3.3000000000000002E-2</v>
      </c>
      <c r="F13" s="12"/>
      <c r="G13" s="13" t="s">
        <v>48</v>
      </c>
      <c r="H13" s="13" t="s">
        <v>49</v>
      </c>
      <c r="I13" s="13" t="s">
        <v>50</v>
      </c>
      <c r="J13" s="14" t="s">
        <v>51</v>
      </c>
      <c r="M13" s="10" t="s">
        <v>61</v>
      </c>
      <c r="N13" s="3">
        <f>$G$8-$G$7*$G$8/C28</f>
        <v>239.98959958398336</v>
      </c>
      <c r="O13" s="3">
        <f>$G$8-$G$7*$G$8/C29</f>
        <v>341.77215189873414</v>
      </c>
      <c r="P13" s="6">
        <f>$G$8-$G$7*$G$8/C30</f>
        <v>268.51851851851848</v>
      </c>
      <c r="R13" s="3"/>
      <c r="S13" s="3"/>
      <c r="T13" s="3"/>
      <c r="U13" s="3"/>
      <c r="V13" s="3"/>
      <c r="W13" s="3"/>
      <c r="X13" s="3"/>
    </row>
    <row r="14" spans="2:24" x14ac:dyDescent="0.3">
      <c r="B14" s="10" t="s">
        <v>10</v>
      </c>
      <c r="C14" s="4">
        <v>0.25</v>
      </c>
      <c r="F14" s="10" t="s">
        <v>32</v>
      </c>
      <c r="G14" s="3">
        <f>10^(8.07131-1730.63/(233.426+C21))/0.0075</f>
        <v>2329.7669446129416</v>
      </c>
      <c r="H14" s="3">
        <f>G14</f>
        <v>2329.7669446129416</v>
      </c>
      <c r="I14" s="3">
        <f>H14</f>
        <v>2329.7669446129416</v>
      </c>
      <c r="J14" s="6"/>
      <c r="M14" s="10" t="s">
        <v>62</v>
      </c>
      <c r="N14" s="3">
        <f>$C$6*$G$8/$C$35/N13/36</f>
        <v>0.12401331063302895</v>
      </c>
      <c r="O14" s="3">
        <f t="shared" ref="O14:P14" si="7">$C$6*$G$8/$C$35/O13/36</f>
        <v>8.7081128747795444E-2</v>
      </c>
      <c r="P14" s="6">
        <f t="shared" si="7"/>
        <v>0.11083743842364535</v>
      </c>
    </row>
    <row r="15" spans="2:24" x14ac:dyDescent="0.3">
      <c r="B15" s="10" t="s">
        <v>11</v>
      </c>
      <c r="C15" s="4">
        <v>1.18</v>
      </c>
      <c r="F15" s="10" t="s">
        <v>53</v>
      </c>
      <c r="G15" s="3">
        <f xml:space="preserve"> -8*(100^2)*10^(-7)-0.0001*100+0.9982</f>
        <v>0.98019999999999996</v>
      </c>
      <c r="H15" s="3">
        <f xml:space="preserve"> -1*(100^2)*10^(-7)-0.0003*100+0.9998</f>
        <v>0.96879999999999999</v>
      </c>
      <c r="I15" s="3">
        <f>-0.0000008*100^2 - 0.0003*100 + 0.9992</f>
        <v>0.96119999999999994</v>
      </c>
      <c r="J15" s="6">
        <f>-0.000001*300^2 - 0.0006*300+ 1.0003</f>
        <v>0.73029999999999995</v>
      </c>
      <c r="M15" s="10" t="s">
        <v>63</v>
      </c>
      <c r="N15" s="3">
        <f>$C$6*$G$6/$C$35/N13/36</f>
        <v>6.6967187741835636E-3</v>
      </c>
      <c r="O15" s="3">
        <f t="shared" ref="O15:P15" si="8">$C$6*$G$6/$C$35/O13/36</f>
        <v>4.7023809523809535E-3</v>
      </c>
      <c r="P15" s="6">
        <f t="shared" si="8"/>
        <v>5.9852216748768486E-3</v>
      </c>
    </row>
    <row r="16" spans="2:24" ht="15" thickBot="1" x14ac:dyDescent="0.35">
      <c r="B16" s="10" t="s">
        <v>12</v>
      </c>
      <c r="C16" s="4">
        <v>0.1</v>
      </c>
      <c r="F16" s="11" t="s">
        <v>38</v>
      </c>
      <c r="G16" s="7">
        <f>C31/$G$14/(G15-$J$15)</f>
        <v>1.5942735057144488E-4</v>
      </c>
      <c r="H16" s="7">
        <f>C32/$G$14/(H15-$J$15)</f>
        <v>1.5839123990735372E-4</v>
      </c>
      <c r="I16" s="7">
        <f>C33/$G$14/(I15-$J$15)</f>
        <v>1.578233575050966E-4</v>
      </c>
      <c r="J16" s="8"/>
      <c r="M16" s="15" t="s">
        <v>64</v>
      </c>
      <c r="N16" s="3">
        <f>$C$36*$C$17*C18*1000*($G$8-N13)/$C$35/N13/36/10^5</f>
        <v>3.3969501625135429E-2</v>
      </c>
      <c r="O16" s="3">
        <f>$C$36*$C$17*C19*1000*($G$8-O13)/$C$35/O13/36/10^5</f>
        <v>1.5023076388888895E-2</v>
      </c>
      <c r="P16" s="6">
        <f>$C$36*$C$17*C20*1000*($G$8-P13)/$C$35/P13/36/10^5</f>
        <v>2.8025215517241391E-2</v>
      </c>
    </row>
    <row r="17" spans="2:16" ht="15" thickBot="1" x14ac:dyDescent="0.35">
      <c r="B17" s="10" t="s">
        <v>13</v>
      </c>
      <c r="C17" s="4">
        <v>7</v>
      </c>
      <c r="M17" s="15" t="s">
        <v>65</v>
      </c>
      <c r="N17" s="3">
        <f>N15+N14+N16</f>
        <v>0.16467953103234795</v>
      </c>
      <c r="O17" s="3">
        <f t="shared" ref="O17:P17" si="9">O15+O14+O16</f>
        <v>0.10680658608906529</v>
      </c>
      <c r="P17" s="6">
        <f t="shared" si="9"/>
        <v>0.14484787561576359</v>
      </c>
    </row>
    <row r="18" spans="2:16" ht="15" thickBot="1" x14ac:dyDescent="0.35">
      <c r="B18" s="10" t="s">
        <v>16</v>
      </c>
      <c r="C18" s="4">
        <v>1.1506000000000001</v>
      </c>
      <c r="F18" s="20" t="s">
        <v>78</v>
      </c>
      <c r="G18" s="21"/>
      <c r="H18" s="21"/>
      <c r="I18" s="21"/>
      <c r="J18" s="22"/>
      <c r="M18" s="15" t="s">
        <v>66</v>
      </c>
      <c r="N18" s="3">
        <f>$C$8*N17*$C$9*N13*24*365/1000</f>
        <v>28.042786640739919</v>
      </c>
      <c r="O18" s="3">
        <f t="shared" ref="O18:P18" si="10">$C$8*O17*$C$9*O13*24*365/1000</f>
        <v>25.901435355501821</v>
      </c>
      <c r="P18" s="6">
        <f t="shared" si="10"/>
        <v>27.597865741071434</v>
      </c>
    </row>
    <row r="19" spans="2:16" x14ac:dyDescent="0.3">
      <c r="B19" s="10" t="s">
        <v>15</v>
      </c>
      <c r="C19" s="4">
        <v>1.19082</v>
      </c>
      <c r="F19" s="12"/>
      <c r="G19" s="13" t="s">
        <v>48</v>
      </c>
      <c r="H19" s="13" t="s">
        <v>49</v>
      </c>
      <c r="I19" s="13" t="s">
        <v>50</v>
      </c>
      <c r="J19" s="14"/>
      <c r="M19" s="15" t="s">
        <v>67</v>
      </c>
      <c r="N19" s="3">
        <f>$G$6*$C$11*$C$10*$C$9*24*365/1000</f>
        <v>11798.2089</v>
      </c>
      <c r="O19" s="3">
        <f t="shared" ref="O19:P19" si="11">$G$6*$C$11*$C$10*$C$9*24*365/1000</f>
        <v>11798.2089</v>
      </c>
      <c r="P19" s="6">
        <f t="shared" si="11"/>
        <v>11798.2089</v>
      </c>
    </row>
    <row r="20" spans="2:16" x14ac:dyDescent="0.3">
      <c r="B20" s="10" t="s">
        <v>14</v>
      </c>
      <c r="C20" s="4">
        <v>1.1930000000000001</v>
      </c>
      <c r="F20" s="10" t="s">
        <v>39</v>
      </c>
      <c r="G20" s="3">
        <f>$G$7*$G$8/C28</f>
        <v>260.01040041601664</v>
      </c>
      <c r="H20" s="3">
        <f>$G$7*$G$8/C29</f>
        <v>158.22784810126583</v>
      </c>
      <c r="I20" s="3">
        <f>$G$7*$G$8/C30</f>
        <v>231.4814814814815</v>
      </c>
      <c r="J20" s="6"/>
      <c r="M20" s="15" t="s">
        <v>68</v>
      </c>
      <c r="N20" s="3">
        <f>$C$12*$C$9*N13*24*365/1000</f>
        <v>94.603900156006262</v>
      </c>
      <c r="O20" s="3">
        <f t="shared" ref="O20:P20" si="12">$C$12*$C$9*O13*24*365/1000</f>
        <v>134.726582278481</v>
      </c>
      <c r="P20" s="6">
        <f t="shared" si="12"/>
        <v>105.85</v>
      </c>
    </row>
    <row r="21" spans="2:16" ht="15" thickBot="1" x14ac:dyDescent="0.35">
      <c r="B21" s="10" t="s">
        <v>17</v>
      </c>
      <c r="C21" s="4">
        <v>20</v>
      </c>
      <c r="F21" s="11" t="s">
        <v>40</v>
      </c>
      <c r="G21" s="7">
        <f>$G$6+$G$8-G20</f>
        <v>266.98959958398336</v>
      </c>
      <c r="H21" s="7">
        <f t="shared" ref="H21:I21" si="13">$G$6+$G$8-H20</f>
        <v>368.77215189873414</v>
      </c>
      <c r="I21" s="7">
        <f t="shared" si="13"/>
        <v>295.51851851851848</v>
      </c>
      <c r="J21" s="8"/>
      <c r="M21" s="10" t="s">
        <v>69</v>
      </c>
      <c r="N21" s="3">
        <f>$C$13*$C$9*N13*24*365/1000</f>
        <v>62.438574102964118</v>
      </c>
      <c r="O21" s="3">
        <f t="shared" ref="O21:P21" si="14">$C$13*$C$9*O13*24*365/1000</f>
        <v>88.919544303797466</v>
      </c>
      <c r="P21" s="6">
        <f t="shared" si="14"/>
        <v>69.86099999999999</v>
      </c>
    </row>
    <row r="22" spans="2:16" ht="15" thickBot="1" x14ac:dyDescent="0.35">
      <c r="B22" s="10" t="s">
        <v>19</v>
      </c>
      <c r="C22" s="4">
        <v>0.57999999999999996</v>
      </c>
      <c r="M22" s="10" t="s">
        <v>70</v>
      </c>
      <c r="N22" s="3">
        <f>$C$14*N6</f>
        <v>46535.952347184786</v>
      </c>
      <c r="O22" s="3">
        <f t="shared" ref="O22:P22" si="15">$C$14*O6</f>
        <v>69232.347506817663</v>
      </c>
      <c r="P22" s="6">
        <f t="shared" si="15"/>
        <v>56003.206520415493</v>
      </c>
    </row>
    <row r="23" spans="2:16" ht="15" thickBot="1" x14ac:dyDescent="0.35">
      <c r="B23" s="10" t="s">
        <v>20</v>
      </c>
      <c r="C23" s="4">
        <v>0.06</v>
      </c>
      <c r="F23" s="20" t="s">
        <v>41</v>
      </c>
      <c r="G23" s="21"/>
      <c r="H23" s="21"/>
      <c r="I23" s="21"/>
      <c r="J23" s="22"/>
      <c r="M23" s="10" t="s">
        <v>71</v>
      </c>
      <c r="N23" s="3">
        <f>$C$16*$C$9*N13*24*365/1000</f>
        <v>189.20780031201252</v>
      </c>
      <c r="O23" s="3">
        <f t="shared" ref="O23:P23" si="16">$C$16*$C$9*O13*24*365/1000</f>
        <v>269.45316455696201</v>
      </c>
      <c r="P23" s="6">
        <f t="shared" si="16"/>
        <v>211.7</v>
      </c>
    </row>
    <row r="24" spans="2:16" x14ac:dyDescent="0.3">
      <c r="B24" s="10" t="s">
        <v>21</v>
      </c>
      <c r="C24" s="4">
        <v>0.67</v>
      </c>
      <c r="F24" s="12"/>
      <c r="G24" s="13" t="s">
        <v>48</v>
      </c>
      <c r="H24" s="13" t="s">
        <v>49</v>
      </c>
      <c r="I24" s="13" t="s">
        <v>50</v>
      </c>
      <c r="J24" s="14" t="s">
        <v>51</v>
      </c>
      <c r="M24" s="10" t="s">
        <v>72</v>
      </c>
      <c r="N24" s="3">
        <f>$C$15*$C$9*24*365/1000*G21</f>
        <v>2483.8362836817473</v>
      </c>
      <c r="O24" s="3">
        <f t="shared" ref="O24:P24" si="17">$C$15*$C$9*24*365/1000*H21</f>
        <v>3430.7315817721515</v>
      </c>
      <c r="P24" s="6">
        <f t="shared" si="17"/>
        <v>2749.2442399999995</v>
      </c>
    </row>
    <row r="25" spans="2:16" x14ac:dyDescent="0.3">
      <c r="B25" s="10" t="s">
        <v>22</v>
      </c>
      <c r="C25" s="4">
        <v>154</v>
      </c>
      <c r="F25" s="10" t="s">
        <v>52</v>
      </c>
      <c r="G25" s="3">
        <f xml:space="preserve"> -8*(G7^2)*10^(-7)-0.0001*G7+0.9982</f>
        <v>0.98019999999999996</v>
      </c>
      <c r="H25" s="3">
        <f xml:space="preserve"> -1*(G7^2)*10^(-7)-0.0003*G7+0.9998</f>
        <v>0.96879999999999999</v>
      </c>
      <c r="I25" s="3">
        <f>-0.0000008*G7^2 - 0.0003*G7 + 0.9992</f>
        <v>0.96119999999999994</v>
      </c>
      <c r="J25" s="6">
        <f>-0.000001*G5^2 - 0.0006*G5+ 1.0003</f>
        <v>0.66779999999999995</v>
      </c>
      <c r="M25" s="10" t="s">
        <v>73</v>
      </c>
      <c r="N25" s="3">
        <f>N18+N19+N20+N21+N22+N23+N24</f>
        <v>61192.290592078258</v>
      </c>
      <c r="O25" s="3">
        <f t="shared" ref="O25:P25" si="18">O18+O19+O20+O21+O22+O23+O24</f>
        <v>84980.288715084564</v>
      </c>
      <c r="P25" s="6">
        <f t="shared" si="18"/>
        <v>70965.668526156558</v>
      </c>
    </row>
    <row r="26" spans="2:16" x14ac:dyDescent="0.3">
      <c r="B26" s="10" t="s">
        <v>23</v>
      </c>
      <c r="C26" s="4">
        <v>700</v>
      </c>
      <c r="F26" s="10" t="s">
        <v>54</v>
      </c>
      <c r="G26" s="3">
        <f>G16*G14*(G25-$J$25)</f>
        <v>0.11603428571428573</v>
      </c>
      <c r="H26" s="3">
        <f t="shared" ref="H26:I26" si="19">H16*H14*(H25-$J$25)</f>
        <v>0.11107341719077571</v>
      </c>
      <c r="I26" s="3">
        <f t="shared" si="19"/>
        <v>0.1078807275877003</v>
      </c>
      <c r="J26" s="6"/>
      <c r="M26" s="10" t="s">
        <v>74</v>
      </c>
      <c r="N26" s="3">
        <f>N25+N12</f>
        <v>130011.8897521531</v>
      </c>
      <c r="O26" s="3">
        <f t="shared" ref="O26:P26" si="20">O25+O12</f>
        <v>159986.79884513479</v>
      </c>
      <c r="P26" s="6">
        <f t="shared" si="20"/>
        <v>144026.28735130175</v>
      </c>
    </row>
    <row r="27" spans="2:16" ht="15" thickBot="1" x14ac:dyDescent="0.35">
      <c r="B27" s="10" t="s">
        <v>24</v>
      </c>
      <c r="C27" s="4">
        <v>156</v>
      </c>
      <c r="F27" s="11" t="s">
        <v>42</v>
      </c>
      <c r="G27" s="7">
        <f>$G$8/G26*(1-$G$7/C28)</f>
        <v>2068.2645487637683</v>
      </c>
      <c r="H27" s="7">
        <f>$G$8/H26*(1-$G$7/C29)</f>
        <v>3076.9932225252292</v>
      </c>
      <c r="I27" s="7">
        <f>$G$8/I26*(1-$G$7/C30)</f>
        <v>2489.0314009073554</v>
      </c>
      <c r="J27" s="8"/>
      <c r="M27" s="10" t="s">
        <v>75</v>
      </c>
      <c r="N27" s="3">
        <f>N7*C25*$C$9*24*365/1000</f>
        <v>144540</v>
      </c>
      <c r="O27" s="3">
        <f>O7*C26*$C$9*24*365/1000</f>
        <v>293553.19148936175</v>
      </c>
      <c r="P27" s="6">
        <f>P7*C27*$C$9*24*365/1000</f>
        <v>186349.09090909094</v>
      </c>
    </row>
    <row r="28" spans="2:16" ht="15" thickBot="1" x14ac:dyDescent="0.35">
      <c r="B28" s="10" t="s">
        <v>25</v>
      </c>
      <c r="C28" s="4">
        <v>192.3</v>
      </c>
      <c r="M28" s="11" t="s">
        <v>76</v>
      </c>
      <c r="N28" s="7">
        <f>N27-N26</f>
        <v>14528.110247846897</v>
      </c>
      <c r="O28" s="7">
        <f t="shared" ref="O28:P28" si="21">O27-O26</f>
        <v>133566.39264422696</v>
      </c>
      <c r="P28" s="8">
        <f t="shared" si="21"/>
        <v>42322.803557789186</v>
      </c>
    </row>
    <row r="29" spans="2:16" x14ac:dyDescent="0.3">
      <c r="B29" s="10" t="s">
        <v>26</v>
      </c>
      <c r="C29" s="4">
        <v>316</v>
      </c>
    </row>
    <row r="30" spans="2:16" x14ac:dyDescent="0.3">
      <c r="B30" s="10" t="s">
        <v>27</v>
      </c>
      <c r="C30" s="4">
        <v>216</v>
      </c>
    </row>
    <row r="31" spans="2:16" x14ac:dyDescent="0.3">
      <c r="B31" s="10" t="s">
        <v>28</v>
      </c>
      <c r="C31" s="4">
        <v>9.282E-2</v>
      </c>
    </row>
    <row r="32" spans="2:16" x14ac:dyDescent="0.3">
      <c r="B32" s="10" t="s">
        <v>29</v>
      </c>
      <c r="C32" s="4">
        <v>8.8010000000000005E-2</v>
      </c>
    </row>
    <row r="33" spans="2:4" x14ac:dyDescent="0.3">
      <c r="B33" s="10" t="s">
        <v>30</v>
      </c>
      <c r="C33" s="4">
        <v>8.4900000000000003E-2</v>
      </c>
    </row>
    <row r="34" spans="2:4" x14ac:dyDescent="0.3">
      <c r="B34" s="10" t="s">
        <v>43</v>
      </c>
      <c r="C34" s="4">
        <v>567.5</v>
      </c>
    </row>
    <row r="35" spans="2:4" x14ac:dyDescent="0.3">
      <c r="B35" s="10" t="s">
        <v>44</v>
      </c>
      <c r="C35" s="4">
        <v>0.7</v>
      </c>
    </row>
    <row r="36" spans="2:4" ht="15" thickBot="1" x14ac:dyDescent="0.35">
      <c r="B36" s="11" t="s">
        <v>79</v>
      </c>
      <c r="C36" s="5">
        <v>9.81</v>
      </c>
    </row>
    <row r="37" spans="2:4" x14ac:dyDescent="0.3">
      <c r="B37" s="17"/>
      <c r="C37" s="18"/>
      <c r="D37" s="3"/>
    </row>
    <row r="38" spans="2:4" x14ac:dyDescent="0.3">
      <c r="B38" s="3"/>
      <c r="C38" s="3"/>
      <c r="D38" s="3"/>
    </row>
  </sheetData>
  <mergeCells count="7">
    <mergeCell ref="F23:J23"/>
    <mergeCell ref="F18:J18"/>
    <mergeCell ref="M3:P3"/>
    <mergeCell ref="S3:V3"/>
    <mergeCell ref="B2:C2"/>
    <mergeCell ref="F12:J12"/>
    <mergeCell ref="F4:G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2019-07-06T08:52:03Z</dcterms:modified>
</cp:coreProperties>
</file>