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elbcloud-my.sharepoint.com/personal/tim_werner_unimelb_edu_au/Documents/Documents/My Papers - Current/Mapping Mines/Revision Folder/"/>
    </mc:Choice>
  </mc:AlternateContent>
  <xr:revisionPtr revIDLastSave="0" documentId="8_{0C986E72-C153-4C31-B9FB-784BF38CBFE9}" xr6:coauthVersionLast="43" xr6:coauthVersionMax="43" xr10:uidLastSave="{00000000-0000-0000-0000-000000000000}"/>
  <bookViews>
    <workbookView xWindow="990" yWindow="-120" windowWidth="27930" windowHeight="16440" xr2:uid="{15E7EC8D-3BC1-4076-85D4-222A8837F229}"/>
  </bookViews>
  <sheets>
    <sheet name="IV - Production and Areas" sheetId="1" r:id="rId1"/>
    <sheet name="IV - Cumulative Prod. Data" sheetId="2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A6" i="1"/>
  <c r="AJ2896" i="2"/>
  <c r="AM2893" i="2"/>
  <c r="AM2895" i="2"/>
  <c r="AL2893" i="2"/>
  <c r="AL2895" i="2"/>
  <c r="AJ2895" i="2"/>
  <c r="AI2893" i="2"/>
  <c r="AI2895" i="2"/>
  <c r="AL2894" i="2"/>
  <c r="AI2894" i="2"/>
  <c r="AX2893" i="2"/>
  <c r="AO2893" i="2"/>
  <c r="AM2896" i="2"/>
  <c r="AL2896" i="2"/>
  <c r="AI2896" i="2"/>
  <c r="AX2892" i="2"/>
  <c r="AO2892" i="2"/>
  <c r="AX2891" i="2"/>
  <c r="AO2891" i="2"/>
  <c r="AX2890" i="2"/>
  <c r="AO2890" i="2"/>
  <c r="AX2889" i="2"/>
  <c r="AO2889" i="2"/>
  <c r="AX2888" i="2"/>
  <c r="AO2888" i="2"/>
  <c r="AX2887" i="2"/>
  <c r="AO2887" i="2"/>
  <c r="AX2886" i="2"/>
  <c r="AO2886" i="2"/>
  <c r="AX2885" i="2"/>
  <c r="AO2885" i="2"/>
  <c r="AX2884" i="2"/>
  <c r="AO2884" i="2"/>
  <c r="AX2883" i="2"/>
  <c r="AO2883" i="2"/>
  <c r="AX2882" i="2"/>
  <c r="AO2882" i="2"/>
  <c r="AX2881" i="2"/>
  <c r="AO2881" i="2"/>
  <c r="AX2880" i="2"/>
  <c r="AO2880" i="2"/>
  <c r="AX2879" i="2"/>
  <c r="AO2879" i="2"/>
  <c r="AX2878" i="2"/>
  <c r="AO2878" i="2"/>
  <c r="AX2877" i="2"/>
  <c r="AO2877" i="2"/>
  <c r="AX2876" i="2"/>
  <c r="AO2876" i="2"/>
  <c r="AX2875" i="2"/>
  <c r="AO2875" i="2"/>
  <c r="AX2874" i="2"/>
  <c r="AO2874" i="2"/>
  <c r="AX2873" i="2"/>
  <c r="AO2873" i="2"/>
  <c r="AX2872" i="2"/>
  <c r="AO2872" i="2"/>
  <c r="AX2871" i="2"/>
  <c r="AO2871" i="2"/>
  <c r="AO2894" i="2"/>
  <c r="AJ2894" i="2"/>
  <c r="AM2864" i="2"/>
  <c r="AM2865" i="2"/>
  <c r="AM2866" i="2"/>
  <c r="AM2869" i="2"/>
  <c r="AL2869" i="2"/>
  <c r="AJ2869" i="2"/>
  <c r="AI2869" i="2"/>
  <c r="AL2868" i="2"/>
  <c r="AJ2868" i="2"/>
  <c r="AI2868" i="2"/>
  <c r="AX2864" i="2"/>
  <c r="AX2865" i="2"/>
  <c r="AX2866" i="2"/>
  <c r="AX2867" i="2"/>
  <c r="AL2867" i="2"/>
  <c r="AI2867" i="2"/>
  <c r="AO2866" i="2"/>
  <c r="AO2864" i="2"/>
  <c r="AO2865" i="2"/>
  <c r="AO2867" i="2"/>
  <c r="AJ2867" i="2"/>
  <c r="AM2867" i="2"/>
  <c r="AX2859" i="2"/>
  <c r="AW2859" i="2"/>
  <c r="AV2859" i="2"/>
  <c r="AU2859" i="2"/>
  <c r="AT2859" i="2"/>
  <c r="AS2859" i="2"/>
  <c r="AR2859" i="2"/>
  <c r="AQ2859" i="2"/>
  <c r="AP2859" i="2"/>
  <c r="AO2859" i="2"/>
  <c r="AM2859" i="2"/>
  <c r="T2859" i="2"/>
  <c r="AX2858" i="2"/>
  <c r="AW2858" i="2"/>
  <c r="AV2858" i="2"/>
  <c r="AU2858" i="2"/>
  <c r="AT2858" i="2"/>
  <c r="AS2858" i="2"/>
  <c r="AR2858" i="2"/>
  <c r="AQ2858" i="2"/>
  <c r="AP2858" i="2"/>
  <c r="AO2858" i="2"/>
  <c r="AM2858" i="2"/>
  <c r="T2858" i="2"/>
  <c r="G2857" i="2"/>
  <c r="AX2857" i="2"/>
  <c r="AW2857" i="2"/>
  <c r="AV2857" i="2"/>
  <c r="AU2857" i="2"/>
  <c r="AR2857" i="2"/>
  <c r="AQ2857" i="2"/>
  <c r="I2857" i="2"/>
  <c r="AP2857" i="2"/>
  <c r="AO2857" i="2"/>
  <c r="AM2857" i="2"/>
  <c r="T2857" i="2"/>
  <c r="AT2857" i="2"/>
  <c r="G2856" i="2"/>
  <c r="AT2856" i="2"/>
  <c r="AS2856" i="2"/>
  <c r="AM2856" i="2"/>
  <c r="T2856" i="2"/>
  <c r="I2856" i="2"/>
  <c r="G2855" i="2"/>
  <c r="AR2855" i="2"/>
  <c r="AQ2855" i="2"/>
  <c r="AM2855" i="2"/>
  <c r="T2855" i="2"/>
  <c r="I2855" i="2"/>
  <c r="AX2855" i="2"/>
  <c r="G2854" i="2"/>
  <c r="AX2854" i="2"/>
  <c r="AW2854" i="2"/>
  <c r="AR2854" i="2"/>
  <c r="AQ2854" i="2"/>
  <c r="I2854" i="2"/>
  <c r="AP2854" i="2"/>
  <c r="AO2854" i="2"/>
  <c r="AM2854" i="2"/>
  <c r="T2854" i="2"/>
  <c r="AV2854" i="2"/>
  <c r="G2853" i="2"/>
  <c r="AX2853" i="2"/>
  <c r="AW2853" i="2"/>
  <c r="AV2853" i="2"/>
  <c r="AU2853" i="2"/>
  <c r="AR2853" i="2"/>
  <c r="AQ2853" i="2"/>
  <c r="I2853" i="2"/>
  <c r="AP2853" i="2"/>
  <c r="AO2853" i="2"/>
  <c r="AM2853" i="2"/>
  <c r="AM2850" i="2"/>
  <c r="AM2851" i="2"/>
  <c r="AM2852" i="2"/>
  <c r="AM2862" i="2"/>
  <c r="T2853" i="2"/>
  <c r="T2850" i="2"/>
  <c r="T2851" i="2"/>
  <c r="T2852" i="2"/>
  <c r="T2862" i="2"/>
  <c r="AT2853" i="2"/>
  <c r="G2852" i="2"/>
  <c r="AT2852" i="2"/>
  <c r="AS2852" i="2"/>
  <c r="I2852" i="2"/>
  <c r="G2851" i="2"/>
  <c r="AR2851" i="2"/>
  <c r="AQ2851" i="2"/>
  <c r="I2851" i="2"/>
  <c r="AX2851" i="2"/>
  <c r="G2850" i="2"/>
  <c r="AX2850" i="2"/>
  <c r="AW2850" i="2"/>
  <c r="AT2850" i="2"/>
  <c r="AR2850" i="2"/>
  <c r="AQ2850" i="2"/>
  <c r="I2850" i="2"/>
  <c r="AP2850" i="2"/>
  <c r="AO2850" i="2"/>
  <c r="T2860" i="2"/>
  <c r="AV2850" i="2"/>
  <c r="G2845" i="2"/>
  <c r="AT2845" i="2"/>
  <c r="T2845" i="2"/>
  <c r="I2845" i="2"/>
  <c r="AU2845" i="2"/>
  <c r="G2844" i="2"/>
  <c r="AR2844" i="2"/>
  <c r="AQ2844" i="2"/>
  <c r="AM2844" i="2"/>
  <c r="T2844" i="2"/>
  <c r="I2844" i="2"/>
  <c r="AX2844" i="2"/>
  <c r="G2843" i="2"/>
  <c r="AX2843" i="2"/>
  <c r="AW2843" i="2"/>
  <c r="AT2843" i="2"/>
  <c r="AR2843" i="2"/>
  <c r="AQ2843" i="2"/>
  <c r="I2843" i="2"/>
  <c r="AP2843" i="2"/>
  <c r="AO2843" i="2"/>
  <c r="AM2843" i="2"/>
  <c r="T2843" i="2"/>
  <c r="AV2843" i="2"/>
  <c r="G2842" i="2"/>
  <c r="AX2842" i="2"/>
  <c r="AW2842" i="2"/>
  <c r="AV2842" i="2"/>
  <c r="AU2842" i="2"/>
  <c r="AR2842" i="2"/>
  <c r="AQ2842" i="2"/>
  <c r="AO2842" i="2"/>
  <c r="T2842" i="2"/>
  <c r="I2842" i="2"/>
  <c r="AP2842" i="2"/>
  <c r="AT2842" i="2"/>
  <c r="G2841" i="2"/>
  <c r="AS2841" i="2"/>
  <c r="AR2841" i="2"/>
  <c r="T2841" i="2"/>
  <c r="I2841" i="2"/>
  <c r="AQ2841" i="2"/>
  <c r="G2840" i="2"/>
  <c r="AX2840" i="2"/>
  <c r="AW2840" i="2"/>
  <c r="AT2840" i="2"/>
  <c r="AR2840" i="2"/>
  <c r="AQ2840" i="2"/>
  <c r="I2840" i="2"/>
  <c r="AP2840" i="2"/>
  <c r="AO2840" i="2"/>
  <c r="AM2840" i="2"/>
  <c r="T2840" i="2"/>
  <c r="AV2840" i="2"/>
  <c r="G2839" i="2"/>
  <c r="AX2839" i="2"/>
  <c r="AW2839" i="2"/>
  <c r="AV2839" i="2"/>
  <c r="AU2839" i="2"/>
  <c r="AR2839" i="2"/>
  <c r="AQ2839" i="2"/>
  <c r="I2839" i="2"/>
  <c r="AP2839" i="2"/>
  <c r="AO2839" i="2"/>
  <c r="AM2839" i="2"/>
  <c r="AM2837" i="2"/>
  <c r="AM2838" i="2"/>
  <c r="AM2846" i="2"/>
  <c r="T2839" i="2"/>
  <c r="T2837" i="2"/>
  <c r="T2838" i="2"/>
  <c r="T2846" i="2"/>
  <c r="AT2839" i="2"/>
  <c r="I2838" i="2"/>
  <c r="I2837" i="2"/>
  <c r="I2848" i="2"/>
  <c r="G2838" i="2"/>
  <c r="G2837" i="2"/>
  <c r="G2848" i="2"/>
  <c r="AR2837" i="2"/>
  <c r="AQ2837" i="2"/>
  <c r="AM2847" i="2"/>
  <c r="AX2837" i="2"/>
  <c r="U2832" i="2"/>
  <c r="U2835" i="2"/>
  <c r="S2835" i="2"/>
  <c r="R2835" i="2"/>
  <c r="H2835" i="2"/>
  <c r="G2835" i="2"/>
  <c r="S2834" i="2"/>
  <c r="R2834" i="2"/>
  <c r="H2834" i="2"/>
  <c r="G2834" i="2"/>
  <c r="S2833" i="2"/>
  <c r="R2833" i="2"/>
  <c r="G2833" i="2"/>
  <c r="AX2832" i="2"/>
  <c r="AW2832" i="2"/>
  <c r="AV2832" i="2"/>
  <c r="AU2832" i="2"/>
  <c r="AT2832" i="2"/>
  <c r="AS2832" i="2"/>
  <c r="AR2832" i="2"/>
  <c r="AO2832" i="2"/>
  <c r="AH2832" i="2"/>
  <c r="T2832" i="2"/>
  <c r="T2835" i="2"/>
  <c r="I2832" i="2"/>
  <c r="AP2832" i="2"/>
  <c r="AX2831" i="2"/>
  <c r="AW2831" i="2"/>
  <c r="AV2831" i="2"/>
  <c r="AU2831" i="2"/>
  <c r="AT2831" i="2"/>
  <c r="AS2831" i="2"/>
  <c r="AR2831" i="2"/>
  <c r="AO2831" i="2"/>
  <c r="AH2831" i="2"/>
  <c r="J2831" i="2"/>
  <c r="AQ2831" i="2"/>
  <c r="I2831" i="2"/>
  <c r="AP2831" i="2"/>
  <c r="AX2830" i="2"/>
  <c r="AW2830" i="2"/>
  <c r="AV2830" i="2"/>
  <c r="AU2830" i="2"/>
  <c r="AT2830" i="2"/>
  <c r="AS2830" i="2"/>
  <c r="AR2830" i="2"/>
  <c r="J2830" i="2"/>
  <c r="AQ2830" i="2"/>
  <c r="AO2830" i="2"/>
  <c r="AH2830" i="2"/>
  <c r="I2830" i="2"/>
  <c r="AP2830" i="2"/>
  <c r="AX2829" i="2"/>
  <c r="AW2829" i="2"/>
  <c r="AV2829" i="2"/>
  <c r="AU2829" i="2"/>
  <c r="AT2829" i="2"/>
  <c r="AS2829" i="2"/>
  <c r="AR2829" i="2"/>
  <c r="J2829" i="2"/>
  <c r="AQ2829" i="2"/>
  <c r="I2829" i="2"/>
  <c r="AP2829" i="2"/>
  <c r="AO2829" i="2"/>
  <c r="AH2829" i="2"/>
  <c r="AX2828" i="2"/>
  <c r="AW2828" i="2"/>
  <c r="AV2828" i="2"/>
  <c r="AU2828" i="2"/>
  <c r="AT2828" i="2"/>
  <c r="AS2828" i="2"/>
  <c r="AR2828" i="2"/>
  <c r="AO2828" i="2"/>
  <c r="AH2828" i="2"/>
  <c r="J2828" i="2"/>
  <c r="AQ2828" i="2"/>
  <c r="I2828" i="2"/>
  <c r="AP2828" i="2"/>
  <c r="AX2827" i="2"/>
  <c r="AW2827" i="2"/>
  <c r="AV2827" i="2"/>
  <c r="AU2827" i="2"/>
  <c r="AT2827" i="2"/>
  <c r="AS2827" i="2"/>
  <c r="AR2827" i="2"/>
  <c r="J2827" i="2"/>
  <c r="AQ2827" i="2"/>
  <c r="I2827" i="2"/>
  <c r="AP2827" i="2"/>
  <c r="AO2827" i="2"/>
  <c r="AH2827" i="2"/>
  <c r="AX2826" i="2"/>
  <c r="AW2826" i="2"/>
  <c r="AV2826" i="2"/>
  <c r="AU2826" i="2"/>
  <c r="AT2826" i="2"/>
  <c r="AS2826" i="2"/>
  <c r="AR2826" i="2"/>
  <c r="I2826" i="2"/>
  <c r="AP2826" i="2"/>
  <c r="AO2826" i="2"/>
  <c r="AH2826" i="2"/>
  <c r="AH2822" i="2"/>
  <c r="AH2823" i="2"/>
  <c r="AH2824" i="2"/>
  <c r="AH2825" i="2"/>
  <c r="AH2834" i="2"/>
  <c r="J2826" i="2"/>
  <c r="AQ2826" i="2"/>
  <c r="AX2825" i="2"/>
  <c r="AW2825" i="2"/>
  <c r="AV2825" i="2"/>
  <c r="AU2825" i="2"/>
  <c r="AT2825" i="2"/>
  <c r="AS2825" i="2"/>
  <c r="AR2825" i="2"/>
  <c r="AR2822" i="2"/>
  <c r="AR2823" i="2"/>
  <c r="AR2824" i="2"/>
  <c r="AR2833" i="2"/>
  <c r="AO2825" i="2"/>
  <c r="J2825" i="2"/>
  <c r="AQ2825" i="2"/>
  <c r="I2825" i="2"/>
  <c r="AP2825" i="2"/>
  <c r="AX2824" i="2"/>
  <c r="AW2824" i="2"/>
  <c r="AV2824" i="2"/>
  <c r="AU2824" i="2"/>
  <c r="AT2824" i="2"/>
  <c r="AS2824" i="2"/>
  <c r="J2824" i="2"/>
  <c r="AQ2824" i="2"/>
  <c r="I2824" i="2"/>
  <c r="AP2824" i="2"/>
  <c r="AO2824" i="2"/>
  <c r="AX2823" i="2"/>
  <c r="AW2823" i="2"/>
  <c r="AV2823" i="2"/>
  <c r="AU2823" i="2"/>
  <c r="AT2823" i="2"/>
  <c r="AS2823" i="2"/>
  <c r="AO2823" i="2"/>
  <c r="J2823" i="2"/>
  <c r="AQ2823" i="2"/>
  <c r="I2823" i="2"/>
  <c r="AX2822" i="2"/>
  <c r="AW2822" i="2"/>
  <c r="AW2833" i="2"/>
  <c r="AV2822" i="2"/>
  <c r="AU2822" i="2"/>
  <c r="AU2833" i="2"/>
  <c r="AT2822" i="2"/>
  <c r="AS2822" i="2"/>
  <c r="J2822" i="2"/>
  <c r="AQ2822" i="2"/>
  <c r="AO2822" i="2"/>
  <c r="AH2833" i="2"/>
  <c r="I2822" i="2"/>
  <c r="AP2822" i="2"/>
  <c r="AL2820" i="2"/>
  <c r="AL2819" i="2"/>
  <c r="AL2818" i="2"/>
  <c r="AI2817" i="2"/>
  <c r="AO2817" i="2"/>
  <c r="AI2816" i="2"/>
  <c r="AI2815" i="2"/>
  <c r="AO2815" i="2"/>
  <c r="AM2815" i="2"/>
  <c r="AI2814" i="2"/>
  <c r="AO2814" i="2"/>
  <c r="AM2814" i="2"/>
  <c r="AI2813" i="2"/>
  <c r="AM2813" i="2"/>
  <c r="AI2812" i="2"/>
  <c r="AI2820" i="2"/>
  <c r="AO2812" i="2"/>
  <c r="AM2812" i="2"/>
  <c r="J2810" i="2"/>
  <c r="I2810" i="2"/>
  <c r="G2810" i="2"/>
  <c r="J2809" i="2"/>
  <c r="I2809" i="2"/>
  <c r="G2809" i="2"/>
  <c r="G2808" i="2"/>
  <c r="AX2807" i="2"/>
  <c r="AW2807" i="2"/>
  <c r="AV2807" i="2"/>
  <c r="AU2807" i="2"/>
  <c r="AT2807" i="2"/>
  <c r="AS2807" i="2"/>
  <c r="AR2807" i="2"/>
  <c r="AQ2807" i="2"/>
  <c r="AP2807" i="2"/>
  <c r="AO2807" i="2"/>
  <c r="U2807" i="2"/>
  <c r="T2807" i="2"/>
  <c r="AX2806" i="2"/>
  <c r="AW2806" i="2"/>
  <c r="AV2806" i="2"/>
  <c r="AU2806" i="2"/>
  <c r="AT2806" i="2"/>
  <c r="AS2806" i="2"/>
  <c r="AR2806" i="2"/>
  <c r="AQ2806" i="2"/>
  <c r="AP2806" i="2"/>
  <c r="AO2806" i="2"/>
  <c r="AM2806" i="2"/>
  <c r="U2806" i="2"/>
  <c r="T2806" i="2"/>
  <c r="AX2805" i="2"/>
  <c r="AW2805" i="2"/>
  <c r="AV2805" i="2"/>
  <c r="AU2805" i="2"/>
  <c r="AT2805" i="2"/>
  <c r="AS2805" i="2"/>
  <c r="AR2805" i="2"/>
  <c r="AQ2805" i="2"/>
  <c r="AP2805" i="2"/>
  <c r="AO2805" i="2"/>
  <c r="AM2805" i="2"/>
  <c r="U2805" i="2"/>
  <c r="T2805" i="2"/>
  <c r="AX2804" i="2"/>
  <c r="AW2804" i="2"/>
  <c r="AV2804" i="2"/>
  <c r="AU2804" i="2"/>
  <c r="AT2804" i="2"/>
  <c r="AS2804" i="2"/>
  <c r="AR2804" i="2"/>
  <c r="AQ2804" i="2"/>
  <c r="AP2804" i="2"/>
  <c r="AO2804" i="2"/>
  <c r="AM2804" i="2"/>
  <c r="U2804" i="2"/>
  <c r="T2804" i="2"/>
  <c r="AX2803" i="2"/>
  <c r="AW2803" i="2"/>
  <c r="AV2803" i="2"/>
  <c r="AU2803" i="2"/>
  <c r="AT2803" i="2"/>
  <c r="AS2803" i="2"/>
  <c r="AR2803" i="2"/>
  <c r="AQ2803" i="2"/>
  <c r="AP2803" i="2"/>
  <c r="AO2803" i="2"/>
  <c r="AM2803" i="2"/>
  <c r="U2803" i="2"/>
  <c r="T2803" i="2"/>
  <c r="AX2802" i="2"/>
  <c r="AW2802" i="2"/>
  <c r="AV2802" i="2"/>
  <c r="AU2802" i="2"/>
  <c r="AT2802" i="2"/>
  <c r="AS2802" i="2"/>
  <c r="AR2802" i="2"/>
  <c r="AQ2802" i="2"/>
  <c r="AP2802" i="2"/>
  <c r="AO2802" i="2"/>
  <c r="AM2802" i="2"/>
  <c r="U2802" i="2"/>
  <c r="T2802" i="2"/>
  <c r="AX2801" i="2"/>
  <c r="AW2801" i="2"/>
  <c r="AV2801" i="2"/>
  <c r="AU2801" i="2"/>
  <c r="AT2801" i="2"/>
  <c r="AS2801" i="2"/>
  <c r="AR2801" i="2"/>
  <c r="AQ2801" i="2"/>
  <c r="AP2801" i="2"/>
  <c r="AO2801" i="2"/>
  <c r="T2801" i="2"/>
  <c r="AX2800" i="2"/>
  <c r="AW2800" i="2"/>
  <c r="AV2800" i="2"/>
  <c r="AU2800" i="2"/>
  <c r="AT2800" i="2"/>
  <c r="AS2800" i="2"/>
  <c r="AR2800" i="2"/>
  <c r="AQ2800" i="2"/>
  <c r="AP2800" i="2"/>
  <c r="AO2800" i="2"/>
  <c r="T2800" i="2"/>
  <c r="AX2799" i="2"/>
  <c r="AW2799" i="2"/>
  <c r="AV2799" i="2"/>
  <c r="AU2799" i="2"/>
  <c r="AT2799" i="2"/>
  <c r="AS2799" i="2"/>
  <c r="AR2799" i="2"/>
  <c r="AQ2799" i="2"/>
  <c r="AP2799" i="2"/>
  <c r="AO2799" i="2"/>
  <c r="T2799" i="2"/>
  <c r="E2798" i="2"/>
  <c r="AX2798" i="2"/>
  <c r="AW2798" i="2"/>
  <c r="AV2798" i="2"/>
  <c r="AU2798" i="2"/>
  <c r="AT2798" i="2"/>
  <c r="AS2798" i="2"/>
  <c r="AR2798" i="2"/>
  <c r="AQ2798" i="2"/>
  <c r="AP2798" i="2"/>
  <c r="AO2798" i="2"/>
  <c r="AM2798" i="2"/>
  <c r="T2798" i="2"/>
  <c r="AW2797" i="2"/>
  <c r="AV2797" i="2"/>
  <c r="AU2797" i="2"/>
  <c r="AT2797" i="2"/>
  <c r="AS2797" i="2"/>
  <c r="AR2797" i="2"/>
  <c r="AQ2797" i="2"/>
  <c r="AP2797" i="2"/>
  <c r="AO2797" i="2"/>
  <c r="AM2797" i="2"/>
  <c r="T2797" i="2"/>
  <c r="E2797" i="2"/>
  <c r="AX2797" i="2"/>
  <c r="AX2796" i="2"/>
  <c r="AW2796" i="2"/>
  <c r="AV2796" i="2"/>
  <c r="AU2796" i="2"/>
  <c r="AT2796" i="2"/>
  <c r="AS2796" i="2"/>
  <c r="AR2796" i="2"/>
  <c r="AQ2796" i="2"/>
  <c r="AP2796" i="2"/>
  <c r="AO2796" i="2"/>
  <c r="AM2796" i="2"/>
  <c r="T2796" i="2"/>
  <c r="AX2795" i="2"/>
  <c r="AW2795" i="2"/>
  <c r="AV2795" i="2"/>
  <c r="AU2795" i="2"/>
  <c r="AT2795" i="2"/>
  <c r="AS2795" i="2"/>
  <c r="AR2795" i="2"/>
  <c r="AQ2795" i="2"/>
  <c r="AP2795" i="2"/>
  <c r="AO2795" i="2"/>
  <c r="T2795" i="2"/>
  <c r="AX2794" i="2"/>
  <c r="AW2794" i="2"/>
  <c r="AV2794" i="2"/>
  <c r="AU2794" i="2"/>
  <c r="AT2794" i="2"/>
  <c r="AS2794" i="2"/>
  <c r="AR2794" i="2"/>
  <c r="AQ2794" i="2"/>
  <c r="AP2794" i="2"/>
  <c r="AP2791" i="2"/>
  <c r="AP2792" i="2"/>
  <c r="AP2793" i="2"/>
  <c r="AP2808" i="2"/>
  <c r="I2808" i="2"/>
  <c r="AO2794" i="2"/>
  <c r="T2794" i="2"/>
  <c r="AX2793" i="2"/>
  <c r="AW2793" i="2"/>
  <c r="AV2793" i="2"/>
  <c r="AU2793" i="2"/>
  <c r="AT2793" i="2"/>
  <c r="AS2793" i="2"/>
  <c r="AR2793" i="2"/>
  <c r="AQ2793" i="2"/>
  <c r="AO2793" i="2"/>
  <c r="T2793" i="2"/>
  <c r="AX2792" i="2"/>
  <c r="AW2792" i="2"/>
  <c r="AV2792" i="2"/>
  <c r="AU2792" i="2"/>
  <c r="AT2792" i="2"/>
  <c r="AS2792" i="2"/>
  <c r="AR2792" i="2"/>
  <c r="AQ2792" i="2"/>
  <c r="AO2792" i="2"/>
  <c r="T2792" i="2"/>
  <c r="AX2791" i="2"/>
  <c r="AW2791" i="2"/>
  <c r="AV2791" i="2"/>
  <c r="AU2791" i="2"/>
  <c r="AT2791" i="2"/>
  <c r="AS2791" i="2"/>
  <c r="AR2791" i="2"/>
  <c r="AQ2791" i="2"/>
  <c r="AQ2808" i="2"/>
  <c r="J2808" i="2"/>
  <c r="AO2791" i="2"/>
  <c r="T2791" i="2"/>
  <c r="AM2789" i="2"/>
  <c r="AL2789" i="2"/>
  <c r="S2789" i="2"/>
  <c r="R2789" i="2"/>
  <c r="J2789" i="2"/>
  <c r="I2789" i="2"/>
  <c r="H2789" i="2"/>
  <c r="G2789" i="2"/>
  <c r="AM2788" i="2"/>
  <c r="AL2788" i="2"/>
  <c r="U2780" i="2"/>
  <c r="U2781" i="2"/>
  <c r="U2782" i="2"/>
  <c r="U2783" i="2"/>
  <c r="U2784" i="2"/>
  <c r="U2785" i="2"/>
  <c r="U2786" i="2"/>
  <c r="U2788" i="2"/>
  <c r="T2780" i="2"/>
  <c r="T2781" i="2"/>
  <c r="T2782" i="2"/>
  <c r="T2783" i="2"/>
  <c r="T2784" i="2"/>
  <c r="T2785" i="2"/>
  <c r="T2786" i="2"/>
  <c r="T2788" i="2"/>
  <c r="S2788" i="2"/>
  <c r="R2788" i="2"/>
  <c r="J2788" i="2"/>
  <c r="I2788" i="2"/>
  <c r="H2788" i="2"/>
  <c r="G2788" i="2"/>
  <c r="AW2780" i="2"/>
  <c r="AW2781" i="2"/>
  <c r="AW2782" i="2"/>
  <c r="AW2783" i="2"/>
  <c r="AW2784" i="2"/>
  <c r="AW2785" i="2"/>
  <c r="AW2786" i="2"/>
  <c r="AW2787" i="2"/>
  <c r="AM2787" i="2"/>
  <c r="AL2787" i="2"/>
  <c r="S2787" i="2"/>
  <c r="R2787" i="2"/>
  <c r="G2787" i="2"/>
  <c r="AX2786" i="2"/>
  <c r="AV2786" i="2"/>
  <c r="AU2786" i="2"/>
  <c r="AT2786" i="2"/>
  <c r="AS2786" i="2"/>
  <c r="AR2786" i="2"/>
  <c r="AQ2786" i="2"/>
  <c r="AP2786" i="2"/>
  <c r="AO2786" i="2"/>
  <c r="AX2785" i="2"/>
  <c r="AV2785" i="2"/>
  <c r="AU2785" i="2"/>
  <c r="AT2785" i="2"/>
  <c r="AS2785" i="2"/>
  <c r="AR2785" i="2"/>
  <c r="AQ2785" i="2"/>
  <c r="AP2785" i="2"/>
  <c r="AO2785" i="2"/>
  <c r="AX2784" i="2"/>
  <c r="AV2784" i="2"/>
  <c r="AU2784" i="2"/>
  <c r="AT2784" i="2"/>
  <c r="AS2784" i="2"/>
  <c r="AR2784" i="2"/>
  <c r="AQ2784" i="2"/>
  <c r="AP2784" i="2"/>
  <c r="AO2784" i="2"/>
  <c r="AX2783" i="2"/>
  <c r="AV2783" i="2"/>
  <c r="AU2783" i="2"/>
  <c r="AT2783" i="2"/>
  <c r="AS2783" i="2"/>
  <c r="AR2783" i="2"/>
  <c r="AQ2783" i="2"/>
  <c r="AP2783" i="2"/>
  <c r="AO2783" i="2"/>
  <c r="AX2782" i="2"/>
  <c r="AV2782" i="2"/>
  <c r="AU2782" i="2"/>
  <c r="AT2782" i="2"/>
  <c r="AS2782" i="2"/>
  <c r="AR2782" i="2"/>
  <c r="AQ2782" i="2"/>
  <c r="AP2782" i="2"/>
  <c r="AO2782" i="2"/>
  <c r="AX2781" i="2"/>
  <c r="AX2780" i="2"/>
  <c r="AX2787" i="2"/>
  <c r="AV2781" i="2"/>
  <c r="AU2781" i="2"/>
  <c r="AT2781" i="2"/>
  <c r="AS2781" i="2"/>
  <c r="AR2781" i="2"/>
  <c r="AR2780" i="2"/>
  <c r="AR2787" i="2"/>
  <c r="AQ2781" i="2"/>
  <c r="AQ2780" i="2"/>
  <c r="AQ2787" i="2"/>
  <c r="J2787" i="2"/>
  <c r="AP2781" i="2"/>
  <c r="AP2780" i="2"/>
  <c r="AP2787" i="2"/>
  <c r="I2787" i="2"/>
  <c r="AO2781" i="2"/>
  <c r="AO2780" i="2"/>
  <c r="AO2787" i="2"/>
  <c r="H2787" i="2"/>
  <c r="AV2780" i="2"/>
  <c r="AV2787" i="2"/>
  <c r="AU2780" i="2"/>
  <c r="AU2787" i="2"/>
  <c r="AT2780" i="2"/>
  <c r="AT2787" i="2"/>
  <c r="AS2780" i="2"/>
  <c r="AS2787" i="2"/>
  <c r="U2787" i="2"/>
  <c r="T2787" i="2"/>
  <c r="AX2779" i="2"/>
  <c r="AW2779" i="2"/>
  <c r="AV2779" i="2"/>
  <c r="AU2779" i="2"/>
  <c r="AT2779" i="2"/>
  <c r="AS2779" i="2"/>
  <c r="AR2779" i="2"/>
  <c r="AQ2779" i="2"/>
  <c r="AP2779" i="2"/>
  <c r="AO2779" i="2"/>
  <c r="AM2777" i="2"/>
  <c r="AD2777" i="2"/>
  <c r="S2777" i="2"/>
  <c r="O2777" i="2"/>
  <c r="H2777" i="2"/>
  <c r="G2777" i="2"/>
  <c r="AM2776" i="2"/>
  <c r="AD2776" i="2"/>
  <c r="S2776" i="2"/>
  <c r="O2776" i="2"/>
  <c r="H2776" i="2"/>
  <c r="G2776" i="2"/>
  <c r="AV2767" i="2"/>
  <c r="AV2768" i="2"/>
  <c r="AV2769" i="2"/>
  <c r="AV2770" i="2"/>
  <c r="AV2771" i="2"/>
  <c r="AV2772" i="2"/>
  <c r="AV2773" i="2"/>
  <c r="AV2774" i="2"/>
  <c r="AV2775" i="2"/>
  <c r="G2775" i="2"/>
  <c r="O2775" i="2"/>
  <c r="AM2775" i="2"/>
  <c r="AD2775" i="2"/>
  <c r="S2775" i="2"/>
  <c r="AX2774" i="2"/>
  <c r="AW2774" i="2"/>
  <c r="AU2774" i="2"/>
  <c r="AT2774" i="2"/>
  <c r="AT2767" i="2"/>
  <c r="AT2768" i="2"/>
  <c r="AT2769" i="2"/>
  <c r="AT2770" i="2"/>
  <c r="AT2771" i="2"/>
  <c r="AT2772" i="2"/>
  <c r="AT2773" i="2"/>
  <c r="AT2775" i="2"/>
  <c r="AS2774" i="2"/>
  <c r="AR2774" i="2"/>
  <c r="AQ2774" i="2"/>
  <c r="AP2774" i="2"/>
  <c r="AO2774" i="2"/>
  <c r="AX2773" i="2"/>
  <c r="AW2773" i="2"/>
  <c r="AU2773" i="2"/>
  <c r="AS2773" i="2"/>
  <c r="AR2773" i="2"/>
  <c r="AQ2773" i="2"/>
  <c r="AP2773" i="2"/>
  <c r="AO2773" i="2"/>
  <c r="AX2772" i="2"/>
  <c r="AW2772" i="2"/>
  <c r="AU2772" i="2"/>
  <c r="AS2772" i="2"/>
  <c r="AR2772" i="2"/>
  <c r="AQ2772" i="2"/>
  <c r="AP2772" i="2"/>
  <c r="AO2772" i="2"/>
  <c r="AX2771" i="2"/>
  <c r="AW2771" i="2"/>
  <c r="AU2771" i="2"/>
  <c r="AS2771" i="2"/>
  <c r="AR2771" i="2"/>
  <c r="AQ2771" i="2"/>
  <c r="AP2771" i="2"/>
  <c r="AO2771" i="2"/>
  <c r="AX2770" i="2"/>
  <c r="AW2770" i="2"/>
  <c r="AU2770" i="2"/>
  <c r="AS2770" i="2"/>
  <c r="AR2770" i="2"/>
  <c r="AQ2770" i="2"/>
  <c r="AP2770" i="2"/>
  <c r="AO2770" i="2"/>
  <c r="AX2769" i="2"/>
  <c r="AW2769" i="2"/>
  <c r="AU2769" i="2"/>
  <c r="AS2769" i="2"/>
  <c r="AR2769" i="2"/>
  <c r="AQ2769" i="2"/>
  <c r="AP2769" i="2"/>
  <c r="AO2769" i="2"/>
  <c r="AX2768" i="2"/>
  <c r="AW2768" i="2"/>
  <c r="AU2768" i="2"/>
  <c r="AS2768" i="2"/>
  <c r="AR2768" i="2"/>
  <c r="AQ2768" i="2"/>
  <c r="AP2768" i="2"/>
  <c r="AO2768" i="2"/>
  <c r="AX2767" i="2"/>
  <c r="AW2767" i="2"/>
  <c r="AU2767" i="2"/>
  <c r="AS2767" i="2"/>
  <c r="AR2767" i="2"/>
  <c r="AQ2767" i="2"/>
  <c r="AP2767" i="2"/>
  <c r="AO2767" i="2"/>
  <c r="U2765" i="2"/>
  <c r="T2765" i="2"/>
  <c r="S2765" i="2"/>
  <c r="R2765" i="2"/>
  <c r="H2765" i="2"/>
  <c r="G2765" i="2"/>
  <c r="U2764" i="2"/>
  <c r="T2764" i="2"/>
  <c r="S2764" i="2"/>
  <c r="R2764" i="2"/>
  <c r="H2764" i="2"/>
  <c r="G2764" i="2"/>
  <c r="U2763" i="2"/>
  <c r="T2763" i="2"/>
  <c r="S2763" i="2"/>
  <c r="R2763" i="2"/>
  <c r="G2763" i="2"/>
  <c r="AX2762" i="2"/>
  <c r="AW2762" i="2"/>
  <c r="AV2762" i="2"/>
  <c r="AU2762" i="2"/>
  <c r="AT2762" i="2"/>
  <c r="AS2762" i="2"/>
  <c r="AR2762" i="2"/>
  <c r="J2762" i="2"/>
  <c r="AQ2762" i="2"/>
  <c r="AP2762" i="2"/>
  <c r="AO2762" i="2"/>
  <c r="AH2762" i="2"/>
  <c r="AX2761" i="2"/>
  <c r="AW2761" i="2"/>
  <c r="AV2761" i="2"/>
  <c r="AU2761" i="2"/>
  <c r="AT2761" i="2"/>
  <c r="AS2761" i="2"/>
  <c r="AR2761" i="2"/>
  <c r="AP2761" i="2"/>
  <c r="AO2761" i="2"/>
  <c r="AH2761" i="2"/>
  <c r="J2761" i="2"/>
  <c r="AQ2761" i="2"/>
  <c r="AX2760" i="2"/>
  <c r="AW2760" i="2"/>
  <c r="AV2760" i="2"/>
  <c r="AU2760" i="2"/>
  <c r="AT2760" i="2"/>
  <c r="AS2760" i="2"/>
  <c r="AR2760" i="2"/>
  <c r="J2760" i="2"/>
  <c r="AQ2760" i="2"/>
  <c r="AP2760" i="2"/>
  <c r="AO2760" i="2"/>
  <c r="AH2760" i="2"/>
  <c r="AX2759" i="2"/>
  <c r="AW2759" i="2"/>
  <c r="AV2759" i="2"/>
  <c r="AU2759" i="2"/>
  <c r="AT2759" i="2"/>
  <c r="AS2759" i="2"/>
  <c r="AR2759" i="2"/>
  <c r="AP2759" i="2"/>
  <c r="AO2759" i="2"/>
  <c r="AH2759" i="2"/>
  <c r="J2759" i="2"/>
  <c r="AQ2759" i="2"/>
  <c r="AX2758" i="2"/>
  <c r="AW2758" i="2"/>
  <c r="AV2758" i="2"/>
  <c r="AU2758" i="2"/>
  <c r="AT2758" i="2"/>
  <c r="AS2758" i="2"/>
  <c r="AR2758" i="2"/>
  <c r="J2758" i="2"/>
  <c r="AQ2758" i="2"/>
  <c r="AP2758" i="2"/>
  <c r="AO2758" i="2"/>
  <c r="AH2758" i="2"/>
  <c r="AX2757" i="2"/>
  <c r="AW2757" i="2"/>
  <c r="AV2757" i="2"/>
  <c r="AU2757" i="2"/>
  <c r="AT2757" i="2"/>
  <c r="AS2757" i="2"/>
  <c r="AR2757" i="2"/>
  <c r="AP2757" i="2"/>
  <c r="AO2757" i="2"/>
  <c r="AH2757" i="2"/>
  <c r="J2757" i="2"/>
  <c r="AQ2757" i="2"/>
  <c r="AX2756" i="2"/>
  <c r="AW2756" i="2"/>
  <c r="AV2756" i="2"/>
  <c r="AU2756" i="2"/>
  <c r="AT2756" i="2"/>
  <c r="AS2756" i="2"/>
  <c r="AR2756" i="2"/>
  <c r="AQ2756" i="2"/>
  <c r="AP2756" i="2"/>
  <c r="AO2756" i="2"/>
  <c r="AH2756" i="2"/>
  <c r="AX2755" i="2"/>
  <c r="AW2755" i="2"/>
  <c r="AV2755" i="2"/>
  <c r="AU2755" i="2"/>
  <c r="AT2755" i="2"/>
  <c r="AS2755" i="2"/>
  <c r="AR2755" i="2"/>
  <c r="AQ2755" i="2"/>
  <c r="AP2755" i="2"/>
  <c r="AO2755" i="2"/>
  <c r="AH2755" i="2"/>
  <c r="AX2754" i="2"/>
  <c r="AW2754" i="2"/>
  <c r="AV2754" i="2"/>
  <c r="AU2754" i="2"/>
  <c r="AT2754" i="2"/>
  <c r="AS2754" i="2"/>
  <c r="AR2754" i="2"/>
  <c r="AQ2754" i="2"/>
  <c r="AP2754" i="2"/>
  <c r="AO2754" i="2"/>
  <c r="AH2754" i="2"/>
  <c r="AX2753" i="2"/>
  <c r="AW2753" i="2"/>
  <c r="AV2753" i="2"/>
  <c r="AU2753" i="2"/>
  <c r="AT2753" i="2"/>
  <c r="AS2753" i="2"/>
  <c r="AR2753" i="2"/>
  <c r="AQ2753" i="2"/>
  <c r="AP2753" i="2"/>
  <c r="AO2753" i="2"/>
  <c r="AH2753" i="2"/>
  <c r="AX2752" i="2"/>
  <c r="AW2752" i="2"/>
  <c r="AV2752" i="2"/>
  <c r="AU2752" i="2"/>
  <c r="AT2752" i="2"/>
  <c r="AS2752" i="2"/>
  <c r="AR2752" i="2"/>
  <c r="AQ2752" i="2"/>
  <c r="AP2752" i="2"/>
  <c r="AO2752" i="2"/>
  <c r="AH2752" i="2"/>
  <c r="AX2751" i="2"/>
  <c r="AW2751" i="2"/>
  <c r="AV2751" i="2"/>
  <c r="AU2751" i="2"/>
  <c r="AT2751" i="2"/>
  <c r="AS2751" i="2"/>
  <c r="AR2751" i="2"/>
  <c r="AQ2751" i="2"/>
  <c r="AP2751" i="2"/>
  <c r="AO2751" i="2"/>
  <c r="AH2751" i="2"/>
  <c r="AX2750" i="2"/>
  <c r="AW2750" i="2"/>
  <c r="AV2750" i="2"/>
  <c r="AU2750" i="2"/>
  <c r="AT2750" i="2"/>
  <c r="AS2750" i="2"/>
  <c r="AR2750" i="2"/>
  <c r="AQ2750" i="2"/>
  <c r="AP2750" i="2"/>
  <c r="AO2750" i="2"/>
  <c r="AH2750" i="2"/>
  <c r="AX2749" i="2"/>
  <c r="AW2749" i="2"/>
  <c r="AV2749" i="2"/>
  <c r="AU2749" i="2"/>
  <c r="AT2749" i="2"/>
  <c r="AS2749" i="2"/>
  <c r="AR2749" i="2"/>
  <c r="AQ2749" i="2"/>
  <c r="AP2749" i="2"/>
  <c r="AO2749" i="2"/>
  <c r="AH2749" i="2"/>
  <c r="AX2748" i="2"/>
  <c r="AW2748" i="2"/>
  <c r="AV2748" i="2"/>
  <c r="AU2748" i="2"/>
  <c r="AT2748" i="2"/>
  <c r="AS2748" i="2"/>
  <c r="AR2748" i="2"/>
  <c r="AQ2748" i="2"/>
  <c r="AP2748" i="2"/>
  <c r="AO2748" i="2"/>
  <c r="AH2748" i="2"/>
  <c r="AX2747" i="2"/>
  <c r="AW2747" i="2"/>
  <c r="AV2747" i="2"/>
  <c r="AU2747" i="2"/>
  <c r="AT2747" i="2"/>
  <c r="AS2747" i="2"/>
  <c r="AR2747" i="2"/>
  <c r="AQ2747" i="2"/>
  <c r="AP2747" i="2"/>
  <c r="AO2747" i="2"/>
  <c r="AH2747" i="2"/>
  <c r="AX2746" i="2"/>
  <c r="AW2746" i="2"/>
  <c r="AV2746" i="2"/>
  <c r="AU2746" i="2"/>
  <c r="AT2746" i="2"/>
  <c r="AS2746" i="2"/>
  <c r="AR2746" i="2"/>
  <c r="AQ2746" i="2"/>
  <c r="AP2746" i="2"/>
  <c r="AO2746" i="2"/>
  <c r="AH2746" i="2"/>
  <c r="AX2745" i="2"/>
  <c r="AW2745" i="2"/>
  <c r="AV2745" i="2"/>
  <c r="AU2745" i="2"/>
  <c r="AT2745" i="2"/>
  <c r="AS2745" i="2"/>
  <c r="AR2745" i="2"/>
  <c r="AQ2745" i="2"/>
  <c r="AP2745" i="2"/>
  <c r="AO2745" i="2"/>
  <c r="AH2745" i="2"/>
  <c r="AX2744" i="2"/>
  <c r="AW2744" i="2"/>
  <c r="AV2744" i="2"/>
  <c r="AU2744" i="2"/>
  <c r="AT2744" i="2"/>
  <c r="AS2744" i="2"/>
  <c r="AR2744" i="2"/>
  <c r="AQ2744" i="2"/>
  <c r="AP2744" i="2"/>
  <c r="AO2744" i="2"/>
  <c r="AH2744" i="2"/>
  <c r="AX2743" i="2"/>
  <c r="AW2743" i="2"/>
  <c r="AV2743" i="2"/>
  <c r="AU2743" i="2"/>
  <c r="AT2743" i="2"/>
  <c r="AS2743" i="2"/>
  <c r="AR2743" i="2"/>
  <c r="AQ2743" i="2"/>
  <c r="AP2743" i="2"/>
  <c r="AO2743" i="2"/>
  <c r="AH2743" i="2"/>
  <c r="AX2742" i="2"/>
  <c r="AW2742" i="2"/>
  <c r="AV2742" i="2"/>
  <c r="AU2742" i="2"/>
  <c r="AT2742" i="2"/>
  <c r="AS2742" i="2"/>
  <c r="AR2742" i="2"/>
  <c r="AQ2742" i="2"/>
  <c r="AP2742" i="2"/>
  <c r="AO2742" i="2"/>
  <c r="AH2742" i="2"/>
  <c r="AX2741" i="2"/>
  <c r="AW2741" i="2"/>
  <c r="AV2741" i="2"/>
  <c r="AU2741" i="2"/>
  <c r="AT2741" i="2"/>
  <c r="AS2741" i="2"/>
  <c r="AR2741" i="2"/>
  <c r="AQ2741" i="2"/>
  <c r="AP2741" i="2"/>
  <c r="AO2741" i="2"/>
  <c r="AH2741" i="2"/>
  <c r="AX2740" i="2"/>
  <c r="AW2740" i="2"/>
  <c r="AV2740" i="2"/>
  <c r="AU2740" i="2"/>
  <c r="AT2740" i="2"/>
  <c r="AS2740" i="2"/>
  <c r="AR2740" i="2"/>
  <c r="AQ2740" i="2"/>
  <c r="AP2740" i="2"/>
  <c r="AO2740" i="2"/>
  <c r="AH2740" i="2"/>
  <c r="AX2739" i="2"/>
  <c r="AW2739" i="2"/>
  <c r="AV2739" i="2"/>
  <c r="AU2739" i="2"/>
  <c r="AT2739" i="2"/>
  <c r="AS2739" i="2"/>
  <c r="AR2739" i="2"/>
  <c r="AQ2739" i="2"/>
  <c r="AP2739" i="2"/>
  <c r="AO2739" i="2"/>
  <c r="AH2739" i="2"/>
  <c r="AX2738" i="2"/>
  <c r="AW2738" i="2"/>
  <c r="AV2738" i="2"/>
  <c r="AU2738" i="2"/>
  <c r="AT2738" i="2"/>
  <c r="AS2738" i="2"/>
  <c r="AR2738" i="2"/>
  <c r="AQ2738" i="2"/>
  <c r="AP2738" i="2"/>
  <c r="AO2738" i="2"/>
  <c r="AH2738" i="2"/>
  <c r="AX2737" i="2"/>
  <c r="AW2737" i="2"/>
  <c r="AV2737" i="2"/>
  <c r="AU2737" i="2"/>
  <c r="AT2737" i="2"/>
  <c r="AS2737" i="2"/>
  <c r="AR2737" i="2"/>
  <c r="AQ2737" i="2"/>
  <c r="AP2737" i="2"/>
  <c r="AO2737" i="2"/>
  <c r="AH2737" i="2"/>
  <c r="AX2736" i="2"/>
  <c r="AW2736" i="2"/>
  <c r="AV2736" i="2"/>
  <c r="AU2736" i="2"/>
  <c r="AT2736" i="2"/>
  <c r="AS2736" i="2"/>
  <c r="AR2736" i="2"/>
  <c r="AQ2736" i="2"/>
  <c r="AO2736" i="2"/>
  <c r="AM2736" i="2"/>
  <c r="AH2736" i="2"/>
  <c r="I2736" i="2"/>
  <c r="AP2736" i="2"/>
  <c r="AX2735" i="2"/>
  <c r="AW2735" i="2"/>
  <c r="AV2735" i="2"/>
  <c r="AU2735" i="2"/>
  <c r="AT2735" i="2"/>
  <c r="AS2735" i="2"/>
  <c r="AR2735" i="2"/>
  <c r="AQ2735" i="2"/>
  <c r="I2735" i="2"/>
  <c r="AP2735" i="2"/>
  <c r="AO2735" i="2"/>
  <c r="AM2735" i="2"/>
  <c r="AH2735" i="2"/>
  <c r="AX2734" i="2"/>
  <c r="AW2734" i="2"/>
  <c r="AV2734" i="2"/>
  <c r="AU2734" i="2"/>
  <c r="AT2734" i="2"/>
  <c r="AS2734" i="2"/>
  <c r="AR2734" i="2"/>
  <c r="AQ2734" i="2"/>
  <c r="AO2734" i="2"/>
  <c r="AM2734" i="2"/>
  <c r="AH2734" i="2"/>
  <c r="I2734" i="2"/>
  <c r="AP2734" i="2"/>
  <c r="AX2733" i="2"/>
  <c r="AW2733" i="2"/>
  <c r="AV2733" i="2"/>
  <c r="AU2733" i="2"/>
  <c r="AT2733" i="2"/>
  <c r="AS2733" i="2"/>
  <c r="AR2733" i="2"/>
  <c r="AQ2733" i="2"/>
  <c r="AO2733" i="2"/>
  <c r="AM2733" i="2"/>
  <c r="AH2733" i="2"/>
  <c r="I2733" i="2"/>
  <c r="AP2733" i="2"/>
  <c r="AX2732" i="2"/>
  <c r="AW2732" i="2"/>
  <c r="AV2732" i="2"/>
  <c r="AU2732" i="2"/>
  <c r="AT2732" i="2"/>
  <c r="AS2732" i="2"/>
  <c r="AR2732" i="2"/>
  <c r="AQ2732" i="2"/>
  <c r="I2732" i="2"/>
  <c r="AP2732" i="2"/>
  <c r="AO2732" i="2"/>
  <c r="AM2732" i="2"/>
  <c r="AH2732" i="2"/>
  <c r="AX2731" i="2"/>
  <c r="AW2731" i="2"/>
  <c r="AV2731" i="2"/>
  <c r="AU2731" i="2"/>
  <c r="AT2731" i="2"/>
  <c r="AS2731" i="2"/>
  <c r="AR2731" i="2"/>
  <c r="AQ2731" i="2"/>
  <c r="AO2731" i="2"/>
  <c r="AH2731" i="2"/>
  <c r="I2731" i="2"/>
  <c r="AP2731" i="2"/>
  <c r="AX2730" i="2"/>
  <c r="AW2730" i="2"/>
  <c r="AV2730" i="2"/>
  <c r="AU2730" i="2"/>
  <c r="AT2730" i="2"/>
  <c r="AS2730" i="2"/>
  <c r="AR2730" i="2"/>
  <c r="AQ2730" i="2"/>
  <c r="I2730" i="2"/>
  <c r="AP2730" i="2"/>
  <c r="AO2730" i="2"/>
  <c r="AM2730" i="2"/>
  <c r="AH2730" i="2"/>
  <c r="AX2729" i="2"/>
  <c r="AW2729" i="2"/>
  <c r="AV2729" i="2"/>
  <c r="AU2729" i="2"/>
  <c r="AT2729" i="2"/>
  <c r="AS2729" i="2"/>
  <c r="AR2729" i="2"/>
  <c r="AQ2729" i="2"/>
  <c r="AO2729" i="2"/>
  <c r="AM2729" i="2"/>
  <c r="AH2729" i="2"/>
  <c r="I2729" i="2"/>
  <c r="AP2729" i="2"/>
  <c r="AX2728" i="2"/>
  <c r="AW2728" i="2"/>
  <c r="AV2728" i="2"/>
  <c r="AU2728" i="2"/>
  <c r="AT2728" i="2"/>
  <c r="AS2728" i="2"/>
  <c r="AR2728" i="2"/>
  <c r="AR2726" i="2"/>
  <c r="AR2727" i="2"/>
  <c r="AR2763" i="2"/>
  <c r="AQ2728" i="2"/>
  <c r="AO2728" i="2"/>
  <c r="AM2728" i="2"/>
  <c r="AH2728" i="2"/>
  <c r="I2728" i="2"/>
  <c r="AP2728" i="2"/>
  <c r="AX2727" i="2"/>
  <c r="AW2727" i="2"/>
  <c r="AV2727" i="2"/>
  <c r="AU2727" i="2"/>
  <c r="AT2727" i="2"/>
  <c r="AS2727" i="2"/>
  <c r="AQ2727" i="2"/>
  <c r="I2727" i="2"/>
  <c r="AP2727" i="2"/>
  <c r="AO2727" i="2"/>
  <c r="AM2727" i="2"/>
  <c r="AM2726" i="2"/>
  <c r="AM2764" i="2"/>
  <c r="AH2727" i="2"/>
  <c r="AX2726" i="2"/>
  <c r="AW2726" i="2"/>
  <c r="AV2726" i="2"/>
  <c r="AU2726" i="2"/>
  <c r="AU2763" i="2"/>
  <c r="AT2726" i="2"/>
  <c r="AS2726" i="2"/>
  <c r="AS2763" i="2"/>
  <c r="AQ2726" i="2"/>
  <c r="AO2726" i="2"/>
  <c r="AH2726" i="2"/>
  <c r="I2726" i="2"/>
  <c r="AM2724" i="2"/>
  <c r="AL2724" i="2"/>
  <c r="AJ2724" i="2"/>
  <c r="AI2724" i="2"/>
  <c r="AM2723" i="2"/>
  <c r="AL2723" i="2"/>
  <c r="AJ2723" i="2"/>
  <c r="AI2723" i="2"/>
  <c r="AM2722" i="2"/>
  <c r="AL2722" i="2"/>
  <c r="AI2722" i="2"/>
  <c r="AX2721" i="2"/>
  <c r="AO2721" i="2"/>
  <c r="AX2720" i="2"/>
  <c r="AO2720" i="2"/>
  <c r="AX2719" i="2"/>
  <c r="AO2719" i="2"/>
  <c r="AX2718" i="2"/>
  <c r="AO2718" i="2"/>
  <c r="AX2717" i="2"/>
  <c r="AO2717" i="2"/>
  <c r="AX2716" i="2"/>
  <c r="AO2716" i="2"/>
  <c r="AX2715" i="2"/>
  <c r="AO2715" i="2"/>
  <c r="AX2714" i="2"/>
  <c r="AO2714" i="2"/>
  <c r="AX2713" i="2"/>
  <c r="AO2713" i="2"/>
  <c r="AX2712" i="2"/>
  <c r="AX2711" i="2"/>
  <c r="AX2722" i="2"/>
  <c r="AO2712" i="2"/>
  <c r="AO2711" i="2"/>
  <c r="AO2722" i="2"/>
  <c r="AJ2722" i="2"/>
  <c r="T2709" i="2"/>
  <c r="S2709" i="2"/>
  <c r="I2709" i="2"/>
  <c r="H2709" i="2"/>
  <c r="T2708" i="2"/>
  <c r="S2708" i="2"/>
  <c r="R2694" i="2"/>
  <c r="R2695" i="2"/>
  <c r="R2696" i="2"/>
  <c r="R2697" i="2"/>
  <c r="R2698" i="2"/>
  <c r="R2699" i="2"/>
  <c r="R2700" i="2"/>
  <c r="R2701" i="2"/>
  <c r="R2702" i="2"/>
  <c r="R2703" i="2"/>
  <c r="R2704" i="2"/>
  <c r="R2705" i="2"/>
  <c r="R2706" i="2"/>
  <c r="R2708" i="2"/>
  <c r="I2708" i="2"/>
  <c r="H2708" i="2"/>
  <c r="T2707" i="2"/>
  <c r="S2707" i="2"/>
  <c r="R2707" i="2"/>
  <c r="AX2706" i="2"/>
  <c r="AW2706" i="2"/>
  <c r="AV2706" i="2"/>
  <c r="AU2706" i="2"/>
  <c r="AT2706" i="2"/>
  <c r="AS2706" i="2"/>
  <c r="AR2706" i="2"/>
  <c r="AQ2706" i="2"/>
  <c r="AP2706" i="2"/>
  <c r="AO2706" i="2"/>
  <c r="AH2706" i="2"/>
  <c r="AX2705" i="2"/>
  <c r="AW2705" i="2"/>
  <c r="AV2705" i="2"/>
  <c r="AU2705" i="2"/>
  <c r="AT2705" i="2"/>
  <c r="AS2705" i="2"/>
  <c r="AR2705" i="2"/>
  <c r="AQ2705" i="2"/>
  <c r="AP2705" i="2"/>
  <c r="AO2705" i="2"/>
  <c r="AH2705" i="2"/>
  <c r="AX2704" i="2"/>
  <c r="AW2704" i="2"/>
  <c r="AV2704" i="2"/>
  <c r="AU2704" i="2"/>
  <c r="AT2704" i="2"/>
  <c r="AS2704" i="2"/>
  <c r="AR2704" i="2"/>
  <c r="AQ2704" i="2"/>
  <c r="AP2704" i="2"/>
  <c r="AO2704" i="2"/>
  <c r="AH2704" i="2"/>
  <c r="G2703" i="2"/>
  <c r="AX2703" i="2"/>
  <c r="AW2703" i="2"/>
  <c r="AQ2703" i="2"/>
  <c r="AP2703" i="2"/>
  <c r="AO2703" i="2"/>
  <c r="AV2703" i="2"/>
  <c r="G2702" i="2"/>
  <c r="G2701" i="2"/>
  <c r="AV2701" i="2"/>
  <c r="AS2701" i="2"/>
  <c r="AR2701" i="2"/>
  <c r="AQ2701" i="2"/>
  <c r="AH2701" i="2"/>
  <c r="AX2701" i="2"/>
  <c r="G2700" i="2"/>
  <c r="AX2700" i="2"/>
  <c r="AW2700" i="2"/>
  <c r="AV2700" i="2"/>
  <c r="AU2700" i="2"/>
  <c r="AS2700" i="2"/>
  <c r="AR2700" i="2"/>
  <c r="AQ2700" i="2"/>
  <c r="AP2700" i="2"/>
  <c r="AO2700" i="2"/>
  <c r="AH2700" i="2"/>
  <c r="AT2700" i="2"/>
  <c r="G2699" i="2"/>
  <c r="G2698" i="2"/>
  <c r="AX2698" i="2"/>
  <c r="AW2698" i="2"/>
  <c r="AU2698" i="2"/>
  <c r="AS2698" i="2"/>
  <c r="AR2698" i="2"/>
  <c r="AQ2698" i="2"/>
  <c r="AP2698" i="2"/>
  <c r="AO2698" i="2"/>
  <c r="AV2698" i="2"/>
  <c r="G2697" i="2"/>
  <c r="AX2697" i="2"/>
  <c r="AW2697" i="2"/>
  <c r="AV2697" i="2"/>
  <c r="AU2697" i="2"/>
  <c r="AR2697" i="2"/>
  <c r="AP2697" i="2"/>
  <c r="AO2697" i="2"/>
  <c r="AH2697" i="2"/>
  <c r="R2709" i="2"/>
  <c r="AT2697" i="2"/>
  <c r="G2696" i="2"/>
  <c r="AT2696" i="2"/>
  <c r="AS2696" i="2"/>
  <c r="G2695" i="2"/>
  <c r="AX2695" i="2"/>
  <c r="AW2695" i="2"/>
  <c r="AQ2695" i="2"/>
  <c r="AP2695" i="2"/>
  <c r="AO2695" i="2"/>
  <c r="AV2695" i="2"/>
  <c r="G2694" i="2"/>
  <c r="AU2694" i="2"/>
  <c r="AV2694" i="2"/>
  <c r="AA2692" i="2"/>
  <c r="M2692" i="2"/>
  <c r="G2692" i="2"/>
  <c r="AA2691" i="2"/>
  <c r="M2691" i="2"/>
  <c r="G2691" i="2"/>
  <c r="AW2677" i="2"/>
  <c r="AW2678" i="2"/>
  <c r="AW2679" i="2"/>
  <c r="AW2680" i="2"/>
  <c r="AW2681" i="2"/>
  <c r="AW2682" i="2"/>
  <c r="AW2683" i="2"/>
  <c r="AW2684" i="2"/>
  <c r="AW2685" i="2"/>
  <c r="AW2686" i="2"/>
  <c r="AW2687" i="2"/>
  <c r="AW2688" i="2"/>
  <c r="AW2689" i="2"/>
  <c r="AW2690" i="2"/>
  <c r="AA2690" i="2"/>
  <c r="G2690" i="2"/>
  <c r="AX2689" i="2"/>
  <c r="AV2689" i="2"/>
  <c r="AU2689" i="2"/>
  <c r="AT2689" i="2"/>
  <c r="AS2689" i="2"/>
  <c r="AR2689" i="2"/>
  <c r="AQ2689" i="2"/>
  <c r="AP2689" i="2"/>
  <c r="AO2689" i="2"/>
  <c r="AX2688" i="2"/>
  <c r="AV2688" i="2"/>
  <c r="AU2688" i="2"/>
  <c r="AT2688" i="2"/>
  <c r="AS2688" i="2"/>
  <c r="AR2688" i="2"/>
  <c r="AQ2688" i="2"/>
  <c r="AP2688" i="2"/>
  <c r="AO2688" i="2"/>
  <c r="AX2687" i="2"/>
  <c r="AV2687" i="2"/>
  <c r="AU2687" i="2"/>
  <c r="AT2687" i="2"/>
  <c r="AS2687" i="2"/>
  <c r="AR2687" i="2"/>
  <c r="AQ2687" i="2"/>
  <c r="AP2687" i="2"/>
  <c r="AO2687" i="2"/>
  <c r="AX2686" i="2"/>
  <c r="AV2686" i="2"/>
  <c r="AU2686" i="2"/>
  <c r="AT2686" i="2"/>
  <c r="AS2686" i="2"/>
  <c r="AR2686" i="2"/>
  <c r="AQ2686" i="2"/>
  <c r="AP2686" i="2"/>
  <c r="AO2686" i="2"/>
  <c r="AX2685" i="2"/>
  <c r="AV2685" i="2"/>
  <c r="AU2685" i="2"/>
  <c r="AT2685" i="2"/>
  <c r="AS2685" i="2"/>
  <c r="AR2685" i="2"/>
  <c r="AQ2685" i="2"/>
  <c r="AP2685" i="2"/>
  <c r="AO2685" i="2"/>
  <c r="AX2684" i="2"/>
  <c r="AV2684" i="2"/>
  <c r="AU2684" i="2"/>
  <c r="AT2684" i="2"/>
  <c r="AS2684" i="2"/>
  <c r="AR2684" i="2"/>
  <c r="AQ2684" i="2"/>
  <c r="AP2684" i="2"/>
  <c r="AO2684" i="2"/>
  <c r="AX2683" i="2"/>
  <c r="AV2683" i="2"/>
  <c r="AU2683" i="2"/>
  <c r="AT2683" i="2"/>
  <c r="AS2683" i="2"/>
  <c r="AR2683" i="2"/>
  <c r="AQ2683" i="2"/>
  <c r="AP2683" i="2"/>
  <c r="AO2683" i="2"/>
  <c r="AX2682" i="2"/>
  <c r="AV2682" i="2"/>
  <c r="AU2682" i="2"/>
  <c r="AT2682" i="2"/>
  <c r="AS2682" i="2"/>
  <c r="AR2682" i="2"/>
  <c r="AQ2682" i="2"/>
  <c r="AP2682" i="2"/>
  <c r="AO2682" i="2"/>
  <c r="AX2681" i="2"/>
  <c r="AV2681" i="2"/>
  <c r="AU2681" i="2"/>
  <c r="AT2681" i="2"/>
  <c r="AS2681" i="2"/>
  <c r="AR2681" i="2"/>
  <c r="AQ2681" i="2"/>
  <c r="AP2681" i="2"/>
  <c r="AO2681" i="2"/>
  <c r="AX2680" i="2"/>
  <c r="AV2680" i="2"/>
  <c r="AU2680" i="2"/>
  <c r="AT2680" i="2"/>
  <c r="AS2680" i="2"/>
  <c r="AR2680" i="2"/>
  <c r="AQ2680" i="2"/>
  <c r="AP2680" i="2"/>
  <c r="AO2680" i="2"/>
  <c r="AO2677" i="2"/>
  <c r="AO2678" i="2"/>
  <c r="AO2679" i="2"/>
  <c r="AO2690" i="2"/>
  <c r="AX2679" i="2"/>
  <c r="AX2677" i="2"/>
  <c r="AX2678" i="2"/>
  <c r="AX2690" i="2"/>
  <c r="AV2679" i="2"/>
  <c r="AU2679" i="2"/>
  <c r="AT2679" i="2"/>
  <c r="AS2679" i="2"/>
  <c r="AR2679" i="2"/>
  <c r="AQ2679" i="2"/>
  <c r="AQ2677" i="2"/>
  <c r="AQ2678" i="2"/>
  <c r="AQ2690" i="2"/>
  <c r="AP2679" i="2"/>
  <c r="AP2677" i="2"/>
  <c r="AP2678" i="2"/>
  <c r="AP2690" i="2"/>
  <c r="AV2678" i="2"/>
  <c r="AU2678" i="2"/>
  <c r="AT2678" i="2"/>
  <c r="AS2678" i="2"/>
  <c r="AR2678" i="2"/>
  <c r="AR2677" i="2"/>
  <c r="AR2690" i="2"/>
  <c r="AV2677" i="2"/>
  <c r="AU2677" i="2"/>
  <c r="AU2690" i="2"/>
  <c r="AT2677" i="2"/>
  <c r="AT2690" i="2"/>
  <c r="M2690" i="2"/>
  <c r="AS2677" i="2"/>
  <c r="AM2675" i="2"/>
  <c r="S2675" i="2"/>
  <c r="H2675" i="2"/>
  <c r="G2675" i="2"/>
  <c r="AM2674" i="2"/>
  <c r="S2674" i="2"/>
  <c r="H2674" i="2"/>
  <c r="G2674" i="2"/>
  <c r="AO2661" i="2"/>
  <c r="AO2662" i="2"/>
  <c r="AO2663" i="2"/>
  <c r="AO2673" i="2"/>
  <c r="G2673" i="2"/>
  <c r="H2673" i="2"/>
  <c r="AM2673" i="2"/>
  <c r="S2673" i="2"/>
  <c r="AX2672" i="2"/>
  <c r="AW2672" i="2"/>
  <c r="AV2672" i="2"/>
  <c r="AU2672" i="2"/>
  <c r="AT2672" i="2"/>
  <c r="AS2672" i="2"/>
  <c r="AR2672" i="2"/>
  <c r="AQ2672" i="2"/>
  <c r="AP2672" i="2"/>
  <c r="AO2672" i="2"/>
  <c r="AX2671" i="2"/>
  <c r="AW2671" i="2"/>
  <c r="AV2671" i="2"/>
  <c r="AU2671" i="2"/>
  <c r="AT2671" i="2"/>
  <c r="AS2671" i="2"/>
  <c r="AR2671" i="2"/>
  <c r="AQ2671" i="2"/>
  <c r="AP2671" i="2"/>
  <c r="AO2671" i="2"/>
  <c r="AX2670" i="2"/>
  <c r="AW2670" i="2"/>
  <c r="AV2670" i="2"/>
  <c r="AU2670" i="2"/>
  <c r="AT2670" i="2"/>
  <c r="AS2670" i="2"/>
  <c r="AR2670" i="2"/>
  <c r="AQ2670" i="2"/>
  <c r="AP2670" i="2"/>
  <c r="AO2670" i="2"/>
  <c r="AX2669" i="2"/>
  <c r="AW2669" i="2"/>
  <c r="AV2669" i="2"/>
  <c r="AU2669" i="2"/>
  <c r="AT2669" i="2"/>
  <c r="AS2669" i="2"/>
  <c r="AR2669" i="2"/>
  <c r="AQ2669" i="2"/>
  <c r="AP2669" i="2"/>
  <c r="AO2669" i="2"/>
  <c r="AX2668" i="2"/>
  <c r="AW2668" i="2"/>
  <c r="AV2668" i="2"/>
  <c r="AU2668" i="2"/>
  <c r="AT2668" i="2"/>
  <c r="AS2668" i="2"/>
  <c r="AR2668" i="2"/>
  <c r="AQ2668" i="2"/>
  <c r="AP2668" i="2"/>
  <c r="AO2668" i="2"/>
  <c r="AX2667" i="2"/>
  <c r="AW2667" i="2"/>
  <c r="AV2667" i="2"/>
  <c r="AU2667" i="2"/>
  <c r="AT2667" i="2"/>
  <c r="AS2667" i="2"/>
  <c r="AR2667" i="2"/>
  <c r="AQ2667" i="2"/>
  <c r="AP2667" i="2"/>
  <c r="AO2667" i="2"/>
  <c r="AX2666" i="2"/>
  <c r="AW2666" i="2"/>
  <c r="AV2666" i="2"/>
  <c r="AU2666" i="2"/>
  <c r="AT2666" i="2"/>
  <c r="AS2666" i="2"/>
  <c r="AR2666" i="2"/>
  <c r="AQ2666" i="2"/>
  <c r="AP2666" i="2"/>
  <c r="AO2666" i="2"/>
  <c r="AX2665" i="2"/>
  <c r="AW2665" i="2"/>
  <c r="AV2665" i="2"/>
  <c r="AU2665" i="2"/>
  <c r="AT2665" i="2"/>
  <c r="AS2665" i="2"/>
  <c r="AR2665" i="2"/>
  <c r="AQ2665" i="2"/>
  <c r="AP2665" i="2"/>
  <c r="AO2665" i="2"/>
  <c r="AX2664" i="2"/>
  <c r="AW2664" i="2"/>
  <c r="AV2664" i="2"/>
  <c r="AU2664" i="2"/>
  <c r="AT2664" i="2"/>
  <c r="AS2664" i="2"/>
  <c r="AR2664" i="2"/>
  <c r="AQ2664" i="2"/>
  <c r="AP2664" i="2"/>
  <c r="AO2664" i="2"/>
  <c r="AX2663" i="2"/>
  <c r="AW2663" i="2"/>
  <c r="AV2663" i="2"/>
  <c r="AV2661" i="2"/>
  <c r="AV2662" i="2"/>
  <c r="AV2673" i="2"/>
  <c r="AU2663" i="2"/>
  <c r="AT2663" i="2"/>
  <c r="AS2663" i="2"/>
  <c r="AR2663" i="2"/>
  <c r="AQ2663" i="2"/>
  <c r="AP2663" i="2"/>
  <c r="AX2662" i="2"/>
  <c r="AX2661" i="2"/>
  <c r="AX2673" i="2"/>
  <c r="AW2662" i="2"/>
  <c r="AU2662" i="2"/>
  <c r="AT2662" i="2"/>
  <c r="AS2662" i="2"/>
  <c r="AR2662" i="2"/>
  <c r="AQ2662" i="2"/>
  <c r="AQ2661" i="2"/>
  <c r="AQ2673" i="2"/>
  <c r="AP2662" i="2"/>
  <c r="AP2661" i="2"/>
  <c r="AP2673" i="2"/>
  <c r="AW2661" i="2"/>
  <c r="AW2673" i="2"/>
  <c r="AU2661" i="2"/>
  <c r="AT2661" i="2"/>
  <c r="AT2673" i="2"/>
  <c r="AS2661" i="2"/>
  <c r="AR2661" i="2"/>
  <c r="AR2673" i="2"/>
  <c r="AX2660" i="2"/>
  <c r="AW2660" i="2"/>
  <c r="AV2660" i="2"/>
  <c r="AU2660" i="2"/>
  <c r="AT2660" i="2"/>
  <c r="AS2660" i="2"/>
  <c r="AR2660" i="2"/>
  <c r="AQ2660" i="2"/>
  <c r="AP2660" i="2"/>
  <c r="AO2660" i="2"/>
  <c r="AM2658" i="2"/>
  <c r="AI2658" i="2"/>
  <c r="AH2658" i="2"/>
  <c r="W2658" i="2"/>
  <c r="U2658" i="2"/>
  <c r="T2658" i="2"/>
  <c r="S2658" i="2"/>
  <c r="K2658" i="2"/>
  <c r="J2658" i="2"/>
  <c r="I2658" i="2"/>
  <c r="H2658" i="2"/>
  <c r="G2658" i="2"/>
  <c r="AM2657" i="2"/>
  <c r="AI2657" i="2"/>
  <c r="AH2657" i="2"/>
  <c r="W2657" i="2"/>
  <c r="U2657" i="2"/>
  <c r="T2657" i="2"/>
  <c r="S2657" i="2"/>
  <c r="K2657" i="2"/>
  <c r="J2657" i="2"/>
  <c r="I2657" i="2"/>
  <c r="H2657" i="2"/>
  <c r="G2657" i="2"/>
  <c r="AX2641" i="2"/>
  <c r="AX2642" i="2"/>
  <c r="AX2643" i="2"/>
  <c r="AX2644" i="2"/>
  <c r="AX2645" i="2"/>
  <c r="AX2646" i="2"/>
  <c r="AX2647" i="2"/>
  <c r="AX2648" i="2"/>
  <c r="AX2649" i="2"/>
  <c r="AX2650" i="2"/>
  <c r="AX2651" i="2"/>
  <c r="AX2652" i="2"/>
  <c r="AX2653" i="2"/>
  <c r="AX2654" i="2"/>
  <c r="AX2655" i="2"/>
  <c r="AX2656" i="2"/>
  <c r="AV2641" i="2"/>
  <c r="AV2642" i="2"/>
  <c r="AV2643" i="2"/>
  <c r="AV2644" i="2"/>
  <c r="AV2645" i="2"/>
  <c r="AV2646" i="2"/>
  <c r="AV2647" i="2"/>
  <c r="AV2648" i="2"/>
  <c r="AV2649" i="2"/>
  <c r="AV2650" i="2"/>
  <c r="AV2651" i="2"/>
  <c r="AV2652" i="2"/>
  <c r="AV2653" i="2"/>
  <c r="AV2654" i="2"/>
  <c r="AV2655" i="2"/>
  <c r="AV2656" i="2"/>
  <c r="AM2656" i="2"/>
  <c r="AI2656" i="2"/>
  <c r="AH2656" i="2"/>
  <c r="W2656" i="2"/>
  <c r="U2656" i="2"/>
  <c r="T2656" i="2"/>
  <c r="S2656" i="2"/>
  <c r="AR2641" i="2"/>
  <c r="AR2642" i="2"/>
  <c r="AR2643" i="2"/>
  <c r="AR2644" i="2"/>
  <c r="AR2645" i="2"/>
  <c r="AR2646" i="2"/>
  <c r="AR2647" i="2"/>
  <c r="AR2648" i="2"/>
  <c r="AR2649" i="2"/>
  <c r="AR2650" i="2"/>
  <c r="AR2651" i="2"/>
  <c r="AR2652" i="2"/>
  <c r="AR2653" i="2"/>
  <c r="AR2654" i="2"/>
  <c r="AR2655" i="2"/>
  <c r="AR2656" i="2"/>
  <c r="K2656" i="2"/>
  <c r="G2656" i="2"/>
  <c r="AW2655" i="2"/>
  <c r="AU2655" i="2"/>
  <c r="AT2655" i="2"/>
  <c r="AS2655" i="2"/>
  <c r="AQ2655" i="2"/>
  <c r="AP2655" i="2"/>
  <c r="AO2655" i="2"/>
  <c r="AW2654" i="2"/>
  <c r="AU2654" i="2"/>
  <c r="AT2654" i="2"/>
  <c r="AS2654" i="2"/>
  <c r="AQ2654" i="2"/>
  <c r="AP2654" i="2"/>
  <c r="AO2654" i="2"/>
  <c r="AW2653" i="2"/>
  <c r="AU2653" i="2"/>
  <c r="AT2653" i="2"/>
  <c r="AS2653" i="2"/>
  <c r="AQ2653" i="2"/>
  <c r="AP2653" i="2"/>
  <c r="AO2653" i="2"/>
  <c r="AW2652" i="2"/>
  <c r="AU2652" i="2"/>
  <c r="AT2652" i="2"/>
  <c r="AS2652" i="2"/>
  <c r="AQ2652" i="2"/>
  <c r="AP2652" i="2"/>
  <c r="AO2652" i="2"/>
  <c r="AW2651" i="2"/>
  <c r="AU2651" i="2"/>
  <c r="AT2651" i="2"/>
  <c r="AS2651" i="2"/>
  <c r="AQ2651" i="2"/>
  <c r="AP2651" i="2"/>
  <c r="AO2651" i="2"/>
  <c r="AW2650" i="2"/>
  <c r="AU2650" i="2"/>
  <c r="AT2650" i="2"/>
  <c r="AS2650" i="2"/>
  <c r="AQ2650" i="2"/>
  <c r="AP2650" i="2"/>
  <c r="AO2650" i="2"/>
  <c r="AW2649" i="2"/>
  <c r="AU2649" i="2"/>
  <c r="AT2649" i="2"/>
  <c r="AS2649" i="2"/>
  <c r="AQ2649" i="2"/>
  <c r="AP2649" i="2"/>
  <c r="AO2649" i="2"/>
  <c r="AW2648" i="2"/>
  <c r="AU2648" i="2"/>
  <c r="AT2648" i="2"/>
  <c r="AS2648" i="2"/>
  <c r="AQ2648" i="2"/>
  <c r="AP2648" i="2"/>
  <c r="AO2648" i="2"/>
  <c r="AW2647" i="2"/>
  <c r="AU2647" i="2"/>
  <c r="AT2647" i="2"/>
  <c r="AS2647" i="2"/>
  <c r="AQ2647" i="2"/>
  <c r="AP2647" i="2"/>
  <c r="AO2647" i="2"/>
  <c r="AW2646" i="2"/>
  <c r="AU2646" i="2"/>
  <c r="AT2646" i="2"/>
  <c r="AS2646" i="2"/>
  <c r="AQ2646" i="2"/>
  <c r="AP2646" i="2"/>
  <c r="AO2646" i="2"/>
  <c r="AW2645" i="2"/>
  <c r="AU2645" i="2"/>
  <c r="AT2645" i="2"/>
  <c r="AS2645" i="2"/>
  <c r="AQ2645" i="2"/>
  <c r="AP2645" i="2"/>
  <c r="AO2645" i="2"/>
  <c r="AW2644" i="2"/>
  <c r="AU2644" i="2"/>
  <c r="AT2644" i="2"/>
  <c r="AS2644" i="2"/>
  <c r="AQ2644" i="2"/>
  <c r="AP2644" i="2"/>
  <c r="AO2644" i="2"/>
  <c r="AW2643" i="2"/>
  <c r="AU2643" i="2"/>
  <c r="AT2643" i="2"/>
  <c r="AS2643" i="2"/>
  <c r="AQ2643" i="2"/>
  <c r="AP2643" i="2"/>
  <c r="AO2643" i="2"/>
  <c r="AW2642" i="2"/>
  <c r="AW2641" i="2"/>
  <c r="AW2656" i="2"/>
  <c r="AU2642" i="2"/>
  <c r="AT2642" i="2"/>
  <c r="AS2642" i="2"/>
  <c r="AQ2642" i="2"/>
  <c r="AP2642" i="2"/>
  <c r="AO2642" i="2"/>
  <c r="AU2641" i="2"/>
  <c r="AU2656" i="2"/>
  <c r="AT2641" i="2"/>
  <c r="AS2641" i="2"/>
  <c r="AQ2641" i="2"/>
  <c r="AQ2656" i="2"/>
  <c r="J2656" i="2"/>
  <c r="AP2641" i="2"/>
  <c r="AP2656" i="2"/>
  <c r="I2656" i="2"/>
  <c r="AO2641" i="2"/>
  <c r="AX2640" i="2"/>
  <c r="AW2640" i="2"/>
  <c r="AV2640" i="2"/>
  <c r="AU2640" i="2"/>
  <c r="AT2640" i="2"/>
  <c r="AS2640" i="2"/>
  <c r="AR2640" i="2"/>
  <c r="AQ2640" i="2"/>
  <c r="AP2640" i="2"/>
  <c r="AO2640" i="2"/>
  <c r="T2631" i="2"/>
  <c r="T2632" i="2"/>
  <c r="T2633" i="2"/>
  <c r="T2634" i="2"/>
  <c r="T2635" i="2"/>
  <c r="T2638" i="2"/>
  <c r="S2631" i="2"/>
  <c r="S2638" i="2"/>
  <c r="T2637" i="2"/>
  <c r="S2637" i="2"/>
  <c r="S2636" i="2"/>
  <c r="AX2635" i="2"/>
  <c r="AW2635" i="2"/>
  <c r="AV2635" i="2"/>
  <c r="AU2635" i="2"/>
  <c r="AT2635" i="2"/>
  <c r="AS2635" i="2"/>
  <c r="AR2635" i="2"/>
  <c r="AQ2635" i="2"/>
  <c r="AP2635" i="2"/>
  <c r="AO2635" i="2"/>
  <c r="U2635" i="2"/>
  <c r="R2635" i="2"/>
  <c r="AH2635" i="2"/>
  <c r="AX2634" i="2"/>
  <c r="AW2634" i="2"/>
  <c r="AV2634" i="2"/>
  <c r="AU2634" i="2"/>
  <c r="AT2634" i="2"/>
  <c r="AS2634" i="2"/>
  <c r="AR2634" i="2"/>
  <c r="AQ2634" i="2"/>
  <c r="AO2634" i="2"/>
  <c r="R2634" i="2"/>
  <c r="AH2634" i="2"/>
  <c r="U2634" i="2"/>
  <c r="I2634" i="2"/>
  <c r="AP2634" i="2"/>
  <c r="AX2633" i="2"/>
  <c r="AW2633" i="2"/>
  <c r="AV2633" i="2"/>
  <c r="AU2633" i="2"/>
  <c r="AT2633" i="2"/>
  <c r="AS2633" i="2"/>
  <c r="AR2633" i="2"/>
  <c r="AQ2633" i="2"/>
  <c r="AO2633" i="2"/>
  <c r="R2633" i="2"/>
  <c r="AH2633" i="2"/>
  <c r="U2633" i="2"/>
  <c r="I2633" i="2"/>
  <c r="AP2633" i="2"/>
  <c r="G2632" i="2"/>
  <c r="AX2632" i="2"/>
  <c r="AW2632" i="2"/>
  <c r="AV2632" i="2"/>
  <c r="AU2632" i="2"/>
  <c r="AT2632" i="2"/>
  <c r="AR2632" i="2"/>
  <c r="AO2632" i="2"/>
  <c r="R2632" i="2"/>
  <c r="AH2632" i="2"/>
  <c r="U2632" i="2"/>
  <c r="I2632" i="2"/>
  <c r="AP2632" i="2"/>
  <c r="AS2632" i="2"/>
  <c r="U2631" i="2"/>
  <c r="T2636" i="2"/>
  <c r="R2631" i="2"/>
  <c r="G2631" i="2"/>
  <c r="AX2631" i="2"/>
  <c r="AX2636" i="2"/>
  <c r="AX2626" i="2"/>
  <c r="AW2626" i="2"/>
  <c r="AV2626" i="2"/>
  <c r="AU2626" i="2"/>
  <c r="AT2626" i="2"/>
  <c r="AS2626" i="2"/>
  <c r="AR2626" i="2"/>
  <c r="AQ2626" i="2"/>
  <c r="AP2626" i="2"/>
  <c r="AO2626" i="2"/>
  <c r="AX2625" i="2"/>
  <c r="AW2625" i="2"/>
  <c r="AV2625" i="2"/>
  <c r="AU2625" i="2"/>
  <c r="AT2625" i="2"/>
  <c r="AS2625" i="2"/>
  <c r="AR2625" i="2"/>
  <c r="AQ2625" i="2"/>
  <c r="AP2625" i="2"/>
  <c r="AO2625" i="2"/>
  <c r="T2625" i="2"/>
  <c r="AX2624" i="2"/>
  <c r="AW2624" i="2"/>
  <c r="AV2624" i="2"/>
  <c r="AU2624" i="2"/>
  <c r="AT2624" i="2"/>
  <c r="AS2624" i="2"/>
  <c r="AR2624" i="2"/>
  <c r="AQ2624" i="2"/>
  <c r="AP2624" i="2"/>
  <c r="AO2624" i="2"/>
  <c r="T2624" i="2"/>
  <c r="AX2623" i="2"/>
  <c r="AW2623" i="2"/>
  <c r="AV2623" i="2"/>
  <c r="AU2623" i="2"/>
  <c r="AT2623" i="2"/>
  <c r="AS2623" i="2"/>
  <c r="AR2623" i="2"/>
  <c r="AQ2623" i="2"/>
  <c r="AP2623" i="2"/>
  <c r="AO2623" i="2"/>
  <c r="AM2623" i="2"/>
  <c r="T2623" i="2"/>
  <c r="G2622" i="2"/>
  <c r="AR2622" i="2"/>
  <c r="AO2622" i="2"/>
  <c r="AM2622" i="2"/>
  <c r="T2622" i="2"/>
  <c r="I2622" i="2"/>
  <c r="AS2622" i="2"/>
  <c r="G2621" i="2"/>
  <c r="AW2621" i="2"/>
  <c r="AS2621" i="2"/>
  <c r="AM2621" i="2"/>
  <c r="T2621" i="2"/>
  <c r="I2621" i="2"/>
  <c r="G2620" i="2"/>
  <c r="AV2620" i="2"/>
  <c r="AQ2620" i="2"/>
  <c r="AO2620" i="2"/>
  <c r="AM2620" i="2"/>
  <c r="T2620" i="2"/>
  <c r="I2620" i="2"/>
  <c r="AS2620" i="2"/>
  <c r="G2619" i="2"/>
  <c r="AV2619" i="2"/>
  <c r="AT2619" i="2"/>
  <c r="AQ2619" i="2"/>
  <c r="AM2619" i="2"/>
  <c r="T2619" i="2"/>
  <c r="I2619" i="2"/>
  <c r="AX2619" i="2"/>
  <c r="G2618" i="2"/>
  <c r="AX2618" i="2"/>
  <c r="AW2618" i="2"/>
  <c r="AV2618" i="2"/>
  <c r="AU2618" i="2"/>
  <c r="AT2618" i="2"/>
  <c r="AR2618" i="2"/>
  <c r="AQ2618" i="2"/>
  <c r="AO2618" i="2"/>
  <c r="AM2618" i="2"/>
  <c r="T2618" i="2"/>
  <c r="I2618" i="2"/>
  <c r="AP2618" i="2"/>
  <c r="AS2618" i="2"/>
  <c r="G2617" i="2"/>
  <c r="AX2617" i="2"/>
  <c r="AW2617" i="2"/>
  <c r="AV2617" i="2"/>
  <c r="AU2617" i="2"/>
  <c r="AT2617" i="2"/>
  <c r="AR2617" i="2"/>
  <c r="I2617" i="2"/>
  <c r="AP2617" i="2"/>
  <c r="AO2617" i="2"/>
  <c r="AM2617" i="2"/>
  <c r="AM2629" i="2"/>
  <c r="T2617" i="2"/>
  <c r="T2627" i="2"/>
  <c r="AX2616" i="2"/>
  <c r="AW2616" i="2"/>
  <c r="AV2616" i="2"/>
  <c r="AU2616" i="2"/>
  <c r="AT2616" i="2"/>
  <c r="AS2616" i="2"/>
  <c r="AR2616" i="2"/>
  <c r="AQ2616" i="2"/>
  <c r="AP2616" i="2"/>
  <c r="AO2616" i="2"/>
  <c r="AX2615" i="2"/>
  <c r="AW2615" i="2"/>
  <c r="AV2615" i="2"/>
  <c r="AU2615" i="2"/>
  <c r="AT2615" i="2"/>
  <c r="AS2615" i="2"/>
  <c r="AR2615" i="2"/>
  <c r="AQ2615" i="2"/>
  <c r="AP2615" i="2"/>
  <c r="AO2615" i="2"/>
  <c r="AX2614" i="2"/>
  <c r="AW2614" i="2"/>
  <c r="AV2614" i="2"/>
  <c r="AU2614" i="2"/>
  <c r="AT2614" i="2"/>
  <c r="AS2614" i="2"/>
  <c r="AR2614" i="2"/>
  <c r="AQ2614" i="2"/>
  <c r="AP2614" i="2"/>
  <c r="AO2614" i="2"/>
  <c r="AX2613" i="2"/>
  <c r="AW2613" i="2"/>
  <c r="AV2613" i="2"/>
  <c r="AU2613" i="2"/>
  <c r="AT2613" i="2"/>
  <c r="AS2613" i="2"/>
  <c r="AR2613" i="2"/>
  <c r="AQ2613" i="2"/>
  <c r="AP2613" i="2"/>
  <c r="AO2613" i="2"/>
  <c r="AX2612" i="2"/>
  <c r="AW2612" i="2"/>
  <c r="AV2612" i="2"/>
  <c r="AU2612" i="2"/>
  <c r="AT2612" i="2"/>
  <c r="AS2612" i="2"/>
  <c r="AR2612" i="2"/>
  <c r="AQ2612" i="2"/>
  <c r="AP2612" i="2"/>
  <c r="AO2612" i="2"/>
  <c r="AX2611" i="2"/>
  <c r="AW2611" i="2"/>
  <c r="AV2611" i="2"/>
  <c r="AU2611" i="2"/>
  <c r="AT2611" i="2"/>
  <c r="AS2611" i="2"/>
  <c r="AR2611" i="2"/>
  <c r="AQ2611" i="2"/>
  <c r="AP2611" i="2"/>
  <c r="AO2611" i="2"/>
  <c r="AX2610" i="2"/>
  <c r="AW2610" i="2"/>
  <c r="AV2610" i="2"/>
  <c r="AU2610" i="2"/>
  <c r="AT2610" i="2"/>
  <c r="AS2610" i="2"/>
  <c r="AR2610" i="2"/>
  <c r="AQ2610" i="2"/>
  <c r="AP2610" i="2"/>
  <c r="AO2610" i="2"/>
  <c r="I2604" i="2"/>
  <c r="I2605" i="2"/>
  <c r="I2607" i="2"/>
  <c r="G2605" i="2"/>
  <c r="AW2605" i="2"/>
  <c r="AQ2605" i="2"/>
  <c r="AO2605" i="2"/>
  <c r="T2605" i="2"/>
  <c r="I2608" i="2"/>
  <c r="AV2605" i="2"/>
  <c r="T2604" i="2"/>
  <c r="G2604" i="2"/>
  <c r="AM2601" i="2"/>
  <c r="AF2601" i="2"/>
  <c r="P2601" i="2"/>
  <c r="AM2600" i="2"/>
  <c r="AF2600" i="2"/>
  <c r="P2600" i="2"/>
  <c r="G2559" i="2"/>
  <c r="G2560" i="2"/>
  <c r="G2561" i="2"/>
  <c r="G2562" i="2"/>
  <c r="G2563" i="2"/>
  <c r="G2564" i="2"/>
  <c r="G2565" i="2"/>
  <c r="G2566" i="2"/>
  <c r="G2567" i="2"/>
  <c r="G2600" i="2"/>
  <c r="AM2599" i="2"/>
  <c r="AF2599" i="2"/>
  <c r="AX2598" i="2"/>
  <c r="AW2598" i="2"/>
  <c r="AV2598" i="2"/>
  <c r="AU2598" i="2"/>
  <c r="AT2598" i="2"/>
  <c r="AS2598" i="2"/>
  <c r="AR2598" i="2"/>
  <c r="AQ2598" i="2"/>
  <c r="AP2598" i="2"/>
  <c r="AO2598" i="2"/>
  <c r="AX2597" i="2"/>
  <c r="AW2597" i="2"/>
  <c r="AV2597" i="2"/>
  <c r="AU2597" i="2"/>
  <c r="AT2597" i="2"/>
  <c r="AS2597" i="2"/>
  <c r="AR2597" i="2"/>
  <c r="AQ2597" i="2"/>
  <c r="AP2597" i="2"/>
  <c r="AO2597" i="2"/>
  <c r="AX2596" i="2"/>
  <c r="AW2596" i="2"/>
  <c r="AV2596" i="2"/>
  <c r="AU2596" i="2"/>
  <c r="AT2596" i="2"/>
  <c r="AS2596" i="2"/>
  <c r="AR2596" i="2"/>
  <c r="AQ2596" i="2"/>
  <c r="AP2596" i="2"/>
  <c r="AO2596" i="2"/>
  <c r="AX2595" i="2"/>
  <c r="AW2595" i="2"/>
  <c r="AV2595" i="2"/>
  <c r="AU2595" i="2"/>
  <c r="AT2595" i="2"/>
  <c r="AS2595" i="2"/>
  <c r="AR2595" i="2"/>
  <c r="AQ2595" i="2"/>
  <c r="AP2595" i="2"/>
  <c r="AO2595" i="2"/>
  <c r="AX2594" i="2"/>
  <c r="AW2594" i="2"/>
  <c r="AV2594" i="2"/>
  <c r="AU2594" i="2"/>
  <c r="AT2594" i="2"/>
  <c r="AS2594" i="2"/>
  <c r="AR2594" i="2"/>
  <c r="AQ2594" i="2"/>
  <c r="AP2594" i="2"/>
  <c r="AO2594" i="2"/>
  <c r="AX2593" i="2"/>
  <c r="AW2593" i="2"/>
  <c r="AV2593" i="2"/>
  <c r="AU2593" i="2"/>
  <c r="AT2593" i="2"/>
  <c r="AS2593" i="2"/>
  <c r="AR2593" i="2"/>
  <c r="AQ2593" i="2"/>
  <c r="AP2593" i="2"/>
  <c r="AO2593" i="2"/>
  <c r="AX2592" i="2"/>
  <c r="AW2592" i="2"/>
  <c r="AV2592" i="2"/>
  <c r="AU2592" i="2"/>
  <c r="AT2592" i="2"/>
  <c r="AS2592" i="2"/>
  <c r="AR2592" i="2"/>
  <c r="AQ2592" i="2"/>
  <c r="AP2592" i="2"/>
  <c r="AO2592" i="2"/>
  <c r="AX2591" i="2"/>
  <c r="AW2591" i="2"/>
  <c r="AV2591" i="2"/>
  <c r="AU2591" i="2"/>
  <c r="AT2591" i="2"/>
  <c r="AS2591" i="2"/>
  <c r="AR2591" i="2"/>
  <c r="AQ2591" i="2"/>
  <c r="AP2591" i="2"/>
  <c r="AO2591" i="2"/>
  <c r="AX2590" i="2"/>
  <c r="AW2590" i="2"/>
  <c r="AV2590" i="2"/>
  <c r="AU2590" i="2"/>
  <c r="AT2590" i="2"/>
  <c r="AS2590" i="2"/>
  <c r="AR2590" i="2"/>
  <c r="AQ2590" i="2"/>
  <c r="AP2590" i="2"/>
  <c r="AO2590" i="2"/>
  <c r="AX2589" i="2"/>
  <c r="AW2589" i="2"/>
  <c r="AV2589" i="2"/>
  <c r="AU2589" i="2"/>
  <c r="AT2589" i="2"/>
  <c r="AS2589" i="2"/>
  <c r="AR2589" i="2"/>
  <c r="AQ2589" i="2"/>
  <c r="AP2589" i="2"/>
  <c r="AO2589" i="2"/>
  <c r="AX2588" i="2"/>
  <c r="AW2588" i="2"/>
  <c r="AV2588" i="2"/>
  <c r="AU2588" i="2"/>
  <c r="AT2588" i="2"/>
  <c r="AS2588" i="2"/>
  <c r="AR2588" i="2"/>
  <c r="AQ2588" i="2"/>
  <c r="AP2588" i="2"/>
  <c r="AO2588" i="2"/>
  <c r="AX2587" i="2"/>
  <c r="AW2587" i="2"/>
  <c r="AV2587" i="2"/>
  <c r="AU2587" i="2"/>
  <c r="AT2587" i="2"/>
  <c r="AS2587" i="2"/>
  <c r="AR2587" i="2"/>
  <c r="AQ2587" i="2"/>
  <c r="AP2587" i="2"/>
  <c r="AO2587" i="2"/>
  <c r="AX2586" i="2"/>
  <c r="AW2586" i="2"/>
  <c r="AV2586" i="2"/>
  <c r="AU2586" i="2"/>
  <c r="AT2586" i="2"/>
  <c r="AS2586" i="2"/>
  <c r="AR2586" i="2"/>
  <c r="AQ2586" i="2"/>
  <c r="AP2586" i="2"/>
  <c r="AO2586" i="2"/>
  <c r="AX2585" i="2"/>
  <c r="AW2585" i="2"/>
  <c r="AV2585" i="2"/>
  <c r="AU2585" i="2"/>
  <c r="AT2585" i="2"/>
  <c r="AS2585" i="2"/>
  <c r="AR2585" i="2"/>
  <c r="AQ2585" i="2"/>
  <c r="AP2585" i="2"/>
  <c r="AO2585" i="2"/>
  <c r="AX2584" i="2"/>
  <c r="AW2584" i="2"/>
  <c r="AV2584" i="2"/>
  <c r="AU2584" i="2"/>
  <c r="AT2584" i="2"/>
  <c r="AS2584" i="2"/>
  <c r="AR2584" i="2"/>
  <c r="AQ2584" i="2"/>
  <c r="AP2584" i="2"/>
  <c r="AO2584" i="2"/>
  <c r="AX2583" i="2"/>
  <c r="AW2583" i="2"/>
  <c r="AV2583" i="2"/>
  <c r="AU2583" i="2"/>
  <c r="AT2583" i="2"/>
  <c r="AS2583" i="2"/>
  <c r="AR2583" i="2"/>
  <c r="AQ2583" i="2"/>
  <c r="AP2583" i="2"/>
  <c r="AO2583" i="2"/>
  <c r="AX2582" i="2"/>
  <c r="AW2582" i="2"/>
  <c r="AV2582" i="2"/>
  <c r="AU2582" i="2"/>
  <c r="AT2582" i="2"/>
  <c r="AS2582" i="2"/>
  <c r="AR2582" i="2"/>
  <c r="AQ2582" i="2"/>
  <c r="AP2582" i="2"/>
  <c r="AO2582" i="2"/>
  <c r="AX2581" i="2"/>
  <c r="AW2581" i="2"/>
  <c r="AV2581" i="2"/>
  <c r="AU2581" i="2"/>
  <c r="AT2581" i="2"/>
  <c r="AS2581" i="2"/>
  <c r="AR2581" i="2"/>
  <c r="AQ2581" i="2"/>
  <c r="AP2581" i="2"/>
  <c r="AO2581" i="2"/>
  <c r="AX2580" i="2"/>
  <c r="AW2580" i="2"/>
  <c r="AV2580" i="2"/>
  <c r="AU2580" i="2"/>
  <c r="AT2580" i="2"/>
  <c r="AS2580" i="2"/>
  <c r="AR2580" i="2"/>
  <c r="AQ2580" i="2"/>
  <c r="AP2580" i="2"/>
  <c r="AO2580" i="2"/>
  <c r="AX2579" i="2"/>
  <c r="AW2579" i="2"/>
  <c r="AV2579" i="2"/>
  <c r="AU2579" i="2"/>
  <c r="AT2579" i="2"/>
  <c r="AS2579" i="2"/>
  <c r="AR2579" i="2"/>
  <c r="AQ2579" i="2"/>
  <c r="AP2579" i="2"/>
  <c r="AO2579" i="2"/>
  <c r="AX2578" i="2"/>
  <c r="AW2578" i="2"/>
  <c r="AV2578" i="2"/>
  <c r="AU2578" i="2"/>
  <c r="AT2578" i="2"/>
  <c r="AS2578" i="2"/>
  <c r="AR2578" i="2"/>
  <c r="AQ2578" i="2"/>
  <c r="AP2578" i="2"/>
  <c r="AO2578" i="2"/>
  <c r="AX2577" i="2"/>
  <c r="AW2577" i="2"/>
  <c r="AV2577" i="2"/>
  <c r="AU2577" i="2"/>
  <c r="AT2577" i="2"/>
  <c r="AS2577" i="2"/>
  <c r="AR2577" i="2"/>
  <c r="AQ2577" i="2"/>
  <c r="AP2577" i="2"/>
  <c r="AO2577" i="2"/>
  <c r="AX2576" i="2"/>
  <c r="AW2576" i="2"/>
  <c r="AV2576" i="2"/>
  <c r="AU2576" i="2"/>
  <c r="AT2576" i="2"/>
  <c r="AS2576" i="2"/>
  <c r="AR2576" i="2"/>
  <c r="AQ2576" i="2"/>
  <c r="AP2576" i="2"/>
  <c r="AO2576" i="2"/>
  <c r="AX2575" i="2"/>
  <c r="AW2575" i="2"/>
  <c r="AV2575" i="2"/>
  <c r="AU2575" i="2"/>
  <c r="AT2575" i="2"/>
  <c r="AS2575" i="2"/>
  <c r="AR2575" i="2"/>
  <c r="AQ2575" i="2"/>
  <c r="AP2575" i="2"/>
  <c r="AO2575" i="2"/>
  <c r="AX2574" i="2"/>
  <c r="AW2574" i="2"/>
  <c r="AV2574" i="2"/>
  <c r="AU2574" i="2"/>
  <c r="AT2574" i="2"/>
  <c r="AS2574" i="2"/>
  <c r="AR2574" i="2"/>
  <c r="AQ2574" i="2"/>
  <c r="AP2574" i="2"/>
  <c r="AO2574" i="2"/>
  <c r="AX2573" i="2"/>
  <c r="AW2573" i="2"/>
  <c r="AV2573" i="2"/>
  <c r="AU2573" i="2"/>
  <c r="AT2573" i="2"/>
  <c r="AS2573" i="2"/>
  <c r="AR2573" i="2"/>
  <c r="AQ2573" i="2"/>
  <c r="AP2573" i="2"/>
  <c r="AO2573" i="2"/>
  <c r="AX2572" i="2"/>
  <c r="AW2572" i="2"/>
  <c r="AV2572" i="2"/>
  <c r="AU2572" i="2"/>
  <c r="AT2572" i="2"/>
  <c r="AS2572" i="2"/>
  <c r="AR2572" i="2"/>
  <c r="AQ2572" i="2"/>
  <c r="AP2572" i="2"/>
  <c r="AO2572" i="2"/>
  <c r="AX2571" i="2"/>
  <c r="AW2571" i="2"/>
  <c r="AV2571" i="2"/>
  <c r="AU2571" i="2"/>
  <c r="AT2571" i="2"/>
  <c r="AS2571" i="2"/>
  <c r="AR2571" i="2"/>
  <c r="AQ2571" i="2"/>
  <c r="AP2571" i="2"/>
  <c r="AO2571" i="2"/>
  <c r="AX2570" i="2"/>
  <c r="AW2570" i="2"/>
  <c r="AV2570" i="2"/>
  <c r="AU2570" i="2"/>
  <c r="AT2570" i="2"/>
  <c r="AS2570" i="2"/>
  <c r="AR2570" i="2"/>
  <c r="AQ2570" i="2"/>
  <c r="AP2570" i="2"/>
  <c r="AO2570" i="2"/>
  <c r="AX2569" i="2"/>
  <c r="AW2569" i="2"/>
  <c r="AV2569" i="2"/>
  <c r="AU2569" i="2"/>
  <c r="AT2569" i="2"/>
  <c r="AS2569" i="2"/>
  <c r="AR2569" i="2"/>
  <c r="AQ2569" i="2"/>
  <c r="AP2569" i="2"/>
  <c r="AO2569" i="2"/>
  <c r="AX2568" i="2"/>
  <c r="AW2568" i="2"/>
  <c r="AV2568" i="2"/>
  <c r="AU2568" i="2"/>
  <c r="AT2568" i="2"/>
  <c r="AS2568" i="2"/>
  <c r="AR2568" i="2"/>
  <c r="AQ2568" i="2"/>
  <c r="AP2568" i="2"/>
  <c r="AO2568" i="2"/>
  <c r="AX2567" i="2"/>
  <c r="AW2567" i="2"/>
  <c r="AU2567" i="2"/>
  <c r="AT2567" i="2"/>
  <c r="AS2567" i="2"/>
  <c r="AR2567" i="2"/>
  <c r="AQ2567" i="2"/>
  <c r="AP2567" i="2"/>
  <c r="AO2567" i="2"/>
  <c r="AV2567" i="2"/>
  <c r="AX2566" i="2"/>
  <c r="AW2566" i="2"/>
  <c r="AU2566" i="2"/>
  <c r="AT2566" i="2"/>
  <c r="AR2566" i="2"/>
  <c r="AP2566" i="2"/>
  <c r="AO2566" i="2"/>
  <c r="AV2566" i="2"/>
  <c r="AX2565" i="2"/>
  <c r="AW2565" i="2"/>
  <c r="AU2565" i="2"/>
  <c r="AS2565" i="2"/>
  <c r="AR2565" i="2"/>
  <c r="AQ2565" i="2"/>
  <c r="AP2565" i="2"/>
  <c r="AO2565" i="2"/>
  <c r="AV2565" i="2"/>
  <c r="AV2564" i="2"/>
  <c r="AP2564" i="2"/>
  <c r="AX2564" i="2"/>
  <c r="AS2563" i="2"/>
  <c r="AQ2563" i="2"/>
  <c r="AX2563" i="2"/>
  <c r="AW2561" i="2"/>
  <c r="AT2561" i="2"/>
  <c r="AS2561" i="2"/>
  <c r="AQ2561" i="2"/>
  <c r="AO2561" i="2"/>
  <c r="AV2561" i="2"/>
  <c r="AW2560" i="2"/>
  <c r="AT2560" i="2"/>
  <c r="AR2560" i="2"/>
  <c r="AO2560" i="2"/>
  <c r="AQ2560" i="2"/>
  <c r="AX2559" i="2"/>
  <c r="AW2559" i="2"/>
  <c r="AU2559" i="2"/>
  <c r="AT2559" i="2"/>
  <c r="AS2559" i="2"/>
  <c r="AR2559" i="2"/>
  <c r="AQ2559" i="2"/>
  <c r="AP2559" i="2"/>
  <c r="AO2559" i="2"/>
  <c r="AV2559" i="2"/>
  <c r="AX2558" i="2"/>
  <c r="AW2558" i="2"/>
  <c r="AV2558" i="2"/>
  <c r="AU2558" i="2"/>
  <c r="AT2558" i="2"/>
  <c r="AS2558" i="2"/>
  <c r="AR2558" i="2"/>
  <c r="AQ2558" i="2"/>
  <c r="AP2558" i="2"/>
  <c r="AO2558" i="2"/>
  <c r="AA2556" i="2"/>
  <c r="Y2556" i="2"/>
  <c r="U2556" i="2"/>
  <c r="T2556" i="2"/>
  <c r="S2556" i="2"/>
  <c r="M2556" i="2"/>
  <c r="L2556" i="2"/>
  <c r="J2556" i="2"/>
  <c r="I2556" i="2"/>
  <c r="H2556" i="2"/>
  <c r="G2556" i="2"/>
  <c r="AA2555" i="2"/>
  <c r="Y2555" i="2"/>
  <c r="U2555" i="2"/>
  <c r="T2555" i="2"/>
  <c r="S2555" i="2"/>
  <c r="M2555" i="2"/>
  <c r="L2555" i="2"/>
  <c r="J2555" i="2"/>
  <c r="I2555" i="2"/>
  <c r="H2555" i="2"/>
  <c r="G2555" i="2"/>
  <c r="AA2554" i="2"/>
  <c r="Y2554" i="2"/>
  <c r="U2554" i="2"/>
  <c r="T2554" i="2"/>
  <c r="S2554" i="2"/>
  <c r="G2554" i="2"/>
  <c r="AX2553" i="2"/>
  <c r="AW2553" i="2"/>
  <c r="AV2553" i="2"/>
  <c r="AU2553" i="2"/>
  <c r="AT2553" i="2"/>
  <c r="AS2553" i="2"/>
  <c r="AR2553" i="2"/>
  <c r="AQ2553" i="2"/>
  <c r="AP2553" i="2"/>
  <c r="AO2553" i="2"/>
  <c r="Z2553" i="2"/>
  <c r="X2553" i="2"/>
  <c r="R2553" i="2"/>
  <c r="AH2553" i="2"/>
  <c r="AX2552" i="2"/>
  <c r="AW2552" i="2"/>
  <c r="AV2552" i="2"/>
  <c r="AU2552" i="2"/>
  <c r="AT2552" i="2"/>
  <c r="AS2552" i="2"/>
  <c r="AR2552" i="2"/>
  <c r="AQ2552" i="2"/>
  <c r="AP2552" i="2"/>
  <c r="AO2552" i="2"/>
  <c r="Z2552" i="2"/>
  <c r="X2552" i="2"/>
  <c r="R2552" i="2"/>
  <c r="AH2552" i="2"/>
  <c r="AX2551" i="2"/>
  <c r="AW2551" i="2"/>
  <c r="AV2551" i="2"/>
  <c r="AU2551" i="2"/>
  <c r="AT2551" i="2"/>
  <c r="AS2551" i="2"/>
  <c r="AR2551" i="2"/>
  <c r="AQ2551" i="2"/>
  <c r="AP2551" i="2"/>
  <c r="AO2551" i="2"/>
  <c r="R2551" i="2"/>
  <c r="X2551" i="2"/>
  <c r="Z2551" i="2"/>
  <c r="AH2551" i="2"/>
  <c r="AX2550" i="2"/>
  <c r="AW2550" i="2"/>
  <c r="AV2550" i="2"/>
  <c r="AU2550" i="2"/>
  <c r="AT2550" i="2"/>
  <c r="AS2550" i="2"/>
  <c r="AR2550" i="2"/>
  <c r="AQ2550" i="2"/>
  <c r="AP2550" i="2"/>
  <c r="AO2550" i="2"/>
  <c r="Z2550" i="2"/>
  <c r="X2550" i="2"/>
  <c r="R2550" i="2"/>
  <c r="AH2550" i="2"/>
  <c r="AX2549" i="2"/>
  <c r="AW2549" i="2"/>
  <c r="AV2549" i="2"/>
  <c r="AU2549" i="2"/>
  <c r="AT2549" i="2"/>
  <c r="AS2549" i="2"/>
  <c r="AR2549" i="2"/>
  <c r="AQ2549" i="2"/>
  <c r="AP2549" i="2"/>
  <c r="AO2549" i="2"/>
  <c r="Z2549" i="2"/>
  <c r="X2549" i="2"/>
  <c r="R2549" i="2"/>
  <c r="AH2549" i="2"/>
  <c r="AX2548" i="2"/>
  <c r="AW2548" i="2"/>
  <c r="AV2548" i="2"/>
  <c r="AU2548" i="2"/>
  <c r="AT2548" i="2"/>
  <c r="AS2548" i="2"/>
  <c r="AR2548" i="2"/>
  <c r="AQ2548" i="2"/>
  <c r="AP2548" i="2"/>
  <c r="AO2548" i="2"/>
  <c r="Z2548" i="2"/>
  <c r="X2548" i="2"/>
  <c r="R2548" i="2"/>
  <c r="AH2548" i="2"/>
  <c r="AX2547" i="2"/>
  <c r="AW2547" i="2"/>
  <c r="AV2547" i="2"/>
  <c r="AU2547" i="2"/>
  <c r="AT2547" i="2"/>
  <c r="AS2547" i="2"/>
  <c r="AR2547" i="2"/>
  <c r="AQ2547" i="2"/>
  <c r="AP2547" i="2"/>
  <c r="AO2547" i="2"/>
  <c r="R2547" i="2"/>
  <c r="X2547" i="2"/>
  <c r="Z2547" i="2"/>
  <c r="AH2547" i="2"/>
  <c r="AX2546" i="2"/>
  <c r="AW2546" i="2"/>
  <c r="AV2546" i="2"/>
  <c r="AU2546" i="2"/>
  <c r="AT2546" i="2"/>
  <c r="AS2546" i="2"/>
  <c r="AR2546" i="2"/>
  <c r="AQ2546" i="2"/>
  <c r="AP2546" i="2"/>
  <c r="AO2546" i="2"/>
  <c r="R2546" i="2"/>
  <c r="X2546" i="2"/>
  <c r="Z2546" i="2"/>
  <c r="AH2546" i="2"/>
  <c r="AX2545" i="2"/>
  <c r="AW2545" i="2"/>
  <c r="AV2545" i="2"/>
  <c r="AU2545" i="2"/>
  <c r="AT2545" i="2"/>
  <c r="AS2545" i="2"/>
  <c r="AR2545" i="2"/>
  <c r="AQ2545" i="2"/>
  <c r="AP2545" i="2"/>
  <c r="AO2545" i="2"/>
  <c r="Z2545" i="2"/>
  <c r="X2545" i="2"/>
  <c r="R2545" i="2"/>
  <c r="AH2545" i="2"/>
  <c r="AX2544" i="2"/>
  <c r="AW2544" i="2"/>
  <c r="AV2544" i="2"/>
  <c r="AU2544" i="2"/>
  <c r="AT2544" i="2"/>
  <c r="AS2544" i="2"/>
  <c r="AR2544" i="2"/>
  <c r="AQ2544" i="2"/>
  <c r="AP2544" i="2"/>
  <c r="AO2544" i="2"/>
  <c r="Z2544" i="2"/>
  <c r="X2544" i="2"/>
  <c r="R2544" i="2"/>
  <c r="AH2544" i="2"/>
  <c r="AX2543" i="2"/>
  <c r="AW2543" i="2"/>
  <c r="AV2543" i="2"/>
  <c r="AU2543" i="2"/>
  <c r="AT2543" i="2"/>
  <c r="AS2543" i="2"/>
  <c r="AR2543" i="2"/>
  <c r="AQ2543" i="2"/>
  <c r="AP2543" i="2"/>
  <c r="AO2543" i="2"/>
  <c r="R2543" i="2"/>
  <c r="X2543" i="2"/>
  <c r="Z2543" i="2"/>
  <c r="AH2543" i="2"/>
  <c r="AX2542" i="2"/>
  <c r="AW2542" i="2"/>
  <c r="AV2542" i="2"/>
  <c r="AU2542" i="2"/>
  <c r="AT2542" i="2"/>
  <c r="AS2542" i="2"/>
  <c r="AR2542" i="2"/>
  <c r="AQ2542" i="2"/>
  <c r="AP2542" i="2"/>
  <c r="AO2542" i="2"/>
  <c r="R2542" i="2"/>
  <c r="X2542" i="2"/>
  <c r="Z2542" i="2"/>
  <c r="AH2542" i="2"/>
  <c r="AX2541" i="2"/>
  <c r="AW2541" i="2"/>
  <c r="AV2541" i="2"/>
  <c r="AU2541" i="2"/>
  <c r="AT2541" i="2"/>
  <c r="AS2541" i="2"/>
  <c r="AR2541" i="2"/>
  <c r="AQ2541" i="2"/>
  <c r="AP2541" i="2"/>
  <c r="AO2541" i="2"/>
  <c r="Z2541" i="2"/>
  <c r="X2541" i="2"/>
  <c r="R2541" i="2"/>
  <c r="AH2541" i="2"/>
  <c r="AX2540" i="2"/>
  <c r="AW2540" i="2"/>
  <c r="AV2540" i="2"/>
  <c r="AU2540" i="2"/>
  <c r="AT2540" i="2"/>
  <c r="AS2540" i="2"/>
  <c r="AR2540" i="2"/>
  <c r="AQ2540" i="2"/>
  <c r="AP2540" i="2"/>
  <c r="AO2540" i="2"/>
  <c r="Z2540" i="2"/>
  <c r="X2540" i="2"/>
  <c r="R2540" i="2"/>
  <c r="AH2540" i="2"/>
  <c r="AX2539" i="2"/>
  <c r="AW2539" i="2"/>
  <c r="AV2539" i="2"/>
  <c r="AU2539" i="2"/>
  <c r="AT2539" i="2"/>
  <c r="AS2539" i="2"/>
  <c r="AR2539" i="2"/>
  <c r="AQ2539" i="2"/>
  <c r="AP2539" i="2"/>
  <c r="AO2539" i="2"/>
  <c r="R2539" i="2"/>
  <c r="X2539" i="2"/>
  <c r="Z2539" i="2"/>
  <c r="AH2539" i="2"/>
  <c r="AX2538" i="2"/>
  <c r="AW2538" i="2"/>
  <c r="AV2538" i="2"/>
  <c r="AU2538" i="2"/>
  <c r="AT2538" i="2"/>
  <c r="AS2538" i="2"/>
  <c r="AR2538" i="2"/>
  <c r="AQ2538" i="2"/>
  <c r="AP2538" i="2"/>
  <c r="AO2538" i="2"/>
  <c r="Z2538" i="2"/>
  <c r="X2538" i="2"/>
  <c r="R2538" i="2"/>
  <c r="AH2538" i="2"/>
  <c r="AX2537" i="2"/>
  <c r="AW2537" i="2"/>
  <c r="AV2537" i="2"/>
  <c r="AU2537" i="2"/>
  <c r="AT2537" i="2"/>
  <c r="AS2537" i="2"/>
  <c r="AR2537" i="2"/>
  <c r="AQ2537" i="2"/>
  <c r="AP2537" i="2"/>
  <c r="AO2537" i="2"/>
  <c r="Z2537" i="2"/>
  <c r="X2537" i="2"/>
  <c r="R2537" i="2"/>
  <c r="AH2537" i="2"/>
  <c r="AX2536" i="2"/>
  <c r="AW2536" i="2"/>
  <c r="AV2536" i="2"/>
  <c r="AU2536" i="2"/>
  <c r="AT2536" i="2"/>
  <c r="AS2536" i="2"/>
  <c r="AR2536" i="2"/>
  <c r="AQ2536" i="2"/>
  <c r="AP2536" i="2"/>
  <c r="AO2536" i="2"/>
  <c r="Z2536" i="2"/>
  <c r="X2536" i="2"/>
  <c r="R2536" i="2"/>
  <c r="AH2536" i="2"/>
  <c r="AX2535" i="2"/>
  <c r="AW2535" i="2"/>
  <c r="AV2535" i="2"/>
  <c r="AU2535" i="2"/>
  <c r="AT2535" i="2"/>
  <c r="AS2535" i="2"/>
  <c r="AR2535" i="2"/>
  <c r="AQ2535" i="2"/>
  <c r="AP2535" i="2"/>
  <c r="AO2535" i="2"/>
  <c r="R2535" i="2"/>
  <c r="X2535" i="2"/>
  <c r="Z2535" i="2"/>
  <c r="AH2535" i="2"/>
  <c r="AX2534" i="2"/>
  <c r="AW2534" i="2"/>
  <c r="AV2534" i="2"/>
  <c r="AU2534" i="2"/>
  <c r="AT2534" i="2"/>
  <c r="AS2534" i="2"/>
  <c r="AR2534" i="2"/>
  <c r="AQ2534" i="2"/>
  <c r="AP2534" i="2"/>
  <c r="AO2534" i="2"/>
  <c r="Z2534" i="2"/>
  <c r="X2534" i="2"/>
  <c r="R2534" i="2"/>
  <c r="AH2534" i="2"/>
  <c r="AX2533" i="2"/>
  <c r="AW2533" i="2"/>
  <c r="AV2533" i="2"/>
  <c r="AU2533" i="2"/>
  <c r="AT2533" i="2"/>
  <c r="AS2533" i="2"/>
  <c r="AR2533" i="2"/>
  <c r="AQ2533" i="2"/>
  <c r="AP2533" i="2"/>
  <c r="AO2533" i="2"/>
  <c r="Z2533" i="2"/>
  <c r="X2533" i="2"/>
  <c r="R2533" i="2"/>
  <c r="AH2533" i="2"/>
  <c r="AX2532" i="2"/>
  <c r="AW2532" i="2"/>
  <c r="AV2532" i="2"/>
  <c r="AU2532" i="2"/>
  <c r="AT2532" i="2"/>
  <c r="AS2532" i="2"/>
  <c r="AR2532" i="2"/>
  <c r="AQ2532" i="2"/>
  <c r="AP2532" i="2"/>
  <c r="AO2532" i="2"/>
  <c r="Z2532" i="2"/>
  <c r="X2532" i="2"/>
  <c r="R2532" i="2"/>
  <c r="AH2532" i="2"/>
  <c r="AX2531" i="2"/>
  <c r="AW2531" i="2"/>
  <c r="AV2531" i="2"/>
  <c r="AU2531" i="2"/>
  <c r="AT2531" i="2"/>
  <c r="AS2531" i="2"/>
  <c r="AR2531" i="2"/>
  <c r="AQ2531" i="2"/>
  <c r="AP2531" i="2"/>
  <c r="AO2531" i="2"/>
  <c r="R2531" i="2"/>
  <c r="X2531" i="2"/>
  <c r="Z2531" i="2"/>
  <c r="AH2531" i="2"/>
  <c r="AX2530" i="2"/>
  <c r="AW2530" i="2"/>
  <c r="AV2530" i="2"/>
  <c r="AU2530" i="2"/>
  <c r="AT2530" i="2"/>
  <c r="AS2530" i="2"/>
  <c r="AR2530" i="2"/>
  <c r="AQ2530" i="2"/>
  <c r="AP2530" i="2"/>
  <c r="AO2530" i="2"/>
  <c r="R2530" i="2"/>
  <c r="X2530" i="2"/>
  <c r="Z2530" i="2"/>
  <c r="AH2530" i="2"/>
  <c r="AX2529" i="2"/>
  <c r="AW2529" i="2"/>
  <c r="AV2529" i="2"/>
  <c r="AU2529" i="2"/>
  <c r="AT2529" i="2"/>
  <c r="AS2529" i="2"/>
  <c r="AR2529" i="2"/>
  <c r="AQ2529" i="2"/>
  <c r="AP2529" i="2"/>
  <c r="AO2529" i="2"/>
  <c r="Z2529" i="2"/>
  <c r="X2529" i="2"/>
  <c r="R2529" i="2"/>
  <c r="AH2529" i="2"/>
  <c r="AX2528" i="2"/>
  <c r="AW2528" i="2"/>
  <c r="AV2528" i="2"/>
  <c r="AU2528" i="2"/>
  <c r="AT2528" i="2"/>
  <c r="AS2528" i="2"/>
  <c r="AR2528" i="2"/>
  <c r="AQ2528" i="2"/>
  <c r="AP2528" i="2"/>
  <c r="AO2528" i="2"/>
  <c r="Z2528" i="2"/>
  <c r="X2528" i="2"/>
  <c r="R2528" i="2"/>
  <c r="AH2528" i="2"/>
  <c r="AX2527" i="2"/>
  <c r="AW2527" i="2"/>
  <c r="AV2527" i="2"/>
  <c r="AU2527" i="2"/>
  <c r="AT2527" i="2"/>
  <c r="AS2527" i="2"/>
  <c r="AR2527" i="2"/>
  <c r="AQ2527" i="2"/>
  <c r="AP2527" i="2"/>
  <c r="AO2527" i="2"/>
  <c r="R2527" i="2"/>
  <c r="X2527" i="2"/>
  <c r="Z2527" i="2"/>
  <c r="AH2527" i="2"/>
  <c r="AX2526" i="2"/>
  <c r="AW2526" i="2"/>
  <c r="AV2526" i="2"/>
  <c r="AU2526" i="2"/>
  <c r="AT2526" i="2"/>
  <c r="AS2526" i="2"/>
  <c r="AR2526" i="2"/>
  <c r="AQ2526" i="2"/>
  <c r="AP2526" i="2"/>
  <c r="AO2526" i="2"/>
  <c r="R2526" i="2"/>
  <c r="X2526" i="2"/>
  <c r="Z2526" i="2"/>
  <c r="AH2526" i="2"/>
  <c r="AX2525" i="2"/>
  <c r="AW2525" i="2"/>
  <c r="AV2525" i="2"/>
  <c r="AU2525" i="2"/>
  <c r="AT2525" i="2"/>
  <c r="AS2525" i="2"/>
  <c r="AR2525" i="2"/>
  <c r="AQ2525" i="2"/>
  <c r="AP2525" i="2"/>
  <c r="AO2525" i="2"/>
  <c r="Z2525" i="2"/>
  <c r="X2525" i="2"/>
  <c r="R2525" i="2"/>
  <c r="AH2525" i="2"/>
  <c r="AX2524" i="2"/>
  <c r="AW2524" i="2"/>
  <c r="AV2524" i="2"/>
  <c r="AU2524" i="2"/>
  <c r="AT2524" i="2"/>
  <c r="AS2524" i="2"/>
  <c r="AR2524" i="2"/>
  <c r="AQ2524" i="2"/>
  <c r="AP2524" i="2"/>
  <c r="AO2524" i="2"/>
  <c r="Z2524" i="2"/>
  <c r="X2524" i="2"/>
  <c r="R2524" i="2"/>
  <c r="AH2524" i="2"/>
  <c r="AX2523" i="2"/>
  <c r="AW2523" i="2"/>
  <c r="AV2523" i="2"/>
  <c r="AU2523" i="2"/>
  <c r="AT2523" i="2"/>
  <c r="AS2523" i="2"/>
  <c r="AR2523" i="2"/>
  <c r="AQ2523" i="2"/>
  <c r="AP2523" i="2"/>
  <c r="AO2523" i="2"/>
  <c r="R2523" i="2"/>
  <c r="X2523" i="2"/>
  <c r="Z2523" i="2"/>
  <c r="AH2523" i="2"/>
  <c r="AX2522" i="2"/>
  <c r="AW2522" i="2"/>
  <c r="AV2522" i="2"/>
  <c r="AU2522" i="2"/>
  <c r="AT2522" i="2"/>
  <c r="AS2522" i="2"/>
  <c r="AR2522" i="2"/>
  <c r="AQ2522" i="2"/>
  <c r="AP2522" i="2"/>
  <c r="AO2522" i="2"/>
  <c r="Z2522" i="2"/>
  <c r="X2522" i="2"/>
  <c r="R2522" i="2"/>
  <c r="AH2522" i="2"/>
  <c r="AX2521" i="2"/>
  <c r="AW2521" i="2"/>
  <c r="AV2521" i="2"/>
  <c r="AU2521" i="2"/>
  <c r="AT2521" i="2"/>
  <c r="AS2521" i="2"/>
  <c r="AR2521" i="2"/>
  <c r="AQ2521" i="2"/>
  <c r="AP2521" i="2"/>
  <c r="AO2521" i="2"/>
  <c r="Z2521" i="2"/>
  <c r="X2521" i="2"/>
  <c r="R2521" i="2"/>
  <c r="AH2521" i="2"/>
  <c r="AX2520" i="2"/>
  <c r="AW2520" i="2"/>
  <c r="AV2520" i="2"/>
  <c r="AU2520" i="2"/>
  <c r="AT2520" i="2"/>
  <c r="AS2520" i="2"/>
  <c r="AR2520" i="2"/>
  <c r="AQ2520" i="2"/>
  <c r="AP2520" i="2"/>
  <c r="AO2520" i="2"/>
  <c r="Z2520" i="2"/>
  <c r="X2520" i="2"/>
  <c r="R2520" i="2"/>
  <c r="AH2520" i="2"/>
  <c r="AX2519" i="2"/>
  <c r="AW2519" i="2"/>
  <c r="AV2519" i="2"/>
  <c r="AU2519" i="2"/>
  <c r="AT2519" i="2"/>
  <c r="AS2519" i="2"/>
  <c r="AR2519" i="2"/>
  <c r="AQ2519" i="2"/>
  <c r="AP2519" i="2"/>
  <c r="AO2519" i="2"/>
  <c r="R2519" i="2"/>
  <c r="X2519" i="2"/>
  <c r="Z2519" i="2"/>
  <c r="AH2519" i="2"/>
  <c r="AX2518" i="2"/>
  <c r="AW2518" i="2"/>
  <c r="AV2518" i="2"/>
  <c r="AU2518" i="2"/>
  <c r="AT2518" i="2"/>
  <c r="AS2518" i="2"/>
  <c r="AR2518" i="2"/>
  <c r="AQ2518" i="2"/>
  <c r="AP2518" i="2"/>
  <c r="AO2518" i="2"/>
  <c r="Z2518" i="2"/>
  <c r="X2518" i="2"/>
  <c r="R2518" i="2"/>
  <c r="AH2518" i="2"/>
  <c r="AX2517" i="2"/>
  <c r="AW2517" i="2"/>
  <c r="AV2517" i="2"/>
  <c r="AU2517" i="2"/>
  <c r="AT2517" i="2"/>
  <c r="AS2517" i="2"/>
  <c r="AR2517" i="2"/>
  <c r="AQ2517" i="2"/>
  <c r="AP2517" i="2"/>
  <c r="AO2517" i="2"/>
  <c r="Z2517" i="2"/>
  <c r="X2517" i="2"/>
  <c r="R2517" i="2"/>
  <c r="AH2517" i="2"/>
  <c r="AX2516" i="2"/>
  <c r="AW2516" i="2"/>
  <c r="AV2516" i="2"/>
  <c r="AU2516" i="2"/>
  <c r="AT2516" i="2"/>
  <c r="AS2516" i="2"/>
  <c r="AR2516" i="2"/>
  <c r="AQ2516" i="2"/>
  <c r="AP2516" i="2"/>
  <c r="AO2516" i="2"/>
  <c r="Z2516" i="2"/>
  <c r="X2516" i="2"/>
  <c r="R2516" i="2"/>
  <c r="AH2516" i="2"/>
  <c r="AX2515" i="2"/>
  <c r="AW2515" i="2"/>
  <c r="AV2515" i="2"/>
  <c r="AU2515" i="2"/>
  <c r="AT2515" i="2"/>
  <c r="AS2515" i="2"/>
  <c r="AR2515" i="2"/>
  <c r="AQ2515" i="2"/>
  <c r="AP2515" i="2"/>
  <c r="AO2515" i="2"/>
  <c r="R2515" i="2"/>
  <c r="X2515" i="2"/>
  <c r="Z2515" i="2"/>
  <c r="AH2515" i="2"/>
  <c r="AX2514" i="2"/>
  <c r="AW2514" i="2"/>
  <c r="AV2514" i="2"/>
  <c r="AU2514" i="2"/>
  <c r="AT2514" i="2"/>
  <c r="AS2514" i="2"/>
  <c r="AR2514" i="2"/>
  <c r="AQ2514" i="2"/>
  <c r="AP2514" i="2"/>
  <c r="AO2514" i="2"/>
  <c r="R2514" i="2"/>
  <c r="X2514" i="2"/>
  <c r="Z2514" i="2"/>
  <c r="AH2514" i="2"/>
  <c r="AX2513" i="2"/>
  <c r="AW2513" i="2"/>
  <c r="AV2513" i="2"/>
  <c r="AU2513" i="2"/>
  <c r="AT2513" i="2"/>
  <c r="AS2513" i="2"/>
  <c r="AR2513" i="2"/>
  <c r="AQ2513" i="2"/>
  <c r="AP2513" i="2"/>
  <c r="AO2513" i="2"/>
  <c r="Z2513" i="2"/>
  <c r="X2513" i="2"/>
  <c r="R2513" i="2"/>
  <c r="AH2513" i="2"/>
  <c r="AX2512" i="2"/>
  <c r="AW2512" i="2"/>
  <c r="AV2512" i="2"/>
  <c r="AU2512" i="2"/>
  <c r="AT2512" i="2"/>
  <c r="AS2512" i="2"/>
  <c r="AR2512" i="2"/>
  <c r="AQ2512" i="2"/>
  <c r="AP2512" i="2"/>
  <c r="AO2512" i="2"/>
  <c r="Z2512" i="2"/>
  <c r="X2512" i="2"/>
  <c r="R2512" i="2"/>
  <c r="AH2512" i="2"/>
  <c r="AX2511" i="2"/>
  <c r="AW2511" i="2"/>
  <c r="AV2511" i="2"/>
  <c r="AU2511" i="2"/>
  <c r="AT2511" i="2"/>
  <c r="AS2511" i="2"/>
  <c r="AR2511" i="2"/>
  <c r="AQ2511" i="2"/>
  <c r="AP2511" i="2"/>
  <c r="AO2511" i="2"/>
  <c r="R2511" i="2"/>
  <c r="X2511" i="2"/>
  <c r="Z2511" i="2"/>
  <c r="AH2511" i="2"/>
  <c r="AX2510" i="2"/>
  <c r="AW2510" i="2"/>
  <c r="AV2510" i="2"/>
  <c r="AU2510" i="2"/>
  <c r="AT2510" i="2"/>
  <c r="AS2510" i="2"/>
  <c r="AR2510" i="2"/>
  <c r="AQ2510" i="2"/>
  <c r="AP2510" i="2"/>
  <c r="AO2510" i="2"/>
  <c r="R2510" i="2"/>
  <c r="X2510" i="2"/>
  <c r="Z2510" i="2"/>
  <c r="AH2510" i="2"/>
  <c r="AX2509" i="2"/>
  <c r="AW2509" i="2"/>
  <c r="AV2509" i="2"/>
  <c r="AU2509" i="2"/>
  <c r="AT2509" i="2"/>
  <c r="AS2509" i="2"/>
  <c r="AR2509" i="2"/>
  <c r="AQ2509" i="2"/>
  <c r="AP2509" i="2"/>
  <c r="AO2509" i="2"/>
  <c r="Z2509" i="2"/>
  <c r="X2509" i="2"/>
  <c r="R2509" i="2"/>
  <c r="AH2509" i="2"/>
  <c r="AX2508" i="2"/>
  <c r="AW2508" i="2"/>
  <c r="AV2508" i="2"/>
  <c r="AU2508" i="2"/>
  <c r="AT2508" i="2"/>
  <c r="AS2508" i="2"/>
  <c r="AR2508" i="2"/>
  <c r="AQ2508" i="2"/>
  <c r="AP2508" i="2"/>
  <c r="AO2508" i="2"/>
  <c r="Z2508" i="2"/>
  <c r="X2508" i="2"/>
  <c r="R2508" i="2"/>
  <c r="AH2508" i="2"/>
  <c r="AX2507" i="2"/>
  <c r="AW2507" i="2"/>
  <c r="AV2507" i="2"/>
  <c r="AU2507" i="2"/>
  <c r="AT2507" i="2"/>
  <c r="AS2507" i="2"/>
  <c r="AR2507" i="2"/>
  <c r="AQ2507" i="2"/>
  <c r="AP2507" i="2"/>
  <c r="AO2507" i="2"/>
  <c r="R2507" i="2"/>
  <c r="X2507" i="2"/>
  <c r="Z2507" i="2"/>
  <c r="AH2507" i="2"/>
  <c r="AX2506" i="2"/>
  <c r="AW2506" i="2"/>
  <c r="AV2506" i="2"/>
  <c r="AU2506" i="2"/>
  <c r="AT2506" i="2"/>
  <c r="AS2506" i="2"/>
  <c r="AR2506" i="2"/>
  <c r="AQ2506" i="2"/>
  <c r="AP2506" i="2"/>
  <c r="AO2506" i="2"/>
  <c r="Z2506" i="2"/>
  <c r="X2506" i="2"/>
  <c r="R2506" i="2"/>
  <c r="AH2506" i="2"/>
  <c r="AX2505" i="2"/>
  <c r="AW2505" i="2"/>
  <c r="AV2505" i="2"/>
  <c r="AU2505" i="2"/>
  <c r="AT2505" i="2"/>
  <c r="AS2505" i="2"/>
  <c r="AR2505" i="2"/>
  <c r="AQ2505" i="2"/>
  <c r="AP2505" i="2"/>
  <c r="AO2505" i="2"/>
  <c r="Z2505" i="2"/>
  <c r="X2505" i="2"/>
  <c r="R2505" i="2"/>
  <c r="AH2505" i="2"/>
  <c r="AX2504" i="2"/>
  <c r="AW2504" i="2"/>
  <c r="AV2504" i="2"/>
  <c r="AU2504" i="2"/>
  <c r="AT2504" i="2"/>
  <c r="AS2504" i="2"/>
  <c r="AR2504" i="2"/>
  <c r="AQ2504" i="2"/>
  <c r="AP2504" i="2"/>
  <c r="AO2504" i="2"/>
  <c r="Z2504" i="2"/>
  <c r="X2504" i="2"/>
  <c r="R2504" i="2"/>
  <c r="AH2504" i="2"/>
  <c r="AX2503" i="2"/>
  <c r="AW2503" i="2"/>
  <c r="AV2503" i="2"/>
  <c r="AU2503" i="2"/>
  <c r="AT2503" i="2"/>
  <c r="AS2503" i="2"/>
  <c r="AR2503" i="2"/>
  <c r="AQ2503" i="2"/>
  <c r="AP2503" i="2"/>
  <c r="AO2503" i="2"/>
  <c r="R2503" i="2"/>
  <c r="X2503" i="2"/>
  <c r="Z2503" i="2"/>
  <c r="AH2503" i="2"/>
  <c r="AX2502" i="2"/>
  <c r="AW2502" i="2"/>
  <c r="AV2502" i="2"/>
  <c r="AU2502" i="2"/>
  <c r="AT2502" i="2"/>
  <c r="AS2502" i="2"/>
  <c r="AR2502" i="2"/>
  <c r="AQ2502" i="2"/>
  <c r="AP2502" i="2"/>
  <c r="AO2502" i="2"/>
  <c r="Z2502" i="2"/>
  <c r="X2502" i="2"/>
  <c r="R2502" i="2"/>
  <c r="AH2502" i="2"/>
  <c r="AX2501" i="2"/>
  <c r="AW2501" i="2"/>
  <c r="AV2501" i="2"/>
  <c r="AU2501" i="2"/>
  <c r="AT2501" i="2"/>
  <c r="AS2501" i="2"/>
  <c r="AR2501" i="2"/>
  <c r="AQ2501" i="2"/>
  <c r="AP2501" i="2"/>
  <c r="AO2501" i="2"/>
  <c r="Z2501" i="2"/>
  <c r="X2501" i="2"/>
  <c r="R2501" i="2"/>
  <c r="AH2501" i="2"/>
  <c r="AX2500" i="2"/>
  <c r="AW2500" i="2"/>
  <c r="AV2500" i="2"/>
  <c r="AU2500" i="2"/>
  <c r="AT2500" i="2"/>
  <c r="AS2500" i="2"/>
  <c r="AR2500" i="2"/>
  <c r="AQ2500" i="2"/>
  <c r="AP2500" i="2"/>
  <c r="AO2500" i="2"/>
  <c r="Z2500" i="2"/>
  <c r="X2500" i="2"/>
  <c r="R2500" i="2"/>
  <c r="AH2500" i="2"/>
  <c r="AX2499" i="2"/>
  <c r="AW2499" i="2"/>
  <c r="AV2499" i="2"/>
  <c r="AU2499" i="2"/>
  <c r="AT2499" i="2"/>
  <c r="AS2499" i="2"/>
  <c r="AR2499" i="2"/>
  <c r="AQ2499" i="2"/>
  <c r="AP2499" i="2"/>
  <c r="AO2499" i="2"/>
  <c r="R2499" i="2"/>
  <c r="X2499" i="2"/>
  <c r="Z2499" i="2"/>
  <c r="AH2499" i="2"/>
  <c r="AX2498" i="2"/>
  <c r="AW2498" i="2"/>
  <c r="AV2498" i="2"/>
  <c r="AU2498" i="2"/>
  <c r="AT2498" i="2"/>
  <c r="AS2498" i="2"/>
  <c r="AR2498" i="2"/>
  <c r="AQ2498" i="2"/>
  <c r="AP2498" i="2"/>
  <c r="AO2498" i="2"/>
  <c r="R2498" i="2"/>
  <c r="X2498" i="2"/>
  <c r="Z2498" i="2"/>
  <c r="AH2498" i="2"/>
  <c r="AX2497" i="2"/>
  <c r="AW2497" i="2"/>
  <c r="AV2497" i="2"/>
  <c r="AU2497" i="2"/>
  <c r="AT2497" i="2"/>
  <c r="AS2497" i="2"/>
  <c r="AR2497" i="2"/>
  <c r="AQ2497" i="2"/>
  <c r="AP2497" i="2"/>
  <c r="AO2497" i="2"/>
  <c r="Z2497" i="2"/>
  <c r="X2497" i="2"/>
  <c r="R2497" i="2"/>
  <c r="AH2497" i="2"/>
  <c r="AX2496" i="2"/>
  <c r="AW2496" i="2"/>
  <c r="AV2496" i="2"/>
  <c r="AU2496" i="2"/>
  <c r="AT2496" i="2"/>
  <c r="AS2496" i="2"/>
  <c r="AR2496" i="2"/>
  <c r="AQ2496" i="2"/>
  <c r="AP2496" i="2"/>
  <c r="AO2496" i="2"/>
  <c r="Z2496" i="2"/>
  <c r="X2496" i="2"/>
  <c r="R2496" i="2"/>
  <c r="AH2496" i="2"/>
  <c r="AX2495" i="2"/>
  <c r="AW2495" i="2"/>
  <c r="AV2495" i="2"/>
  <c r="AU2495" i="2"/>
  <c r="AT2495" i="2"/>
  <c r="AS2495" i="2"/>
  <c r="AR2495" i="2"/>
  <c r="AQ2495" i="2"/>
  <c r="AP2495" i="2"/>
  <c r="AO2495" i="2"/>
  <c r="R2495" i="2"/>
  <c r="X2495" i="2"/>
  <c r="Z2495" i="2"/>
  <c r="AH2495" i="2"/>
  <c r="AX2494" i="2"/>
  <c r="AW2494" i="2"/>
  <c r="AV2494" i="2"/>
  <c r="AU2494" i="2"/>
  <c r="AT2494" i="2"/>
  <c r="AS2494" i="2"/>
  <c r="AR2494" i="2"/>
  <c r="AQ2494" i="2"/>
  <c r="AP2494" i="2"/>
  <c r="AO2494" i="2"/>
  <c r="R2494" i="2"/>
  <c r="X2494" i="2"/>
  <c r="Z2494" i="2"/>
  <c r="AH2494" i="2"/>
  <c r="AX2493" i="2"/>
  <c r="AW2493" i="2"/>
  <c r="AV2493" i="2"/>
  <c r="AU2493" i="2"/>
  <c r="AT2493" i="2"/>
  <c r="AS2493" i="2"/>
  <c r="AR2493" i="2"/>
  <c r="AQ2493" i="2"/>
  <c r="AP2493" i="2"/>
  <c r="AO2493" i="2"/>
  <c r="Z2493" i="2"/>
  <c r="X2493" i="2"/>
  <c r="R2493" i="2"/>
  <c r="AH2493" i="2"/>
  <c r="AX2492" i="2"/>
  <c r="AW2492" i="2"/>
  <c r="AV2492" i="2"/>
  <c r="AU2492" i="2"/>
  <c r="AT2492" i="2"/>
  <c r="AS2492" i="2"/>
  <c r="AR2492" i="2"/>
  <c r="AQ2492" i="2"/>
  <c r="AP2492" i="2"/>
  <c r="AO2492" i="2"/>
  <c r="Z2492" i="2"/>
  <c r="X2492" i="2"/>
  <c r="R2492" i="2"/>
  <c r="AH2492" i="2"/>
  <c r="AX2491" i="2"/>
  <c r="AW2491" i="2"/>
  <c r="AV2491" i="2"/>
  <c r="AU2491" i="2"/>
  <c r="AT2491" i="2"/>
  <c r="AS2491" i="2"/>
  <c r="AR2491" i="2"/>
  <c r="AQ2491" i="2"/>
  <c r="AP2491" i="2"/>
  <c r="AO2491" i="2"/>
  <c r="R2491" i="2"/>
  <c r="X2491" i="2"/>
  <c r="Z2491" i="2"/>
  <c r="AH2491" i="2"/>
  <c r="AX2490" i="2"/>
  <c r="AW2490" i="2"/>
  <c r="AV2490" i="2"/>
  <c r="AU2490" i="2"/>
  <c r="AT2490" i="2"/>
  <c r="AS2490" i="2"/>
  <c r="AR2490" i="2"/>
  <c r="AQ2490" i="2"/>
  <c r="AP2490" i="2"/>
  <c r="AO2490" i="2"/>
  <c r="Z2490" i="2"/>
  <c r="X2490" i="2"/>
  <c r="R2490" i="2"/>
  <c r="AH2490" i="2"/>
  <c r="AX2489" i="2"/>
  <c r="AW2489" i="2"/>
  <c r="AV2489" i="2"/>
  <c r="AU2489" i="2"/>
  <c r="AT2489" i="2"/>
  <c r="AS2489" i="2"/>
  <c r="AR2489" i="2"/>
  <c r="AQ2489" i="2"/>
  <c r="AP2489" i="2"/>
  <c r="AO2489" i="2"/>
  <c r="Z2489" i="2"/>
  <c r="X2489" i="2"/>
  <c r="R2489" i="2"/>
  <c r="AH2489" i="2"/>
  <c r="AX2488" i="2"/>
  <c r="AW2488" i="2"/>
  <c r="AV2488" i="2"/>
  <c r="AU2488" i="2"/>
  <c r="AT2488" i="2"/>
  <c r="AS2488" i="2"/>
  <c r="AR2488" i="2"/>
  <c r="AQ2488" i="2"/>
  <c r="AP2488" i="2"/>
  <c r="AO2488" i="2"/>
  <c r="Z2488" i="2"/>
  <c r="X2488" i="2"/>
  <c r="R2488" i="2"/>
  <c r="AH2488" i="2"/>
  <c r="AX2487" i="2"/>
  <c r="AW2487" i="2"/>
  <c r="AV2487" i="2"/>
  <c r="AU2487" i="2"/>
  <c r="AT2487" i="2"/>
  <c r="AS2487" i="2"/>
  <c r="AR2487" i="2"/>
  <c r="AQ2487" i="2"/>
  <c r="AP2487" i="2"/>
  <c r="AO2487" i="2"/>
  <c r="R2487" i="2"/>
  <c r="X2487" i="2"/>
  <c r="Z2487" i="2"/>
  <c r="AH2487" i="2"/>
  <c r="AX2486" i="2"/>
  <c r="AW2486" i="2"/>
  <c r="AV2486" i="2"/>
  <c r="AU2486" i="2"/>
  <c r="AT2486" i="2"/>
  <c r="AS2486" i="2"/>
  <c r="AR2486" i="2"/>
  <c r="AQ2486" i="2"/>
  <c r="AP2486" i="2"/>
  <c r="AO2486" i="2"/>
  <c r="Z2486" i="2"/>
  <c r="X2486" i="2"/>
  <c r="R2486" i="2"/>
  <c r="AH2486" i="2"/>
  <c r="AX2485" i="2"/>
  <c r="AW2485" i="2"/>
  <c r="AV2485" i="2"/>
  <c r="AU2485" i="2"/>
  <c r="AT2485" i="2"/>
  <c r="AS2485" i="2"/>
  <c r="AR2485" i="2"/>
  <c r="AQ2485" i="2"/>
  <c r="AP2485" i="2"/>
  <c r="AO2485" i="2"/>
  <c r="Z2485" i="2"/>
  <c r="X2485" i="2"/>
  <c r="R2485" i="2"/>
  <c r="AH2485" i="2"/>
  <c r="AX2484" i="2"/>
  <c r="AW2484" i="2"/>
  <c r="AV2484" i="2"/>
  <c r="AU2484" i="2"/>
  <c r="AT2484" i="2"/>
  <c r="AS2484" i="2"/>
  <c r="AR2484" i="2"/>
  <c r="AQ2484" i="2"/>
  <c r="AP2484" i="2"/>
  <c r="AO2484" i="2"/>
  <c r="Z2484" i="2"/>
  <c r="X2484" i="2"/>
  <c r="R2484" i="2"/>
  <c r="AH2484" i="2"/>
  <c r="AX2483" i="2"/>
  <c r="AW2483" i="2"/>
  <c r="AV2483" i="2"/>
  <c r="AU2483" i="2"/>
  <c r="AT2483" i="2"/>
  <c r="AS2483" i="2"/>
  <c r="AR2483" i="2"/>
  <c r="AQ2483" i="2"/>
  <c r="AP2483" i="2"/>
  <c r="AO2483" i="2"/>
  <c r="R2483" i="2"/>
  <c r="X2483" i="2"/>
  <c r="Z2483" i="2"/>
  <c r="AH2483" i="2"/>
  <c r="AX2482" i="2"/>
  <c r="AW2482" i="2"/>
  <c r="AV2482" i="2"/>
  <c r="AU2482" i="2"/>
  <c r="AT2482" i="2"/>
  <c r="AS2482" i="2"/>
  <c r="AR2482" i="2"/>
  <c r="AQ2482" i="2"/>
  <c r="AP2482" i="2"/>
  <c r="AO2482" i="2"/>
  <c r="R2482" i="2"/>
  <c r="X2482" i="2"/>
  <c r="Z2482" i="2"/>
  <c r="AH2482" i="2"/>
  <c r="AX2481" i="2"/>
  <c r="AW2481" i="2"/>
  <c r="AV2481" i="2"/>
  <c r="AU2481" i="2"/>
  <c r="AT2481" i="2"/>
  <c r="AS2481" i="2"/>
  <c r="AR2481" i="2"/>
  <c r="AQ2481" i="2"/>
  <c r="AP2481" i="2"/>
  <c r="AO2481" i="2"/>
  <c r="Z2481" i="2"/>
  <c r="X2481" i="2"/>
  <c r="R2481" i="2"/>
  <c r="AH2481" i="2"/>
  <c r="AX2480" i="2"/>
  <c r="AW2480" i="2"/>
  <c r="AV2480" i="2"/>
  <c r="AU2480" i="2"/>
  <c r="AT2480" i="2"/>
  <c r="AS2480" i="2"/>
  <c r="AR2480" i="2"/>
  <c r="AQ2480" i="2"/>
  <c r="AP2480" i="2"/>
  <c r="AO2480" i="2"/>
  <c r="Z2480" i="2"/>
  <c r="X2480" i="2"/>
  <c r="R2480" i="2"/>
  <c r="AH2480" i="2"/>
  <c r="AX2479" i="2"/>
  <c r="AW2479" i="2"/>
  <c r="AV2479" i="2"/>
  <c r="AU2479" i="2"/>
  <c r="AT2479" i="2"/>
  <c r="AS2479" i="2"/>
  <c r="AR2479" i="2"/>
  <c r="AQ2479" i="2"/>
  <c r="AP2479" i="2"/>
  <c r="AO2479" i="2"/>
  <c r="R2479" i="2"/>
  <c r="X2479" i="2"/>
  <c r="Z2479" i="2"/>
  <c r="AH2479" i="2"/>
  <c r="AX2478" i="2"/>
  <c r="AW2478" i="2"/>
  <c r="AV2478" i="2"/>
  <c r="AU2478" i="2"/>
  <c r="AT2478" i="2"/>
  <c r="AS2478" i="2"/>
  <c r="AR2478" i="2"/>
  <c r="AQ2478" i="2"/>
  <c r="AP2478" i="2"/>
  <c r="AO2478" i="2"/>
  <c r="R2478" i="2"/>
  <c r="X2478" i="2"/>
  <c r="Z2478" i="2"/>
  <c r="AH2478" i="2"/>
  <c r="AX2477" i="2"/>
  <c r="AW2477" i="2"/>
  <c r="AV2477" i="2"/>
  <c r="AU2477" i="2"/>
  <c r="AT2477" i="2"/>
  <c r="AS2477" i="2"/>
  <c r="AR2477" i="2"/>
  <c r="AQ2477" i="2"/>
  <c r="AP2477" i="2"/>
  <c r="AO2477" i="2"/>
  <c r="Z2477" i="2"/>
  <c r="X2477" i="2"/>
  <c r="R2477" i="2"/>
  <c r="AH2477" i="2"/>
  <c r="AX2476" i="2"/>
  <c r="AW2476" i="2"/>
  <c r="AV2476" i="2"/>
  <c r="AU2476" i="2"/>
  <c r="AT2476" i="2"/>
  <c r="AS2476" i="2"/>
  <c r="AR2476" i="2"/>
  <c r="AQ2476" i="2"/>
  <c r="AP2476" i="2"/>
  <c r="AO2476" i="2"/>
  <c r="Z2476" i="2"/>
  <c r="X2476" i="2"/>
  <c r="R2476" i="2"/>
  <c r="AH2476" i="2"/>
  <c r="AX2475" i="2"/>
  <c r="AW2475" i="2"/>
  <c r="AV2475" i="2"/>
  <c r="AU2475" i="2"/>
  <c r="AT2475" i="2"/>
  <c r="AS2475" i="2"/>
  <c r="AR2475" i="2"/>
  <c r="AQ2475" i="2"/>
  <c r="AP2475" i="2"/>
  <c r="AO2475" i="2"/>
  <c r="R2475" i="2"/>
  <c r="X2475" i="2"/>
  <c r="Z2475" i="2"/>
  <c r="AH2475" i="2"/>
  <c r="AX2474" i="2"/>
  <c r="AW2474" i="2"/>
  <c r="AV2474" i="2"/>
  <c r="AU2474" i="2"/>
  <c r="AT2474" i="2"/>
  <c r="AS2474" i="2"/>
  <c r="AR2474" i="2"/>
  <c r="AQ2474" i="2"/>
  <c r="AP2474" i="2"/>
  <c r="AO2474" i="2"/>
  <c r="Z2474" i="2"/>
  <c r="X2474" i="2"/>
  <c r="R2474" i="2"/>
  <c r="AH2474" i="2"/>
  <c r="AX2473" i="2"/>
  <c r="AW2473" i="2"/>
  <c r="AV2473" i="2"/>
  <c r="AU2473" i="2"/>
  <c r="AT2473" i="2"/>
  <c r="AS2473" i="2"/>
  <c r="AR2473" i="2"/>
  <c r="AQ2473" i="2"/>
  <c r="AP2473" i="2"/>
  <c r="AO2473" i="2"/>
  <c r="Z2473" i="2"/>
  <c r="X2473" i="2"/>
  <c r="R2473" i="2"/>
  <c r="AH2473" i="2"/>
  <c r="AX2472" i="2"/>
  <c r="AW2472" i="2"/>
  <c r="AV2472" i="2"/>
  <c r="AU2472" i="2"/>
  <c r="AT2472" i="2"/>
  <c r="AS2472" i="2"/>
  <c r="AR2472" i="2"/>
  <c r="AQ2472" i="2"/>
  <c r="AP2472" i="2"/>
  <c r="AO2472" i="2"/>
  <c r="Z2472" i="2"/>
  <c r="X2472" i="2"/>
  <c r="R2472" i="2"/>
  <c r="AX2471" i="2"/>
  <c r="AW2471" i="2"/>
  <c r="AV2471" i="2"/>
  <c r="AU2471" i="2"/>
  <c r="AT2471" i="2"/>
  <c r="AS2471" i="2"/>
  <c r="AR2471" i="2"/>
  <c r="AQ2471" i="2"/>
  <c r="AP2471" i="2"/>
  <c r="AO2471" i="2"/>
  <c r="Z2471" i="2"/>
  <c r="X2471" i="2"/>
  <c r="R2471" i="2"/>
  <c r="AH2471" i="2"/>
  <c r="AX2470" i="2"/>
  <c r="AW2470" i="2"/>
  <c r="AV2470" i="2"/>
  <c r="AU2470" i="2"/>
  <c r="AT2470" i="2"/>
  <c r="AS2470" i="2"/>
  <c r="AR2470" i="2"/>
  <c r="AQ2470" i="2"/>
  <c r="AP2470" i="2"/>
  <c r="AO2470" i="2"/>
  <c r="Z2470" i="2"/>
  <c r="X2470" i="2"/>
  <c r="R2470" i="2"/>
  <c r="AH2470" i="2"/>
  <c r="AX2469" i="2"/>
  <c r="AW2469" i="2"/>
  <c r="AV2469" i="2"/>
  <c r="AU2469" i="2"/>
  <c r="AT2469" i="2"/>
  <c r="AS2469" i="2"/>
  <c r="AR2469" i="2"/>
  <c r="AQ2469" i="2"/>
  <c r="AP2469" i="2"/>
  <c r="AO2469" i="2"/>
  <c r="R2469" i="2"/>
  <c r="X2469" i="2"/>
  <c r="Z2469" i="2"/>
  <c r="AH2469" i="2"/>
  <c r="AX2468" i="2"/>
  <c r="AW2468" i="2"/>
  <c r="AV2468" i="2"/>
  <c r="AU2468" i="2"/>
  <c r="AT2468" i="2"/>
  <c r="AS2468" i="2"/>
  <c r="AR2468" i="2"/>
  <c r="AQ2468" i="2"/>
  <c r="AP2468" i="2"/>
  <c r="AO2468" i="2"/>
  <c r="Z2468" i="2"/>
  <c r="X2468" i="2"/>
  <c r="R2468" i="2"/>
  <c r="AX2467" i="2"/>
  <c r="AW2467" i="2"/>
  <c r="AV2467" i="2"/>
  <c r="AU2467" i="2"/>
  <c r="AT2467" i="2"/>
  <c r="AS2467" i="2"/>
  <c r="AR2467" i="2"/>
  <c r="AR2465" i="2"/>
  <c r="AR2466" i="2"/>
  <c r="AR2554" i="2"/>
  <c r="AQ2467" i="2"/>
  <c r="AP2467" i="2"/>
  <c r="AO2467" i="2"/>
  <c r="Z2467" i="2"/>
  <c r="X2467" i="2"/>
  <c r="R2467" i="2"/>
  <c r="AH2467" i="2"/>
  <c r="AX2466" i="2"/>
  <c r="AX2465" i="2"/>
  <c r="AX2554" i="2"/>
  <c r="E2554" i="2"/>
  <c r="AW2466" i="2"/>
  <c r="AV2466" i="2"/>
  <c r="AU2466" i="2"/>
  <c r="AT2466" i="2"/>
  <c r="AS2466" i="2"/>
  <c r="AQ2466" i="2"/>
  <c r="AP2466" i="2"/>
  <c r="AP2465" i="2"/>
  <c r="AP2554" i="2"/>
  <c r="I2554" i="2"/>
  <c r="AO2466" i="2"/>
  <c r="Z2466" i="2"/>
  <c r="X2466" i="2"/>
  <c r="R2466" i="2"/>
  <c r="AW2465" i="2"/>
  <c r="AW2554" i="2"/>
  <c r="AV2465" i="2"/>
  <c r="AU2465" i="2"/>
  <c r="AT2465" i="2"/>
  <c r="AS2465" i="2"/>
  <c r="AQ2465" i="2"/>
  <c r="AO2465" i="2"/>
  <c r="AO2554" i="2"/>
  <c r="H2554" i="2"/>
  <c r="R2465" i="2"/>
  <c r="X2465" i="2"/>
  <c r="Z2465" i="2"/>
  <c r="AH2465" i="2"/>
  <c r="U2456" i="2"/>
  <c r="U2457" i="2"/>
  <c r="U2458" i="2"/>
  <c r="U2459" i="2"/>
  <c r="U2460" i="2"/>
  <c r="U2463" i="2"/>
  <c r="J2463" i="2"/>
  <c r="I2463" i="2"/>
  <c r="G2463" i="2"/>
  <c r="J2462" i="2"/>
  <c r="I2462" i="2"/>
  <c r="G2462" i="2"/>
  <c r="AV2456" i="2"/>
  <c r="AV2457" i="2"/>
  <c r="AV2458" i="2"/>
  <c r="AV2459" i="2"/>
  <c r="AV2460" i="2"/>
  <c r="AV2461" i="2"/>
  <c r="AT2456" i="2"/>
  <c r="AT2457" i="2"/>
  <c r="AT2458" i="2"/>
  <c r="AT2459" i="2"/>
  <c r="AT2460" i="2"/>
  <c r="AT2461" i="2"/>
  <c r="AR2456" i="2"/>
  <c r="AR2457" i="2"/>
  <c r="AR2458" i="2"/>
  <c r="AR2459" i="2"/>
  <c r="AR2460" i="2"/>
  <c r="AR2461" i="2"/>
  <c r="AO2456" i="2"/>
  <c r="AO2457" i="2"/>
  <c r="AO2458" i="2"/>
  <c r="AO2459" i="2"/>
  <c r="AO2460" i="2"/>
  <c r="AO2461" i="2"/>
  <c r="U2461" i="2"/>
  <c r="G2461" i="2"/>
  <c r="AX2460" i="2"/>
  <c r="AW2460" i="2"/>
  <c r="AU2460" i="2"/>
  <c r="AS2460" i="2"/>
  <c r="AQ2460" i="2"/>
  <c r="AP2460" i="2"/>
  <c r="T2460" i="2"/>
  <c r="AX2459" i="2"/>
  <c r="AW2459" i="2"/>
  <c r="AU2459" i="2"/>
  <c r="AS2459" i="2"/>
  <c r="AQ2459" i="2"/>
  <c r="AP2459" i="2"/>
  <c r="T2459" i="2"/>
  <c r="AX2458" i="2"/>
  <c r="AW2458" i="2"/>
  <c r="AU2458" i="2"/>
  <c r="AS2458" i="2"/>
  <c r="AQ2458" i="2"/>
  <c r="AP2458" i="2"/>
  <c r="T2458" i="2"/>
  <c r="AX2457" i="2"/>
  <c r="AW2457" i="2"/>
  <c r="AW2456" i="2"/>
  <c r="AW2461" i="2"/>
  <c r="AU2457" i="2"/>
  <c r="AS2457" i="2"/>
  <c r="AQ2457" i="2"/>
  <c r="AP2457" i="2"/>
  <c r="T2457" i="2"/>
  <c r="AX2456" i="2"/>
  <c r="AX2461" i="2"/>
  <c r="AU2456" i="2"/>
  <c r="AU2461" i="2"/>
  <c r="AS2456" i="2"/>
  <c r="AS2461" i="2"/>
  <c r="AQ2456" i="2"/>
  <c r="AP2456" i="2"/>
  <c r="AP2461" i="2"/>
  <c r="I2461" i="2"/>
  <c r="U2462" i="2"/>
  <c r="T2456" i="2"/>
  <c r="T2462" i="2"/>
  <c r="I2450" i="2"/>
  <c r="G2450" i="2"/>
  <c r="G2449" i="2"/>
  <c r="AX2449" i="2"/>
  <c r="AV2449" i="2"/>
  <c r="G2448" i="2"/>
  <c r="AW2448" i="2"/>
  <c r="AT2448" i="2"/>
  <c r="AS2448" i="2"/>
  <c r="AQ2448" i="2"/>
  <c r="AO2448" i="2"/>
  <c r="AV2448" i="2"/>
  <c r="AX2447" i="2"/>
  <c r="AW2447" i="2"/>
  <c r="AV2447" i="2"/>
  <c r="AU2447" i="2"/>
  <c r="AT2447" i="2"/>
  <c r="AS2447" i="2"/>
  <c r="AR2447" i="2"/>
  <c r="AQ2447" i="2"/>
  <c r="AP2447" i="2"/>
  <c r="AO2447" i="2"/>
  <c r="AX2446" i="2"/>
  <c r="AW2446" i="2"/>
  <c r="AV2446" i="2"/>
  <c r="AU2446" i="2"/>
  <c r="AT2446" i="2"/>
  <c r="AS2446" i="2"/>
  <c r="AR2446" i="2"/>
  <c r="AQ2446" i="2"/>
  <c r="AP2446" i="2"/>
  <c r="AO2446" i="2"/>
  <c r="AX2445" i="2"/>
  <c r="AW2445" i="2"/>
  <c r="AV2445" i="2"/>
  <c r="AU2445" i="2"/>
  <c r="AT2445" i="2"/>
  <c r="AS2445" i="2"/>
  <c r="AR2445" i="2"/>
  <c r="AQ2445" i="2"/>
  <c r="I2445" i="2"/>
  <c r="AP2445" i="2"/>
  <c r="AO2445" i="2"/>
  <c r="AX2444" i="2"/>
  <c r="AW2444" i="2"/>
  <c r="AV2444" i="2"/>
  <c r="AU2444" i="2"/>
  <c r="AT2444" i="2"/>
  <c r="AS2444" i="2"/>
  <c r="AR2444" i="2"/>
  <c r="AQ2444" i="2"/>
  <c r="AP2444" i="2"/>
  <c r="AO2444" i="2"/>
  <c r="T2444" i="2"/>
  <c r="G2443" i="2"/>
  <c r="AX2443" i="2"/>
  <c r="AW2443" i="2"/>
  <c r="AV2443" i="2"/>
  <c r="AT2443" i="2"/>
  <c r="AS2443" i="2"/>
  <c r="AR2443" i="2"/>
  <c r="AQ2443" i="2"/>
  <c r="AP2443" i="2"/>
  <c r="AO2443" i="2"/>
  <c r="T2443" i="2"/>
  <c r="AU2443" i="2"/>
  <c r="AX2442" i="2"/>
  <c r="AW2442" i="2"/>
  <c r="AV2442" i="2"/>
  <c r="AU2442" i="2"/>
  <c r="AT2442" i="2"/>
  <c r="AS2442" i="2"/>
  <c r="AR2442" i="2"/>
  <c r="AQ2442" i="2"/>
  <c r="I2442" i="2"/>
  <c r="AP2442" i="2"/>
  <c r="AO2442" i="2"/>
  <c r="T2442" i="2"/>
  <c r="AX2441" i="2"/>
  <c r="AW2441" i="2"/>
  <c r="AV2441" i="2"/>
  <c r="AU2441" i="2"/>
  <c r="AT2441" i="2"/>
  <c r="AS2441" i="2"/>
  <c r="AR2441" i="2"/>
  <c r="AQ2441" i="2"/>
  <c r="AO2441" i="2"/>
  <c r="I2441" i="2"/>
  <c r="AX2440" i="2"/>
  <c r="AW2440" i="2"/>
  <c r="AV2440" i="2"/>
  <c r="AU2440" i="2"/>
  <c r="AT2440" i="2"/>
  <c r="AS2440" i="2"/>
  <c r="AR2440" i="2"/>
  <c r="AQ2440" i="2"/>
  <c r="AP2440" i="2"/>
  <c r="AO2440" i="2"/>
  <c r="AX2439" i="2"/>
  <c r="AW2439" i="2"/>
  <c r="AV2439" i="2"/>
  <c r="AU2439" i="2"/>
  <c r="AT2439" i="2"/>
  <c r="AS2439" i="2"/>
  <c r="AR2439" i="2"/>
  <c r="AQ2439" i="2"/>
  <c r="AP2439" i="2"/>
  <c r="AO2439" i="2"/>
  <c r="G2438" i="2"/>
  <c r="AW2438" i="2"/>
  <c r="AS2438" i="2"/>
  <c r="AR2438" i="2"/>
  <c r="AP2438" i="2"/>
  <c r="T2438" i="2"/>
  <c r="AU2438" i="2"/>
  <c r="AX2437" i="2"/>
  <c r="AW2437" i="2"/>
  <c r="AV2437" i="2"/>
  <c r="AU2437" i="2"/>
  <c r="AT2437" i="2"/>
  <c r="AS2437" i="2"/>
  <c r="AR2437" i="2"/>
  <c r="AQ2437" i="2"/>
  <c r="AP2437" i="2"/>
  <c r="AO2437" i="2"/>
  <c r="T2437" i="2"/>
  <c r="AX2436" i="2"/>
  <c r="AW2436" i="2"/>
  <c r="AV2436" i="2"/>
  <c r="AU2436" i="2"/>
  <c r="AT2436" i="2"/>
  <c r="AS2436" i="2"/>
  <c r="AR2436" i="2"/>
  <c r="AQ2436" i="2"/>
  <c r="AP2436" i="2"/>
  <c r="AO2436" i="2"/>
  <c r="T2436" i="2"/>
  <c r="AX2435" i="2"/>
  <c r="AW2435" i="2"/>
  <c r="AV2435" i="2"/>
  <c r="AU2435" i="2"/>
  <c r="AT2435" i="2"/>
  <c r="AS2435" i="2"/>
  <c r="AR2435" i="2"/>
  <c r="AQ2435" i="2"/>
  <c r="AP2435" i="2"/>
  <c r="AO2435" i="2"/>
  <c r="T2435" i="2"/>
  <c r="AX2434" i="2"/>
  <c r="AW2434" i="2"/>
  <c r="AV2434" i="2"/>
  <c r="AU2434" i="2"/>
  <c r="AT2434" i="2"/>
  <c r="AS2434" i="2"/>
  <c r="AR2434" i="2"/>
  <c r="AQ2434" i="2"/>
  <c r="AP2434" i="2"/>
  <c r="AO2434" i="2"/>
  <c r="T2434" i="2"/>
  <c r="AX2433" i="2"/>
  <c r="AW2433" i="2"/>
  <c r="AV2433" i="2"/>
  <c r="AU2433" i="2"/>
  <c r="AT2433" i="2"/>
  <c r="AS2433" i="2"/>
  <c r="AR2433" i="2"/>
  <c r="AQ2433" i="2"/>
  <c r="AP2433" i="2"/>
  <c r="AO2433" i="2"/>
  <c r="T2433" i="2"/>
  <c r="AX2432" i="2"/>
  <c r="AW2432" i="2"/>
  <c r="AV2432" i="2"/>
  <c r="AU2432" i="2"/>
  <c r="AT2432" i="2"/>
  <c r="AS2432" i="2"/>
  <c r="AR2432" i="2"/>
  <c r="AQ2432" i="2"/>
  <c r="AP2432" i="2"/>
  <c r="AO2432" i="2"/>
  <c r="T2432" i="2"/>
  <c r="AX2431" i="2"/>
  <c r="AW2431" i="2"/>
  <c r="AV2431" i="2"/>
  <c r="AU2431" i="2"/>
  <c r="AT2431" i="2"/>
  <c r="AS2431" i="2"/>
  <c r="AR2431" i="2"/>
  <c r="AQ2431" i="2"/>
  <c r="AP2431" i="2"/>
  <c r="AO2431" i="2"/>
  <c r="T2431" i="2"/>
  <c r="AX2430" i="2"/>
  <c r="AW2430" i="2"/>
  <c r="AV2430" i="2"/>
  <c r="AU2430" i="2"/>
  <c r="AT2430" i="2"/>
  <c r="AS2430" i="2"/>
  <c r="AR2430" i="2"/>
  <c r="AQ2430" i="2"/>
  <c r="AP2430" i="2"/>
  <c r="AO2430" i="2"/>
  <c r="T2430" i="2"/>
  <c r="AX2429" i="2"/>
  <c r="AW2429" i="2"/>
  <c r="AV2429" i="2"/>
  <c r="AU2429" i="2"/>
  <c r="AT2429" i="2"/>
  <c r="AS2429" i="2"/>
  <c r="AR2429" i="2"/>
  <c r="AQ2429" i="2"/>
  <c r="AP2429" i="2"/>
  <c r="AO2429" i="2"/>
  <c r="T2429" i="2"/>
  <c r="AX2428" i="2"/>
  <c r="AW2428" i="2"/>
  <c r="AV2428" i="2"/>
  <c r="AU2428" i="2"/>
  <c r="AT2428" i="2"/>
  <c r="AS2428" i="2"/>
  <c r="AR2428" i="2"/>
  <c r="AQ2428" i="2"/>
  <c r="AP2428" i="2"/>
  <c r="AO2428" i="2"/>
  <c r="T2428" i="2"/>
  <c r="AM2425" i="2"/>
  <c r="AA2425" i="2"/>
  <c r="Z2425" i="2"/>
  <c r="Y2425" i="2"/>
  <c r="U2425" i="2"/>
  <c r="M2425" i="2"/>
  <c r="L2425" i="2"/>
  <c r="J2425" i="2"/>
  <c r="G2425" i="2"/>
  <c r="AM2424" i="2"/>
  <c r="AA2424" i="2"/>
  <c r="Z2424" i="2"/>
  <c r="Y2424" i="2"/>
  <c r="U2424" i="2"/>
  <c r="M2424" i="2"/>
  <c r="L2424" i="2"/>
  <c r="J2424" i="2"/>
  <c r="G2424" i="2"/>
  <c r="AT2402" i="2"/>
  <c r="AT2403" i="2"/>
  <c r="AT2404" i="2"/>
  <c r="AT2405" i="2"/>
  <c r="AT2406" i="2"/>
  <c r="AT2407" i="2"/>
  <c r="AT2408" i="2"/>
  <c r="AT2409" i="2"/>
  <c r="AT2410" i="2"/>
  <c r="AT2411" i="2"/>
  <c r="AT2412" i="2"/>
  <c r="AT2413" i="2"/>
  <c r="AT2414" i="2"/>
  <c r="AT2415" i="2"/>
  <c r="AT2416" i="2"/>
  <c r="AT2417" i="2"/>
  <c r="AT2418" i="2"/>
  <c r="AT2419" i="2"/>
  <c r="AT2420" i="2"/>
  <c r="AT2421" i="2"/>
  <c r="AT2422" i="2"/>
  <c r="AT2423" i="2"/>
  <c r="G2423" i="2"/>
  <c r="M2423" i="2"/>
  <c r="AS2402" i="2"/>
  <c r="AS2403" i="2"/>
  <c r="AS2404" i="2"/>
  <c r="AS2405" i="2"/>
  <c r="AS2406" i="2"/>
  <c r="AS2407" i="2"/>
  <c r="AS2408" i="2"/>
  <c r="AS2409" i="2"/>
  <c r="AS2410" i="2"/>
  <c r="AS2411" i="2"/>
  <c r="AS2412" i="2"/>
  <c r="AS2413" i="2"/>
  <c r="AS2414" i="2"/>
  <c r="AS2415" i="2"/>
  <c r="AS2416" i="2"/>
  <c r="AS2417" i="2"/>
  <c r="AS2418" i="2"/>
  <c r="AS2419" i="2"/>
  <c r="AS2420" i="2"/>
  <c r="AS2421" i="2"/>
  <c r="AS2422" i="2"/>
  <c r="AS2423" i="2"/>
  <c r="L2423" i="2"/>
  <c r="AM2423" i="2"/>
  <c r="AA2423" i="2"/>
  <c r="Z2423" i="2"/>
  <c r="Y2423" i="2"/>
  <c r="U2423" i="2"/>
  <c r="AX2422" i="2"/>
  <c r="AW2422" i="2"/>
  <c r="AW2402" i="2"/>
  <c r="AW2403" i="2"/>
  <c r="AW2404" i="2"/>
  <c r="AW2405" i="2"/>
  <c r="AW2406" i="2"/>
  <c r="AW2407" i="2"/>
  <c r="AW2408" i="2"/>
  <c r="AW2409" i="2"/>
  <c r="AW2410" i="2"/>
  <c r="AW2411" i="2"/>
  <c r="AW2412" i="2"/>
  <c r="AW2413" i="2"/>
  <c r="AW2414" i="2"/>
  <c r="AW2415" i="2"/>
  <c r="AW2416" i="2"/>
  <c r="AW2417" i="2"/>
  <c r="AW2418" i="2"/>
  <c r="AW2419" i="2"/>
  <c r="AW2420" i="2"/>
  <c r="AW2421" i="2"/>
  <c r="AW2423" i="2"/>
  <c r="AV2422" i="2"/>
  <c r="AU2422" i="2"/>
  <c r="AR2422" i="2"/>
  <c r="AQ2422" i="2"/>
  <c r="AP2422" i="2"/>
  <c r="AO2422" i="2"/>
  <c r="AO2402" i="2"/>
  <c r="AO2403" i="2"/>
  <c r="AO2404" i="2"/>
  <c r="AO2405" i="2"/>
  <c r="AO2406" i="2"/>
  <c r="AO2407" i="2"/>
  <c r="AO2408" i="2"/>
  <c r="AO2409" i="2"/>
  <c r="AO2410" i="2"/>
  <c r="AO2411" i="2"/>
  <c r="AO2412" i="2"/>
  <c r="AO2413" i="2"/>
  <c r="AO2414" i="2"/>
  <c r="AO2415" i="2"/>
  <c r="AO2416" i="2"/>
  <c r="AO2417" i="2"/>
  <c r="AO2418" i="2"/>
  <c r="AO2419" i="2"/>
  <c r="AO2420" i="2"/>
  <c r="AO2421" i="2"/>
  <c r="AO2423" i="2"/>
  <c r="AX2421" i="2"/>
  <c r="AV2421" i="2"/>
  <c r="AU2421" i="2"/>
  <c r="AR2421" i="2"/>
  <c r="AQ2421" i="2"/>
  <c r="AP2421" i="2"/>
  <c r="AX2420" i="2"/>
  <c r="AV2420" i="2"/>
  <c r="AU2420" i="2"/>
  <c r="AR2420" i="2"/>
  <c r="AQ2420" i="2"/>
  <c r="AP2420" i="2"/>
  <c r="AX2419" i="2"/>
  <c r="AV2419" i="2"/>
  <c r="AU2419" i="2"/>
  <c r="AR2419" i="2"/>
  <c r="AQ2419" i="2"/>
  <c r="AP2419" i="2"/>
  <c r="AX2418" i="2"/>
  <c r="AV2418" i="2"/>
  <c r="AU2418" i="2"/>
  <c r="AR2418" i="2"/>
  <c r="AQ2418" i="2"/>
  <c r="AP2418" i="2"/>
  <c r="AX2417" i="2"/>
  <c r="AV2417" i="2"/>
  <c r="AU2417" i="2"/>
  <c r="AR2417" i="2"/>
  <c r="AQ2417" i="2"/>
  <c r="AP2417" i="2"/>
  <c r="AX2416" i="2"/>
  <c r="AV2416" i="2"/>
  <c r="AU2416" i="2"/>
  <c r="AR2416" i="2"/>
  <c r="AQ2416" i="2"/>
  <c r="AP2416" i="2"/>
  <c r="AX2415" i="2"/>
  <c r="AV2415" i="2"/>
  <c r="AU2415" i="2"/>
  <c r="AR2415" i="2"/>
  <c r="AQ2415" i="2"/>
  <c r="AP2415" i="2"/>
  <c r="AX2414" i="2"/>
  <c r="AV2414" i="2"/>
  <c r="AU2414" i="2"/>
  <c r="AR2414" i="2"/>
  <c r="AQ2414" i="2"/>
  <c r="AP2414" i="2"/>
  <c r="AX2413" i="2"/>
  <c r="AV2413" i="2"/>
  <c r="AU2413" i="2"/>
  <c r="AR2413" i="2"/>
  <c r="AQ2413" i="2"/>
  <c r="AP2413" i="2"/>
  <c r="AX2412" i="2"/>
  <c r="AV2412" i="2"/>
  <c r="AU2412" i="2"/>
  <c r="AR2412" i="2"/>
  <c r="AQ2412" i="2"/>
  <c r="AP2412" i="2"/>
  <c r="AX2411" i="2"/>
  <c r="AV2411" i="2"/>
  <c r="AU2411" i="2"/>
  <c r="AR2411" i="2"/>
  <c r="AQ2411" i="2"/>
  <c r="AP2411" i="2"/>
  <c r="AX2410" i="2"/>
  <c r="AV2410" i="2"/>
  <c r="AU2410" i="2"/>
  <c r="AR2410" i="2"/>
  <c r="AQ2410" i="2"/>
  <c r="AP2410" i="2"/>
  <c r="AX2409" i="2"/>
  <c r="AV2409" i="2"/>
  <c r="AU2409" i="2"/>
  <c r="AR2409" i="2"/>
  <c r="AQ2409" i="2"/>
  <c r="AP2409" i="2"/>
  <c r="AX2408" i="2"/>
  <c r="AV2408" i="2"/>
  <c r="AU2408" i="2"/>
  <c r="AR2408" i="2"/>
  <c r="AQ2408" i="2"/>
  <c r="AP2408" i="2"/>
  <c r="AX2407" i="2"/>
  <c r="AV2407" i="2"/>
  <c r="AU2407" i="2"/>
  <c r="AR2407" i="2"/>
  <c r="AQ2407" i="2"/>
  <c r="AP2407" i="2"/>
  <c r="AX2406" i="2"/>
  <c r="AV2406" i="2"/>
  <c r="AU2406" i="2"/>
  <c r="AR2406" i="2"/>
  <c r="AQ2406" i="2"/>
  <c r="AP2406" i="2"/>
  <c r="AX2405" i="2"/>
  <c r="AV2405" i="2"/>
  <c r="AU2405" i="2"/>
  <c r="AR2405" i="2"/>
  <c r="AQ2405" i="2"/>
  <c r="AQ2402" i="2"/>
  <c r="AQ2403" i="2"/>
  <c r="AQ2404" i="2"/>
  <c r="AQ2423" i="2"/>
  <c r="J2423" i="2"/>
  <c r="AP2405" i="2"/>
  <c r="AX2404" i="2"/>
  <c r="AV2404" i="2"/>
  <c r="AU2404" i="2"/>
  <c r="AR2404" i="2"/>
  <c r="AP2404" i="2"/>
  <c r="AX2403" i="2"/>
  <c r="AV2403" i="2"/>
  <c r="AU2403" i="2"/>
  <c r="AU2402" i="2"/>
  <c r="AU2423" i="2"/>
  <c r="AR2403" i="2"/>
  <c r="AP2403" i="2"/>
  <c r="AX2402" i="2"/>
  <c r="AV2402" i="2"/>
  <c r="AR2402" i="2"/>
  <c r="AP2402" i="2"/>
  <c r="J2400" i="2"/>
  <c r="I2400" i="2"/>
  <c r="G2400" i="2"/>
  <c r="J2399" i="2"/>
  <c r="I2399" i="2"/>
  <c r="G2399" i="2"/>
  <c r="AU2384" i="2"/>
  <c r="AU2385" i="2"/>
  <c r="AU2386" i="2"/>
  <c r="AU2387" i="2"/>
  <c r="AU2388" i="2"/>
  <c r="AU2389" i="2"/>
  <c r="AU2390" i="2"/>
  <c r="AU2391" i="2"/>
  <c r="AU2392" i="2"/>
  <c r="AU2393" i="2"/>
  <c r="AU2394" i="2"/>
  <c r="AU2395" i="2"/>
  <c r="AU2396" i="2"/>
  <c r="AU2397" i="2"/>
  <c r="AU2398" i="2"/>
  <c r="AT2384" i="2"/>
  <c r="AT2385" i="2"/>
  <c r="AT2386" i="2"/>
  <c r="AT2387" i="2"/>
  <c r="AT2388" i="2"/>
  <c r="AT2389" i="2"/>
  <c r="AT2390" i="2"/>
  <c r="AT2391" i="2"/>
  <c r="AT2392" i="2"/>
  <c r="AT2393" i="2"/>
  <c r="AT2394" i="2"/>
  <c r="AT2395" i="2"/>
  <c r="AT2396" i="2"/>
  <c r="AT2397" i="2"/>
  <c r="AT2398" i="2"/>
  <c r="AP2384" i="2"/>
  <c r="AP2385" i="2"/>
  <c r="AP2386" i="2"/>
  <c r="AP2387" i="2"/>
  <c r="AP2388" i="2"/>
  <c r="AP2389" i="2"/>
  <c r="AP2390" i="2"/>
  <c r="AP2391" i="2"/>
  <c r="AP2392" i="2"/>
  <c r="AP2393" i="2"/>
  <c r="AP2394" i="2"/>
  <c r="AP2395" i="2"/>
  <c r="AP2396" i="2"/>
  <c r="AP2397" i="2"/>
  <c r="AP2398" i="2"/>
  <c r="G2398" i="2"/>
  <c r="I2398" i="2"/>
  <c r="AX2397" i="2"/>
  <c r="AW2397" i="2"/>
  <c r="AV2397" i="2"/>
  <c r="AS2397" i="2"/>
  <c r="AR2397" i="2"/>
  <c r="AQ2397" i="2"/>
  <c r="AO2397" i="2"/>
  <c r="U2397" i="2"/>
  <c r="T2397" i="2"/>
  <c r="AX2396" i="2"/>
  <c r="AW2396" i="2"/>
  <c r="AV2396" i="2"/>
  <c r="AS2396" i="2"/>
  <c r="AR2396" i="2"/>
  <c r="AQ2396" i="2"/>
  <c r="AO2396" i="2"/>
  <c r="U2396" i="2"/>
  <c r="T2396" i="2"/>
  <c r="AX2395" i="2"/>
  <c r="AW2395" i="2"/>
  <c r="AV2395" i="2"/>
  <c r="AS2395" i="2"/>
  <c r="AR2395" i="2"/>
  <c r="AQ2395" i="2"/>
  <c r="AO2395" i="2"/>
  <c r="U2395" i="2"/>
  <c r="T2395" i="2"/>
  <c r="AX2394" i="2"/>
  <c r="AW2394" i="2"/>
  <c r="AV2394" i="2"/>
  <c r="AS2394" i="2"/>
  <c r="AR2394" i="2"/>
  <c r="AQ2394" i="2"/>
  <c r="AO2394" i="2"/>
  <c r="U2394" i="2"/>
  <c r="T2394" i="2"/>
  <c r="AX2393" i="2"/>
  <c r="AW2393" i="2"/>
  <c r="AV2393" i="2"/>
  <c r="AS2393" i="2"/>
  <c r="AR2393" i="2"/>
  <c r="AQ2393" i="2"/>
  <c r="AO2393" i="2"/>
  <c r="U2393" i="2"/>
  <c r="T2393" i="2"/>
  <c r="AX2392" i="2"/>
  <c r="AW2392" i="2"/>
  <c r="AV2392" i="2"/>
  <c r="AS2392" i="2"/>
  <c r="AR2392" i="2"/>
  <c r="AQ2392" i="2"/>
  <c r="AO2392" i="2"/>
  <c r="U2392" i="2"/>
  <c r="T2392" i="2"/>
  <c r="AX2391" i="2"/>
  <c r="AW2391" i="2"/>
  <c r="AV2391" i="2"/>
  <c r="AS2391" i="2"/>
  <c r="AR2391" i="2"/>
  <c r="AQ2391" i="2"/>
  <c r="AO2391" i="2"/>
  <c r="U2391" i="2"/>
  <c r="T2391" i="2"/>
  <c r="AX2390" i="2"/>
  <c r="AW2390" i="2"/>
  <c r="AV2390" i="2"/>
  <c r="AS2390" i="2"/>
  <c r="AR2390" i="2"/>
  <c r="AQ2390" i="2"/>
  <c r="AO2390" i="2"/>
  <c r="U2390" i="2"/>
  <c r="T2390" i="2"/>
  <c r="AX2389" i="2"/>
  <c r="AW2389" i="2"/>
  <c r="AV2389" i="2"/>
  <c r="AS2389" i="2"/>
  <c r="AR2389" i="2"/>
  <c r="AQ2389" i="2"/>
  <c r="AO2389" i="2"/>
  <c r="U2389" i="2"/>
  <c r="T2389" i="2"/>
  <c r="AX2388" i="2"/>
  <c r="AW2388" i="2"/>
  <c r="AV2388" i="2"/>
  <c r="AS2388" i="2"/>
  <c r="AR2388" i="2"/>
  <c r="AQ2388" i="2"/>
  <c r="AO2388" i="2"/>
  <c r="U2388" i="2"/>
  <c r="T2388" i="2"/>
  <c r="AX2387" i="2"/>
  <c r="AW2387" i="2"/>
  <c r="AV2387" i="2"/>
  <c r="AS2387" i="2"/>
  <c r="AR2387" i="2"/>
  <c r="AQ2387" i="2"/>
  <c r="AO2387" i="2"/>
  <c r="U2387" i="2"/>
  <c r="T2387" i="2"/>
  <c r="AX2386" i="2"/>
  <c r="AW2386" i="2"/>
  <c r="AV2386" i="2"/>
  <c r="AS2386" i="2"/>
  <c r="AR2386" i="2"/>
  <c r="AQ2386" i="2"/>
  <c r="AO2386" i="2"/>
  <c r="U2386" i="2"/>
  <c r="T2386" i="2"/>
  <c r="AX2385" i="2"/>
  <c r="AW2385" i="2"/>
  <c r="AV2385" i="2"/>
  <c r="AS2385" i="2"/>
  <c r="AR2385" i="2"/>
  <c r="AR2384" i="2"/>
  <c r="AR2398" i="2"/>
  <c r="AQ2385" i="2"/>
  <c r="AO2385" i="2"/>
  <c r="U2385" i="2"/>
  <c r="T2385" i="2"/>
  <c r="AX2384" i="2"/>
  <c r="AX2398" i="2"/>
  <c r="AW2384" i="2"/>
  <c r="AW2398" i="2"/>
  <c r="AV2384" i="2"/>
  <c r="AV2398" i="2"/>
  <c r="AS2384" i="2"/>
  <c r="AQ2384" i="2"/>
  <c r="AO2384" i="2"/>
  <c r="AO2398" i="2"/>
  <c r="U2384" i="2"/>
  <c r="T2384" i="2"/>
  <c r="T2400" i="2"/>
  <c r="AI2381" i="2"/>
  <c r="W2381" i="2"/>
  <c r="S2381" i="2"/>
  <c r="K2381" i="2"/>
  <c r="H2381" i="2"/>
  <c r="G2381" i="2"/>
  <c r="AM2376" i="2"/>
  <c r="AM2377" i="2"/>
  <c r="AM2380" i="2"/>
  <c r="AI2380" i="2"/>
  <c r="W2380" i="2"/>
  <c r="S2380" i="2"/>
  <c r="K2380" i="2"/>
  <c r="H2380" i="2"/>
  <c r="G2380" i="2"/>
  <c r="AW2374" i="2"/>
  <c r="AW2375" i="2"/>
  <c r="AW2376" i="2"/>
  <c r="AW2377" i="2"/>
  <c r="AW2378" i="2"/>
  <c r="AW2379" i="2"/>
  <c r="AI2379" i="2"/>
  <c r="W2379" i="2"/>
  <c r="S2379" i="2"/>
  <c r="G2379" i="2"/>
  <c r="AX2378" i="2"/>
  <c r="AV2378" i="2"/>
  <c r="AU2378" i="2"/>
  <c r="AT2378" i="2"/>
  <c r="AS2378" i="2"/>
  <c r="AR2378" i="2"/>
  <c r="AQ2378" i="2"/>
  <c r="AP2378" i="2"/>
  <c r="AO2378" i="2"/>
  <c r="AX2377" i="2"/>
  <c r="AV2377" i="2"/>
  <c r="AU2377" i="2"/>
  <c r="AT2377" i="2"/>
  <c r="AS2377" i="2"/>
  <c r="AR2377" i="2"/>
  <c r="AQ2377" i="2"/>
  <c r="AP2377" i="2"/>
  <c r="AO2377" i="2"/>
  <c r="AX2376" i="2"/>
  <c r="AV2376" i="2"/>
  <c r="AU2376" i="2"/>
  <c r="AU2374" i="2"/>
  <c r="AU2375" i="2"/>
  <c r="AU2379" i="2"/>
  <c r="AT2376" i="2"/>
  <c r="AS2376" i="2"/>
  <c r="AR2376" i="2"/>
  <c r="AQ2376" i="2"/>
  <c r="AP2376" i="2"/>
  <c r="AO2376" i="2"/>
  <c r="AX2375" i="2"/>
  <c r="AV2375" i="2"/>
  <c r="AT2375" i="2"/>
  <c r="AS2375" i="2"/>
  <c r="AR2375" i="2"/>
  <c r="AQ2375" i="2"/>
  <c r="AQ2374" i="2"/>
  <c r="AQ2379" i="2"/>
  <c r="AP2375" i="2"/>
  <c r="AO2375" i="2"/>
  <c r="AO2374" i="2"/>
  <c r="AO2379" i="2"/>
  <c r="H2379" i="2"/>
  <c r="AX2374" i="2"/>
  <c r="AX2379" i="2"/>
  <c r="AV2374" i="2"/>
  <c r="AT2374" i="2"/>
  <c r="AS2374" i="2"/>
  <c r="AR2374" i="2"/>
  <c r="AR2379" i="2"/>
  <c r="K2379" i="2"/>
  <c r="AP2374" i="2"/>
  <c r="AP2379" i="2"/>
  <c r="AM2371" i="2"/>
  <c r="AL2371" i="2"/>
  <c r="AJ2371" i="2"/>
  <c r="AI2371" i="2"/>
  <c r="AM2370" i="2"/>
  <c r="AL2370" i="2"/>
  <c r="AJ2370" i="2"/>
  <c r="AI2370" i="2"/>
  <c r="AM2369" i="2"/>
  <c r="AL2369" i="2"/>
  <c r="AI2369" i="2"/>
  <c r="AO2368" i="2"/>
  <c r="AO2367" i="2"/>
  <c r="AO2366" i="2"/>
  <c r="AO2365" i="2"/>
  <c r="AO2364" i="2"/>
  <c r="B2362" i="2"/>
  <c r="B2363" i="2"/>
  <c r="B2364" i="2"/>
  <c r="B2365" i="2"/>
  <c r="B2366" i="2"/>
  <c r="B2367" i="2"/>
  <c r="B2368" i="2"/>
  <c r="AO2363" i="2"/>
  <c r="AO2362" i="2"/>
  <c r="AO2361" i="2"/>
  <c r="AO2360" i="2"/>
  <c r="AO2359" i="2"/>
  <c r="AO2358" i="2"/>
  <c r="AO2357" i="2"/>
  <c r="AO2356" i="2"/>
  <c r="AO2355" i="2"/>
  <c r="AO2354" i="2"/>
  <c r="AO2353" i="2"/>
  <c r="AO2352" i="2"/>
  <c r="AO2351" i="2"/>
  <c r="AO2350" i="2"/>
  <c r="AO2369" i="2"/>
  <c r="AJ2369" i="2"/>
  <c r="J2348" i="2"/>
  <c r="AM2341" i="2"/>
  <c r="AM2342" i="2"/>
  <c r="AM2343" i="2"/>
  <c r="AM2344" i="2"/>
  <c r="AM2345" i="2"/>
  <c r="AM2347" i="2"/>
  <c r="J2347" i="2"/>
  <c r="AM2346" i="2"/>
  <c r="S2344" i="2"/>
  <c r="S2346" i="2"/>
  <c r="G2345" i="2"/>
  <c r="AX2345" i="2"/>
  <c r="AV2345" i="2"/>
  <c r="AU2345" i="2"/>
  <c r="AO2345" i="2"/>
  <c r="U2345" i="2"/>
  <c r="T2345" i="2"/>
  <c r="T2341" i="2"/>
  <c r="T2342" i="2"/>
  <c r="T2343" i="2"/>
  <c r="T2344" i="2"/>
  <c r="T2346" i="2"/>
  <c r="AR2345" i="2"/>
  <c r="G2344" i="2"/>
  <c r="AW2344" i="2"/>
  <c r="AV2344" i="2"/>
  <c r="AU2344" i="2"/>
  <c r="AT2344" i="2"/>
  <c r="AS2344" i="2"/>
  <c r="AR2344" i="2"/>
  <c r="AQ2344" i="2"/>
  <c r="U2344" i="2"/>
  <c r="S2348" i="2"/>
  <c r="H2344" i="2"/>
  <c r="AX2344" i="2"/>
  <c r="G2343" i="2"/>
  <c r="AR2343" i="2"/>
  <c r="AP2343" i="2"/>
  <c r="U2343" i="2"/>
  <c r="AQ2343" i="2"/>
  <c r="G2342" i="2"/>
  <c r="AX2342" i="2"/>
  <c r="AV2342" i="2"/>
  <c r="AU2342" i="2"/>
  <c r="AT2342" i="2"/>
  <c r="AR2342" i="2"/>
  <c r="AQ2342" i="2"/>
  <c r="I2342" i="2"/>
  <c r="AP2342" i="2"/>
  <c r="U2342" i="2"/>
  <c r="AM2348" i="2"/>
  <c r="U2341" i="2"/>
  <c r="I2341" i="2"/>
  <c r="G2341" i="2"/>
  <c r="AM2339" i="2"/>
  <c r="U2339" i="2"/>
  <c r="T2339" i="2"/>
  <c r="S2339" i="2"/>
  <c r="R2339" i="2"/>
  <c r="J2339" i="2"/>
  <c r="I2339" i="2"/>
  <c r="H2339" i="2"/>
  <c r="G2339" i="2"/>
  <c r="AM2338" i="2"/>
  <c r="U2338" i="2"/>
  <c r="T2338" i="2"/>
  <c r="S2338" i="2"/>
  <c r="R2338" i="2"/>
  <c r="J2338" i="2"/>
  <c r="I2338" i="2"/>
  <c r="H2338" i="2"/>
  <c r="G2338" i="2"/>
  <c r="AS2330" i="2"/>
  <c r="AS2331" i="2"/>
  <c r="AS2332" i="2"/>
  <c r="AS2333" i="2"/>
  <c r="AS2334" i="2"/>
  <c r="AS2335" i="2"/>
  <c r="AS2336" i="2"/>
  <c r="AS2337" i="2"/>
  <c r="AM2337" i="2"/>
  <c r="U2337" i="2"/>
  <c r="T2337" i="2"/>
  <c r="S2337" i="2"/>
  <c r="R2337" i="2"/>
  <c r="G2337" i="2"/>
  <c r="AX2336" i="2"/>
  <c r="AW2336" i="2"/>
  <c r="AV2336" i="2"/>
  <c r="AU2336" i="2"/>
  <c r="AT2336" i="2"/>
  <c r="AR2336" i="2"/>
  <c r="AQ2336" i="2"/>
  <c r="AP2336" i="2"/>
  <c r="AO2336" i="2"/>
  <c r="AX2335" i="2"/>
  <c r="AW2335" i="2"/>
  <c r="AV2335" i="2"/>
  <c r="AU2335" i="2"/>
  <c r="AT2335" i="2"/>
  <c r="AR2335" i="2"/>
  <c r="AQ2335" i="2"/>
  <c r="AP2335" i="2"/>
  <c r="AO2335" i="2"/>
  <c r="AX2334" i="2"/>
  <c r="AW2334" i="2"/>
  <c r="AV2334" i="2"/>
  <c r="AU2334" i="2"/>
  <c r="AT2334" i="2"/>
  <c r="AR2334" i="2"/>
  <c r="AQ2334" i="2"/>
  <c r="AP2334" i="2"/>
  <c r="AO2334" i="2"/>
  <c r="AX2333" i="2"/>
  <c r="AW2333" i="2"/>
  <c r="AV2333" i="2"/>
  <c r="AU2333" i="2"/>
  <c r="AT2333" i="2"/>
  <c r="AR2333" i="2"/>
  <c r="AR2330" i="2"/>
  <c r="AR2331" i="2"/>
  <c r="AR2332" i="2"/>
  <c r="AR2337" i="2"/>
  <c r="AQ2333" i="2"/>
  <c r="AP2333" i="2"/>
  <c r="AO2333" i="2"/>
  <c r="AX2332" i="2"/>
  <c r="AW2332" i="2"/>
  <c r="AV2332" i="2"/>
  <c r="AU2332" i="2"/>
  <c r="AU2330" i="2"/>
  <c r="AU2331" i="2"/>
  <c r="AU2337" i="2"/>
  <c r="AT2332" i="2"/>
  <c r="AQ2332" i="2"/>
  <c r="AP2332" i="2"/>
  <c r="AO2332" i="2"/>
  <c r="AX2331" i="2"/>
  <c r="AW2331" i="2"/>
  <c r="AV2331" i="2"/>
  <c r="AV2330" i="2"/>
  <c r="AV2337" i="2"/>
  <c r="AT2331" i="2"/>
  <c r="AQ2331" i="2"/>
  <c r="AP2331" i="2"/>
  <c r="AO2331" i="2"/>
  <c r="AX2330" i="2"/>
  <c r="AX2337" i="2"/>
  <c r="E2337" i="2"/>
  <c r="AW2330" i="2"/>
  <c r="AT2330" i="2"/>
  <c r="AQ2330" i="2"/>
  <c r="AQ2337" i="2"/>
  <c r="J2337" i="2"/>
  <c r="AP2330" i="2"/>
  <c r="AP2337" i="2"/>
  <c r="I2337" i="2"/>
  <c r="AO2330" i="2"/>
  <c r="AM2325" i="2"/>
  <c r="T2325" i="2"/>
  <c r="I2325" i="2"/>
  <c r="G2325" i="2"/>
  <c r="AM2324" i="2"/>
  <c r="T2324" i="2"/>
  <c r="I2324" i="2"/>
  <c r="G2324" i="2"/>
  <c r="AM2323" i="2"/>
  <c r="U2319" i="2"/>
  <c r="U2320" i="2"/>
  <c r="U2321" i="2"/>
  <c r="U2322" i="2"/>
  <c r="U2323" i="2"/>
  <c r="T2323" i="2"/>
  <c r="G2323" i="2"/>
  <c r="AX2322" i="2"/>
  <c r="AW2322" i="2"/>
  <c r="AV2322" i="2"/>
  <c r="AU2322" i="2"/>
  <c r="AT2322" i="2"/>
  <c r="AS2322" i="2"/>
  <c r="AR2322" i="2"/>
  <c r="AQ2322" i="2"/>
  <c r="AP2322" i="2"/>
  <c r="AO2322" i="2"/>
  <c r="AX2321" i="2"/>
  <c r="AW2321" i="2"/>
  <c r="AV2321" i="2"/>
  <c r="AU2321" i="2"/>
  <c r="AT2321" i="2"/>
  <c r="AS2321" i="2"/>
  <c r="AR2321" i="2"/>
  <c r="AQ2321" i="2"/>
  <c r="AP2321" i="2"/>
  <c r="AO2321" i="2"/>
  <c r="AX2320" i="2"/>
  <c r="AW2320" i="2"/>
  <c r="AV2320" i="2"/>
  <c r="AU2320" i="2"/>
  <c r="AT2320" i="2"/>
  <c r="AS2320" i="2"/>
  <c r="AR2320" i="2"/>
  <c r="AQ2320" i="2"/>
  <c r="AP2320" i="2"/>
  <c r="AO2320" i="2"/>
  <c r="AX2319" i="2"/>
  <c r="AW2319" i="2"/>
  <c r="AV2319" i="2"/>
  <c r="AU2319" i="2"/>
  <c r="AT2319" i="2"/>
  <c r="AS2319" i="2"/>
  <c r="AR2319" i="2"/>
  <c r="AQ2319" i="2"/>
  <c r="AP2319" i="2"/>
  <c r="AO2319" i="2"/>
  <c r="U2325" i="2"/>
  <c r="AX2318" i="2"/>
  <c r="AW2318" i="2"/>
  <c r="AV2318" i="2"/>
  <c r="AU2318" i="2"/>
  <c r="AT2318" i="2"/>
  <c r="AS2318" i="2"/>
  <c r="AR2318" i="2"/>
  <c r="AP2318" i="2"/>
  <c r="AO2318" i="2"/>
  <c r="J2318" i="2"/>
  <c r="AQ2318" i="2"/>
  <c r="AX2317" i="2"/>
  <c r="AW2317" i="2"/>
  <c r="AV2317" i="2"/>
  <c r="AU2317" i="2"/>
  <c r="AT2317" i="2"/>
  <c r="AS2317" i="2"/>
  <c r="AR2317" i="2"/>
  <c r="AP2317" i="2"/>
  <c r="AO2317" i="2"/>
  <c r="J2317" i="2"/>
  <c r="AQ2317" i="2"/>
  <c r="AX2316" i="2"/>
  <c r="AW2316" i="2"/>
  <c r="AV2316" i="2"/>
  <c r="AU2316" i="2"/>
  <c r="AT2316" i="2"/>
  <c r="AS2316" i="2"/>
  <c r="AR2316" i="2"/>
  <c r="J2316" i="2"/>
  <c r="AQ2316" i="2"/>
  <c r="AP2316" i="2"/>
  <c r="AO2316" i="2"/>
  <c r="AX2315" i="2"/>
  <c r="AW2315" i="2"/>
  <c r="AV2315" i="2"/>
  <c r="AU2315" i="2"/>
  <c r="AT2315" i="2"/>
  <c r="AS2315" i="2"/>
  <c r="AR2315" i="2"/>
  <c r="AP2315" i="2"/>
  <c r="AO2315" i="2"/>
  <c r="J2315" i="2"/>
  <c r="AQ2315" i="2"/>
  <c r="AX2314" i="2"/>
  <c r="AW2314" i="2"/>
  <c r="AV2314" i="2"/>
  <c r="AU2314" i="2"/>
  <c r="AT2314" i="2"/>
  <c r="AS2314" i="2"/>
  <c r="AR2314" i="2"/>
  <c r="AP2314" i="2"/>
  <c r="AO2314" i="2"/>
  <c r="J2314" i="2"/>
  <c r="AQ2314" i="2"/>
  <c r="AX2313" i="2"/>
  <c r="AW2313" i="2"/>
  <c r="AV2313" i="2"/>
  <c r="AU2313" i="2"/>
  <c r="AT2313" i="2"/>
  <c r="AS2313" i="2"/>
  <c r="AR2313" i="2"/>
  <c r="J2313" i="2"/>
  <c r="AQ2313" i="2"/>
  <c r="AP2313" i="2"/>
  <c r="AO2313" i="2"/>
  <c r="AX2312" i="2"/>
  <c r="AW2312" i="2"/>
  <c r="AV2312" i="2"/>
  <c r="AU2312" i="2"/>
  <c r="AT2312" i="2"/>
  <c r="AS2312" i="2"/>
  <c r="AR2312" i="2"/>
  <c r="J2312" i="2"/>
  <c r="AQ2312" i="2"/>
  <c r="AP2312" i="2"/>
  <c r="AO2312" i="2"/>
  <c r="AX2311" i="2"/>
  <c r="AW2311" i="2"/>
  <c r="AV2311" i="2"/>
  <c r="AU2311" i="2"/>
  <c r="AT2311" i="2"/>
  <c r="AS2311" i="2"/>
  <c r="AR2311" i="2"/>
  <c r="AP2311" i="2"/>
  <c r="AO2311" i="2"/>
  <c r="J2311" i="2"/>
  <c r="AQ2311" i="2"/>
  <c r="AX2310" i="2"/>
  <c r="AW2310" i="2"/>
  <c r="AV2310" i="2"/>
  <c r="AU2310" i="2"/>
  <c r="AT2310" i="2"/>
  <c r="AS2310" i="2"/>
  <c r="AR2310" i="2"/>
  <c r="AP2310" i="2"/>
  <c r="AO2310" i="2"/>
  <c r="J2310" i="2"/>
  <c r="AQ2310" i="2"/>
  <c r="AX2309" i="2"/>
  <c r="AW2309" i="2"/>
  <c r="AV2309" i="2"/>
  <c r="AU2309" i="2"/>
  <c r="AT2309" i="2"/>
  <c r="AS2309" i="2"/>
  <c r="AR2309" i="2"/>
  <c r="AP2309" i="2"/>
  <c r="AO2309" i="2"/>
  <c r="J2309" i="2"/>
  <c r="AQ2309" i="2"/>
  <c r="AX2308" i="2"/>
  <c r="AW2308" i="2"/>
  <c r="AV2308" i="2"/>
  <c r="AU2308" i="2"/>
  <c r="AT2308" i="2"/>
  <c r="AS2308" i="2"/>
  <c r="AR2308" i="2"/>
  <c r="J2308" i="2"/>
  <c r="AQ2308" i="2"/>
  <c r="AP2308" i="2"/>
  <c r="AO2308" i="2"/>
  <c r="AX2307" i="2"/>
  <c r="AW2307" i="2"/>
  <c r="AV2307" i="2"/>
  <c r="AU2307" i="2"/>
  <c r="AT2307" i="2"/>
  <c r="AS2307" i="2"/>
  <c r="AR2307" i="2"/>
  <c r="AP2307" i="2"/>
  <c r="AO2307" i="2"/>
  <c r="J2307" i="2"/>
  <c r="AQ2307" i="2"/>
  <c r="AX2306" i="2"/>
  <c r="AW2306" i="2"/>
  <c r="AV2306" i="2"/>
  <c r="AU2306" i="2"/>
  <c r="AT2306" i="2"/>
  <c r="AS2306" i="2"/>
  <c r="AR2306" i="2"/>
  <c r="AP2306" i="2"/>
  <c r="AO2306" i="2"/>
  <c r="J2306" i="2"/>
  <c r="AQ2306" i="2"/>
  <c r="AX2305" i="2"/>
  <c r="AW2305" i="2"/>
  <c r="AV2305" i="2"/>
  <c r="AU2305" i="2"/>
  <c r="AT2305" i="2"/>
  <c r="AS2305" i="2"/>
  <c r="AR2305" i="2"/>
  <c r="J2305" i="2"/>
  <c r="AQ2305" i="2"/>
  <c r="AP2305" i="2"/>
  <c r="AO2305" i="2"/>
  <c r="AX2304" i="2"/>
  <c r="AW2304" i="2"/>
  <c r="AV2304" i="2"/>
  <c r="AU2304" i="2"/>
  <c r="AU2299" i="2"/>
  <c r="AU2300" i="2"/>
  <c r="AU2301" i="2"/>
  <c r="AU2302" i="2"/>
  <c r="AU2303" i="2"/>
  <c r="AU2323" i="2"/>
  <c r="AT2304" i="2"/>
  <c r="AS2304" i="2"/>
  <c r="AR2304" i="2"/>
  <c r="J2304" i="2"/>
  <c r="AQ2304" i="2"/>
  <c r="AP2304" i="2"/>
  <c r="AO2304" i="2"/>
  <c r="AX2303" i="2"/>
  <c r="AW2303" i="2"/>
  <c r="AV2303" i="2"/>
  <c r="AT2303" i="2"/>
  <c r="AS2303" i="2"/>
  <c r="AR2303" i="2"/>
  <c r="AP2303" i="2"/>
  <c r="AO2303" i="2"/>
  <c r="J2303" i="2"/>
  <c r="AQ2303" i="2"/>
  <c r="AX2302" i="2"/>
  <c r="AW2302" i="2"/>
  <c r="AV2302" i="2"/>
  <c r="AT2302" i="2"/>
  <c r="AS2302" i="2"/>
  <c r="AR2302" i="2"/>
  <c r="AP2302" i="2"/>
  <c r="AO2302" i="2"/>
  <c r="J2302" i="2"/>
  <c r="AQ2302" i="2"/>
  <c r="AX2301" i="2"/>
  <c r="AW2301" i="2"/>
  <c r="AV2301" i="2"/>
  <c r="AV2299" i="2"/>
  <c r="AV2300" i="2"/>
  <c r="AV2323" i="2"/>
  <c r="AT2301" i="2"/>
  <c r="AS2301" i="2"/>
  <c r="AR2301" i="2"/>
  <c r="AP2301" i="2"/>
  <c r="AO2301" i="2"/>
  <c r="J2301" i="2"/>
  <c r="AQ2301" i="2"/>
  <c r="AX2300" i="2"/>
  <c r="AX2299" i="2"/>
  <c r="AX2323" i="2"/>
  <c r="E2323" i="2"/>
  <c r="AW2300" i="2"/>
  <c r="AT2300" i="2"/>
  <c r="AS2300" i="2"/>
  <c r="AR2300" i="2"/>
  <c r="J2300" i="2"/>
  <c r="AQ2300" i="2"/>
  <c r="AP2300" i="2"/>
  <c r="AP2299" i="2"/>
  <c r="AP2323" i="2"/>
  <c r="I2323" i="2"/>
  <c r="AO2300" i="2"/>
  <c r="AW2299" i="2"/>
  <c r="AT2299" i="2"/>
  <c r="AS2299" i="2"/>
  <c r="AS2323" i="2"/>
  <c r="AR2299" i="2"/>
  <c r="AO2299" i="2"/>
  <c r="J2299" i="2"/>
  <c r="T2293" i="2"/>
  <c r="T2294" i="2"/>
  <c r="T2297" i="2"/>
  <c r="AM2293" i="2"/>
  <c r="AM2294" i="2"/>
  <c r="AM2295" i="2"/>
  <c r="G2294" i="2"/>
  <c r="AX2294" i="2"/>
  <c r="AW2294" i="2"/>
  <c r="AU2294" i="2"/>
  <c r="AT2294" i="2"/>
  <c r="AO2294" i="2"/>
  <c r="I2294" i="2"/>
  <c r="AS2294" i="2"/>
  <c r="G2293" i="2"/>
  <c r="AS2293" i="2"/>
  <c r="AR2293" i="2"/>
  <c r="AM2296" i="2"/>
  <c r="T2295" i="2"/>
  <c r="I2293" i="2"/>
  <c r="AX2287" i="2"/>
  <c r="AW2287" i="2"/>
  <c r="AV2287" i="2"/>
  <c r="AU2287" i="2"/>
  <c r="AT2287" i="2"/>
  <c r="AS2287" i="2"/>
  <c r="AR2287" i="2"/>
  <c r="AQ2287" i="2"/>
  <c r="AP2287" i="2"/>
  <c r="AO2287" i="2"/>
  <c r="AX2286" i="2"/>
  <c r="AW2286" i="2"/>
  <c r="AV2286" i="2"/>
  <c r="AU2286" i="2"/>
  <c r="AT2286" i="2"/>
  <c r="AS2286" i="2"/>
  <c r="AR2286" i="2"/>
  <c r="AQ2286" i="2"/>
  <c r="AP2286" i="2"/>
  <c r="AO2286" i="2"/>
  <c r="AX2285" i="2"/>
  <c r="AW2285" i="2"/>
  <c r="AV2285" i="2"/>
  <c r="AU2285" i="2"/>
  <c r="AT2285" i="2"/>
  <c r="AS2285" i="2"/>
  <c r="AR2285" i="2"/>
  <c r="AQ2285" i="2"/>
  <c r="AP2285" i="2"/>
  <c r="AO2285" i="2"/>
  <c r="T2285" i="2"/>
  <c r="AX2284" i="2"/>
  <c r="AW2284" i="2"/>
  <c r="AV2284" i="2"/>
  <c r="AU2284" i="2"/>
  <c r="AT2284" i="2"/>
  <c r="AS2284" i="2"/>
  <c r="AR2284" i="2"/>
  <c r="AQ2284" i="2"/>
  <c r="AP2284" i="2"/>
  <c r="AO2284" i="2"/>
  <c r="AM2284" i="2"/>
  <c r="T2284" i="2"/>
  <c r="G2283" i="2"/>
  <c r="AX2283" i="2"/>
  <c r="AV2283" i="2"/>
  <c r="AU2283" i="2"/>
  <c r="AT2283" i="2"/>
  <c r="AR2283" i="2"/>
  <c r="AQ2283" i="2"/>
  <c r="AM2283" i="2"/>
  <c r="T2283" i="2"/>
  <c r="I2283" i="2"/>
  <c r="AP2283" i="2"/>
  <c r="AW2283" i="2"/>
  <c r="G2282" i="2"/>
  <c r="AX2282" i="2"/>
  <c r="AW2282" i="2"/>
  <c r="I2282" i="2"/>
  <c r="AP2282" i="2"/>
  <c r="AO2282" i="2"/>
  <c r="AM2282" i="2"/>
  <c r="T2282" i="2"/>
  <c r="AV2282" i="2"/>
  <c r="G2281" i="2"/>
  <c r="AX2281" i="2"/>
  <c r="AW2281" i="2"/>
  <c r="AV2281" i="2"/>
  <c r="AU2281" i="2"/>
  <c r="AT2281" i="2"/>
  <c r="AR2281" i="2"/>
  <c r="AQ2281" i="2"/>
  <c r="I2281" i="2"/>
  <c r="AP2281" i="2"/>
  <c r="AO2281" i="2"/>
  <c r="AM2281" i="2"/>
  <c r="T2281" i="2"/>
  <c r="AS2281" i="2"/>
  <c r="G2280" i="2"/>
  <c r="AS2280" i="2"/>
  <c r="AM2280" i="2"/>
  <c r="T2280" i="2"/>
  <c r="I2280" i="2"/>
  <c r="AT2280" i="2"/>
  <c r="G2279" i="2"/>
  <c r="AX2279" i="2"/>
  <c r="AV2279" i="2"/>
  <c r="AU2279" i="2"/>
  <c r="AT2279" i="2"/>
  <c r="AR2279" i="2"/>
  <c r="AQ2279" i="2"/>
  <c r="AM2279" i="2"/>
  <c r="T2279" i="2"/>
  <c r="I2279" i="2"/>
  <c r="AP2279" i="2"/>
  <c r="AW2279" i="2"/>
  <c r="G2278" i="2"/>
  <c r="AX2278" i="2"/>
  <c r="AW2278" i="2"/>
  <c r="I2278" i="2"/>
  <c r="AP2278" i="2"/>
  <c r="AO2278" i="2"/>
  <c r="AM2278" i="2"/>
  <c r="T2278" i="2"/>
  <c r="AV2278" i="2"/>
  <c r="G2277" i="2"/>
  <c r="AX2277" i="2"/>
  <c r="AW2277" i="2"/>
  <c r="AV2277" i="2"/>
  <c r="AU2277" i="2"/>
  <c r="AT2277" i="2"/>
  <c r="AR2277" i="2"/>
  <c r="AQ2277" i="2"/>
  <c r="I2277" i="2"/>
  <c r="AP2277" i="2"/>
  <c r="AO2277" i="2"/>
  <c r="AM2277" i="2"/>
  <c r="T2277" i="2"/>
  <c r="AS2277" i="2"/>
  <c r="G2276" i="2"/>
  <c r="AS2276" i="2"/>
  <c r="AM2276" i="2"/>
  <c r="T2276" i="2"/>
  <c r="I2276" i="2"/>
  <c r="AT2276" i="2"/>
  <c r="G2275" i="2"/>
  <c r="AX2275" i="2"/>
  <c r="AV2275" i="2"/>
  <c r="AU2275" i="2"/>
  <c r="AT2275" i="2"/>
  <c r="AR2275" i="2"/>
  <c r="AQ2275" i="2"/>
  <c r="AM2275" i="2"/>
  <c r="T2275" i="2"/>
  <c r="I2275" i="2"/>
  <c r="AP2275" i="2"/>
  <c r="AW2275" i="2"/>
  <c r="G2274" i="2"/>
  <c r="AX2274" i="2"/>
  <c r="AW2274" i="2"/>
  <c r="I2274" i="2"/>
  <c r="AP2274" i="2"/>
  <c r="AO2274" i="2"/>
  <c r="AM2274" i="2"/>
  <c r="T2274" i="2"/>
  <c r="AV2274" i="2"/>
  <c r="T2273" i="2"/>
  <c r="I2273" i="2"/>
  <c r="G2273" i="2"/>
  <c r="AV2273" i="2"/>
  <c r="AU2273" i="2"/>
  <c r="AM2273" i="2"/>
  <c r="T2272" i="2"/>
  <c r="I2272" i="2"/>
  <c r="G2272" i="2"/>
  <c r="G2271" i="2"/>
  <c r="AX2271" i="2"/>
  <c r="AV2271" i="2"/>
  <c r="AU2271" i="2"/>
  <c r="AT2271" i="2"/>
  <c r="AR2271" i="2"/>
  <c r="AQ2271" i="2"/>
  <c r="AM2271" i="2"/>
  <c r="T2271" i="2"/>
  <c r="I2271" i="2"/>
  <c r="AP2271" i="2"/>
  <c r="AW2271" i="2"/>
  <c r="G2270" i="2"/>
  <c r="AX2270" i="2"/>
  <c r="AW2270" i="2"/>
  <c r="I2270" i="2"/>
  <c r="AP2270" i="2"/>
  <c r="AO2270" i="2"/>
  <c r="AM2270" i="2"/>
  <c r="T2270" i="2"/>
  <c r="AV2270" i="2"/>
  <c r="T2269" i="2"/>
  <c r="I2269" i="2"/>
  <c r="AM2267" i="2"/>
  <c r="U2267" i="2"/>
  <c r="T2267" i="2"/>
  <c r="S2267" i="2"/>
  <c r="R2267" i="2"/>
  <c r="J2267" i="2"/>
  <c r="I2267" i="2"/>
  <c r="H2267" i="2"/>
  <c r="G2267" i="2"/>
  <c r="AM2266" i="2"/>
  <c r="U2266" i="2"/>
  <c r="T2266" i="2"/>
  <c r="S2266" i="2"/>
  <c r="R2266" i="2"/>
  <c r="J2266" i="2"/>
  <c r="I2266" i="2"/>
  <c r="H2266" i="2"/>
  <c r="G2266" i="2"/>
  <c r="AM2265" i="2"/>
  <c r="U2265" i="2"/>
  <c r="T2265" i="2"/>
  <c r="S2265" i="2"/>
  <c r="R2265" i="2"/>
  <c r="G2265" i="2"/>
  <c r="AX2264" i="2"/>
  <c r="AW2264" i="2"/>
  <c r="AV2264" i="2"/>
  <c r="AU2264" i="2"/>
  <c r="AT2264" i="2"/>
  <c r="AS2264" i="2"/>
  <c r="AR2264" i="2"/>
  <c r="AQ2264" i="2"/>
  <c r="AP2264" i="2"/>
  <c r="AO2264" i="2"/>
  <c r="AX2263" i="2"/>
  <c r="AW2263" i="2"/>
  <c r="AV2263" i="2"/>
  <c r="AU2263" i="2"/>
  <c r="AT2263" i="2"/>
  <c r="AS2263" i="2"/>
  <c r="AR2263" i="2"/>
  <c r="AQ2263" i="2"/>
  <c r="AP2263" i="2"/>
  <c r="AO2263" i="2"/>
  <c r="AX2262" i="2"/>
  <c r="AW2262" i="2"/>
  <c r="AV2262" i="2"/>
  <c r="AU2262" i="2"/>
  <c r="AT2262" i="2"/>
  <c r="AS2262" i="2"/>
  <c r="AR2262" i="2"/>
  <c r="AQ2262" i="2"/>
  <c r="AP2262" i="2"/>
  <c r="AO2262" i="2"/>
  <c r="AX2261" i="2"/>
  <c r="AW2261" i="2"/>
  <c r="AV2261" i="2"/>
  <c r="AU2261" i="2"/>
  <c r="AT2261" i="2"/>
  <c r="AS2261" i="2"/>
  <c r="AR2261" i="2"/>
  <c r="AQ2261" i="2"/>
  <c r="AP2261" i="2"/>
  <c r="AO2261" i="2"/>
  <c r="AX2260" i="2"/>
  <c r="AW2260" i="2"/>
  <c r="AV2260" i="2"/>
  <c r="AU2260" i="2"/>
  <c r="AT2260" i="2"/>
  <c r="AS2260" i="2"/>
  <c r="AR2260" i="2"/>
  <c r="AQ2260" i="2"/>
  <c r="AQ2258" i="2"/>
  <c r="AQ2259" i="2"/>
  <c r="AQ2265" i="2"/>
  <c r="J2265" i="2"/>
  <c r="AP2260" i="2"/>
  <c r="AO2260" i="2"/>
  <c r="AX2259" i="2"/>
  <c r="AW2259" i="2"/>
  <c r="AV2259" i="2"/>
  <c r="AV2258" i="2"/>
  <c r="AV2265" i="2"/>
  <c r="AU2259" i="2"/>
  <c r="AU2258" i="2"/>
  <c r="AU2265" i="2"/>
  <c r="AT2259" i="2"/>
  <c r="AS2259" i="2"/>
  <c r="AR2259" i="2"/>
  <c r="AP2259" i="2"/>
  <c r="AO2259" i="2"/>
  <c r="AX2258" i="2"/>
  <c r="AX2265" i="2"/>
  <c r="AW2258" i="2"/>
  <c r="AW2265" i="2"/>
  <c r="AT2258" i="2"/>
  <c r="AS2258" i="2"/>
  <c r="AR2258" i="2"/>
  <c r="AP2258" i="2"/>
  <c r="AP2265" i="2"/>
  <c r="AO2258" i="2"/>
  <c r="AO2265" i="2"/>
  <c r="H2265" i="2"/>
  <c r="AA2256" i="2"/>
  <c r="Y2256" i="2"/>
  <c r="T2253" i="2"/>
  <c r="T2256" i="2"/>
  <c r="S2253" i="2"/>
  <c r="S2256" i="2"/>
  <c r="M2256" i="2"/>
  <c r="L2256" i="2"/>
  <c r="J2256" i="2"/>
  <c r="I2256" i="2"/>
  <c r="H2256" i="2"/>
  <c r="G2256" i="2"/>
  <c r="AA2255" i="2"/>
  <c r="Y2255" i="2"/>
  <c r="T2255" i="2"/>
  <c r="M2255" i="2"/>
  <c r="L2255" i="2"/>
  <c r="J2255" i="2"/>
  <c r="I2255" i="2"/>
  <c r="H2255" i="2"/>
  <c r="G2255" i="2"/>
  <c r="AS2224" i="2"/>
  <c r="AS2225" i="2"/>
  <c r="AS2226" i="2"/>
  <c r="AS2227" i="2"/>
  <c r="AS2228" i="2"/>
  <c r="AS2229" i="2"/>
  <c r="AS2230" i="2"/>
  <c r="AS2231" i="2"/>
  <c r="AS2232" i="2"/>
  <c r="AS2233" i="2"/>
  <c r="AS2234" i="2"/>
  <c r="AS2235" i="2"/>
  <c r="AS2236" i="2"/>
  <c r="AS2237" i="2"/>
  <c r="AS2238" i="2"/>
  <c r="AS2239" i="2"/>
  <c r="AS2240" i="2"/>
  <c r="AS2241" i="2"/>
  <c r="AS2242" i="2"/>
  <c r="AS2243" i="2"/>
  <c r="AS2244" i="2"/>
  <c r="AS2245" i="2"/>
  <c r="AS2246" i="2"/>
  <c r="AS2247" i="2"/>
  <c r="AS2248" i="2"/>
  <c r="AS2249" i="2"/>
  <c r="AS2250" i="2"/>
  <c r="AS2251" i="2"/>
  <c r="AS2252" i="2"/>
  <c r="AS2253" i="2"/>
  <c r="AS2254" i="2"/>
  <c r="G2254" i="2"/>
  <c r="L2254" i="2"/>
  <c r="AA2254" i="2"/>
  <c r="Y2254" i="2"/>
  <c r="T2254" i="2"/>
  <c r="AX2253" i="2"/>
  <c r="AW2253" i="2"/>
  <c r="AV2253" i="2"/>
  <c r="AU2253" i="2"/>
  <c r="AT2253" i="2"/>
  <c r="AR2253" i="2"/>
  <c r="AQ2253" i="2"/>
  <c r="AP2253" i="2"/>
  <c r="AO2253" i="2"/>
  <c r="U2253" i="2"/>
  <c r="R2253" i="2"/>
  <c r="AH2253" i="2"/>
  <c r="AX2252" i="2"/>
  <c r="AW2252" i="2"/>
  <c r="AV2252" i="2"/>
  <c r="AU2252" i="2"/>
  <c r="AT2252" i="2"/>
  <c r="AR2252" i="2"/>
  <c r="AQ2252" i="2"/>
  <c r="AP2252" i="2"/>
  <c r="AO2252" i="2"/>
  <c r="R2252" i="2"/>
  <c r="AH2252" i="2"/>
  <c r="AX2251" i="2"/>
  <c r="AW2251" i="2"/>
  <c r="AV2251" i="2"/>
  <c r="AU2251" i="2"/>
  <c r="AT2251" i="2"/>
  <c r="AR2251" i="2"/>
  <c r="AQ2251" i="2"/>
  <c r="AP2251" i="2"/>
  <c r="AO2251" i="2"/>
  <c r="R2251" i="2"/>
  <c r="AH2251" i="2"/>
  <c r="AX2250" i="2"/>
  <c r="AW2250" i="2"/>
  <c r="AV2250" i="2"/>
  <c r="AU2250" i="2"/>
  <c r="AT2250" i="2"/>
  <c r="AR2250" i="2"/>
  <c r="AQ2250" i="2"/>
  <c r="AP2250" i="2"/>
  <c r="AO2250" i="2"/>
  <c r="R2250" i="2"/>
  <c r="AH2250" i="2"/>
  <c r="AX2249" i="2"/>
  <c r="AW2249" i="2"/>
  <c r="AV2249" i="2"/>
  <c r="AU2249" i="2"/>
  <c r="AT2249" i="2"/>
  <c r="AR2249" i="2"/>
  <c r="AQ2249" i="2"/>
  <c r="AP2249" i="2"/>
  <c r="AO2249" i="2"/>
  <c r="R2249" i="2"/>
  <c r="AH2249" i="2"/>
  <c r="AX2248" i="2"/>
  <c r="AW2248" i="2"/>
  <c r="AV2248" i="2"/>
  <c r="AU2248" i="2"/>
  <c r="AT2248" i="2"/>
  <c r="AR2248" i="2"/>
  <c r="AQ2248" i="2"/>
  <c r="AP2248" i="2"/>
  <c r="AO2248" i="2"/>
  <c r="R2248" i="2"/>
  <c r="AH2248" i="2"/>
  <c r="AX2247" i="2"/>
  <c r="AW2247" i="2"/>
  <c r="AV2247" i="2"/>
  <c r="AU2247" i="2"/>
  <c r="AT2247" i="2"/>
  <c r="AR2247" i="2"/>
  <c r="AQ2247" i="2"/>
  <c r="AP2247" i="2"/>
  <c r="AO2247" i="2"/>
  <c r="R2247" i="2"/>
  <c r="AH2247" i="2"/>
  <c r="AX2246" i="2"/>
  <c r="AW2246" i="2"/>
  <c r="AV2246" i="2"/>
  <c r="AU2246" i="2"/>
  <c r="AT2246" i="2"/>
  <c r="AR2246" i="2"/>
  <c r="AQ2246" i="2"/>
  <c r="AP2246" i="2"/>
  <c r="AO2246" i="2"/>
  <c r="R2246" i="2"/>
  <c r="AH2246" i="2"/>
  <c r="AX2245" i="2"/>
  <c r="AW2245" i="2"/>
  <c r="AV2245" i="2"/>
  <c r="AU2245" i="2"/>
  <c r="AT2245" i="2"/>
  <c r="AR2245" i="2"/>
  <c r="AQ2245" i="2"/>
  <c r="AP2245" i="2"/>
  <c r="AO2245" i="2"/>
  <c r="R2245" i="2"/>
  <c r="AH2245" i="2"/>
  <c r="AX2244" i="2"/>
  <c r="AW2244" i="2"/>
  <c r="AV2244" i="2"/>
  <c r="AU2244" i="2"/>
  <c r="AT2244" i="2"/>
  <c r="AR2244" i="2"/>
  <c r="AQ2244" i="2"/>
  <c r="AP2244" i="2"/>
  <c r="AO2244" i="2"/>
  <c r="R2244" i="2"/>
  <c r="AH2244" i="2"/>
  <c r="AX2243" i="2"/>
  <c r="AW2243" i="2"/>
  <c r="AV2243" i="2"/>
  <c r="AU2243" i="2"/>
  <c r="AT2243" i="2"/>
  <c r="AR2243" i="2"/>
  <c r="AQ2243" i="2"/>
  <c r="AP2243" i="2"/>
  <c r="AO2243" i="2"/>
  <c r="R2243" i="2"/>
  <c r="AH2243" i="2"/>
  <c r="AX2242" i="2"/>
  <c r="AW2242" i="2"/>
  <c r="AV2242" i="2"/>
  <c r="AU2242" i="2"/>
  <c r="AT2242" i="2"/>
  <c r="AR2242" i="2"/>
  <c r="AQ2242" i="2"/>
  <c r="AP2242" i="2"/>
  <c r="AO2242" i="2"/>
  <c r="R2242" i="2"/>
  <c r="AH2242" i="2"/>
  <c r="AX2241" i="2"/>
  <c r="AW2241" i="2"/>
  <c r="AV2241" i="2"/>
  <c r="AU2241" i="2"/>
  <c r="AT2241" i="2"/>
  <c r="AR2241" i="2"/>
  <c r="AQ2241" i="2"/>
  <c r="AP2241" i="2"/>
  <c r="AO2241" i="2"/>
  <c r="R2241" i="2"/>
  <c r="AH2241" i="2"/>
  <c r="AX2240" i="2"/>
  <c r="AW2240" i="2"/>
  <c r="AV2240" i="2"/>
  <c r="AU2240" i="2"/>
  <c r="AT2240" i="2"/>
  <c r="AR2240" i="2"/>
  <c r="AQ2240" i="2"/>
  <c r="AP2240" i="2"/>
  <c r="AO2240" i="2"/>
  <c r="R2240" i="2"/>
  <c r="AH2240" i="2"/>
  <c r="AX2239" i="2"/>
  <c r="AW2239" i="2"/>
  <c r="AV2239" i="2"/>
  <c r="AU2239" i="2"/>
  <c r="AT2239" i="2"/>
  <c r="AR2239" i="2"/>
  <c r="AQ2239" i="2"/>
  <c r="AP2239" i="2"/>
  <c r="AO2239" i="2"/>
  <c r="R2239" i="2"/>
  <c r="AH2239" i="2"/>
  <c r="AX2238" i="2"/>
  <c r="AW2238" i="2"/>
  <c r="AV2238" i="2"/>
  <c r="AU2238" i="2"/>
  <c r="AT2238" i="2"/>
  <c r="AR2238" i="2"/>
  <c r="AQ2238" i="2"/>
  <c r="AP2238" i="2"/>
  <c r="AO2238" i="2"/>
  <c r="R2238" i="2"/>
  <c r="AH2238" i="2"/>
  <c r="AX2237" i="2"/>
  <c r="AW2237" i="2"/>
  <c r="AV2237" i="2"/>
  <c r="AU2237" i="2"/>
  <c r="AT2237" i="2"/>
  <c r="AR2237" i="2"/>
  <c r="AQ2237" i="2"/>
  <c r="AP2237" i="2"/>
  <c r="AO2237" i="2"/>
  <c r="Z2237" i="2"/>
  <c r="R2237" i="2"/>
  <c r="AH2237" i="2"/>
  <c r="AX2236" i="2"/>
  <c r="AW2236" i="2"/>
  <c r="AV2236" i="2"/>
  <c r="AU2236" i="2"/>
  <c r="AT2236" i="2"/>
  <c r="AR2236" i="2"/>
  <c r="AQ2236" i="2"/>
  <c r="AP2236" i="2"/>
  <c r="AO2236" i="2"/>
  <c r="Z2236" i="2"/>
  <c r="R2236" i="2"/>
  <c r="AH2236" i="2"/>
  <c r="AX2235" i="2"/>
  <c r="AW2235" i="2"/>
  <c r="AV2235" i="2"/>
  <c r="AU2235" i="2"/>
  <c r="AT2235" i="2"/>
  <c r="AR2235" i="2"/>
  <c r="AQ2235" i="2"/>
  <c r="AP2235" i="2"/>
  <c r="AO2235" i="2"/>
  <c r="R2235" i="2"/>
  <c r="Z2235" i="2"/>
  <c r="AH2235" i="2"/>
  <c r="AX2234" i="2"/>
  <c r="AW2234" i="2"/>
  <c r="AV2234" i="2"/>
  <c r="AU2234" i="2"/>
  <c r="AT2234" i="2"/>
  <c r="AR2234" i="2"/>
  <c r="AQ2234" i="2"/>
  <c r="AP2234" i="2"/>
  <c r="AO2234" i="2"/>
  <c r="Z2234" i="2"/>
  <c r="R2234" i="2"/>
  <c r="AX2233" i="2"/>
  <c r="AW2233" i="2"/>
  <c r="AV2233" i="2"/>
  <c r="AU2233" i="2"/>
  <c r="AT2233" i="2"/>
  <c r="AR2233" i="2"/>
  <c r="AQ2233" i="2"/>
  <c r="AP2233" i="2"/>
  <c r="AO2233" i="2"/>
  <c r="Z2233" i="2"/>
  <c r="R2233" i="2"/>
  <c r="AH2233" i="2"/>
  <c r="AX2232" i="2"/>
  <c r="AW2232" i="2"/>
  <c r="AV2232" i="2"/>
  <c r="AU2232" i="2"/>
  <c r="AT2232" i="2"/>
  <c r="AR2232" i="2"/>
  <c r="AQ2232" i="2"/>
  <c r="AP2232" i="2"/>
  <c r="AO2232" i="2"/>
  <c r="R2232" i="2"/>
  <c r="Z2232" i="2"/>
  <c r="AH2232" i="2"/>
  <c r="AX2231" i="2"/>
  <c r="AW2231" i="2"/>
  <c r="AV2231" i="2"/>
  <c r="AU2231" i="2"/>
  <c r="AT2231" i="2"/>
  <c r="AR2231" i="2"/>
  <c r="AQ2231" i="2"/>
  <c r="AP2231" i="2"/>
  <c r="AO2231" i="2"/>
  <c r="R2231" i="2"/>
  <c r="Z2231" i="2"/>
  <c r="AH2231" i="2"/>
  <c r="AX2230" i="2"/>
  <c r="AW2230" i="2"/>
  <c r="AV2230" i="2"/>
  <c r="AU2230" i="2"/>
  <c r="AT2230" i="2"/>
  <c r="AR2230" i="2"/>
  <c r="AQ2230" i="2"/>
  <c r="AP2230" i="2"/>
  <c r="AO2230" i="2"/>
  <c r="Z2230" i="2"/>
  <c r="R2230" i="2"/>
  <c r="AX2229" i="2"/>
  <c r="AW2229" i="2"/>
  <c r="AV2229" i="2"/>
  <c r="AU2229" i="2"/>
  <c r="AT2229" i="2"/>
  <c r="AR2229" i="2"/>
  <c r="AQ2229" i="2"/>
  <c r="AP2229" i="2"/>
  <c r="AO2229" i="2"/>
  <c r="Z2229" i="2"/>
  <c r="Z2228" i="2"/>
  <c r="Z2256" i="2"/>
  <c r="R2229" i="2"/>
  <c r="AX2228" i="2"/>
  <c r="AW2228" i="2"/>
  <c r="AV2228" i="2"/>
  <c r="AU2228" i="2"/>
  <c r="AT2228" i="2"/>
  <c r="AR2228" i="2"/>
  <c r="AQ2228" i="2"/>
  <c r="AP2228" i="2"/>
  <c r="AO2228" i="2"/>
  <c r="R2228" i="2"/>
  <c r="AX2227" i="2"/>
  <c r="AW2227" i="2"/>
  <c r="AV2227" i="2"/>
  <c r="AU2227" i="2"/>
  <c r="AT2227" i="2"/>
  <c r="AR2227" i="2"/>
  <c r="AQ2227" i="2"/>
  <c r="AP2227" i="2"/>
  <c r="AO2227" i="2"/>
  <c r="AH2227" i="2"/>
  <c r="AX2226" i="2"/>
  <c r="AW2226" i="2"/>
  <c r="AV2226" i="2"/>
  <c r="AU2226" i="2"/>
  <c r="AT2226" i="2"/>
  <c r="AR2226" i="2"/>
  <c r="AQ2226" i="2"/>
  <c r="AP2226" i="2"/>
  <c r="AO2226" i="2"/>
  <c r="AH2226" i="2"/>
  <c r="AX2225" i="2"/>
  <c r="AW2225" i="2"/>
  <c r="AV2225" i="2"/>
  <c r="AU2225" i="2"/>
  <c r="AT2225" i="2"/>
  <c r="AR2225" i="2"/>
  <c r="AQ2225" i="2"/>
  <c r="AP2225" i="2"/>
  <c r="AO2225" i="2"/>
  <c r="AH2225" i="2"/>
  <c r="AX2224" i="2"/>
  <c r="AW2224" i="2"/>
  <c r="AV2224" i="2"/>
  <c r="AU2224" i="2"/>
  <c r="AT2224" i="2"/>
  <c r="AR2224" i="2"/>
  <c r="AQ2224" i="2"/>
  <c r="AQ2254" i="2"/>
  <c r="J2254" i="2"/>
  <c r="AP2224" i="2"/>
  <c r="AO2224" i="2"/>
  <c r="AH2224" i="2"/>
  <c r="I2222" i="2"/>
  <c r="G2222" i="2"/>
  <c r="I2221" i="2"/>
  <c r="G2221" i="2"/>
  <c r="AX2214" i="2"/>
  <c r="AX2215" i="2"/>
  <c r="AX2216" i="2"/>
  <c r="AX2217" i="2"/>
  <c r="AX2218" i="2"/>
  <c r="AX2219" i="2"/>
  <c r="AX2220" i="2"/>
  <c r="AP2214" i="2"/>
  <c r="AP2215" i="2"/>
  <c r="AP2216" i="2"/>
  <c r="AP2217" i="2"/>
  <c r="AP2218" i="2"/>
  <c r="AP2219" i="2"/>
  <c r="AP2220" i="2"/>
  <c r="G2220" i="2"/>
  <c r="I2220" i="2"/>
  <c r="AW2219" i="2"/>
  <c r="AV2219" i="2"/>
  <c r="AU2219" i="2"/>
  <c r="AT2219" i="2"/>
  <c r="AS2219" i="2"/>
  <c r="AR2219" i="2"/>
  <c r="AQ2219" i="2"/>
  <c r="AO2219" i="2"/>
  <c r="T2219" i="2"/>
  <c r="AW2218" i="2"/>
  <c r="AV2218" i="2"/>
  <c r="AU2218" i="2"/>
  <c r="AT2218" i="2"/>
  <c r="AS2218" i="2"/>
  <c r="AR2218" i="2"/>
  <c r="AQ2218" i="2"/>
  <c r="AO2218" i="2"/>
  <c r="T2218" i="2"/>
  <c r="AW2217" i="2"/>
  <c r="AV2217" i="2"/>
  <c r="AU2217" i="2"/>
  <c r="AT2217" i="2"/>
  <c r="AS2217" i="2"/>
  <c r="AR2217" i="2"/>
  <c r="AQ2217" i="2"/>
  <c r="AO2217" i="2"/>
  <c r="T2217" i="2"/>
  <c r="AW2216" i="2"/>
  <c r="AV2216" i="2"/>
  <c r="AU2216" i="2"/>
  <c r="AT2216" i="2"/>
  <c r="AS2216" i="2"/>
  <c r="AR2216" i="2"/>
  <c r="AQ2216" i="2"/>
  <c r="AO2216" i="2"/>
  <c r="T2216" i="2"/>
  <c r="AW2215" i="2"/>
  <c r="AV2215" i="2"/>
  <c r="AU2215" i="2"/>
  <c r="AT2215" i="2"/>
  <c r="AS2215" i="2"/>
  <c r="AR2215" i="2"/>
  <c r="AQ2215" i="2"/>
  <c r="AO2215" i="2"/>
  <c r="T2215" i="2"/>
  <c r="AW2214" i="2"/>
  <c r="AV2214" i="2"/>
  <c r="AU2214" i="2"/>
  <c r="AT2214" i="2"/>
  <c r="AT2220" i="2"/>
  <c r="AS2214" i="2"/>
  <c r="AR2214" i="2"/>
  <c r="AQ2214" i="2"/>
  <c r="AQ2220" i="2"/>
  <c r="AO2214" i="2"/>
  <c r="T2214" i="2"/>
  <c r="T2220" i="2"/>
  <c r="AM2211" i="2"/>
  <c r="AF2211" i="2"/>
  <c r="AE2211" i="2"/>
  <c r="AC2211" i="2"/>
  <c r="S2211" i="2"/>
  <c r="R2211" i="2"/>
  <c r="H2211" i="2"/>
  <c r="G2211" i="2"/>
  <c r="AM2210" i="2"/>
  <c r="AH2190" i="2"/>
  <c r="AH2191" i="2"/>
  <c r="AH2192" i="2"/>
  <c r="AH2193" i="2"/>
  <c r="AH2194" i="2"/>
  <c r="AH2195" i="2"/>
  <c r="AH2196" i="2"/>
  <c r="AH2197" i="2"/>
  <c r="AH2198" i="2"/>
  <c r="AH2199" i="2"/>
  <c r="AH2200" i="2"/>
  <c r="AH2201" i="2"/>
  <c r="AH2202" i="2"/>
  <c r="AH2203" i="2"/>
  <c r="AH2204" i="2"/>
  <c r="AH2205" i="2"/>
  <c r="AH2206" i="2"/>
  <c r="AH2207" i="2"/>
  <c r="AH2208" i="2"/>
  <c r="AH2210" i="2"/>
  <c r="AF2210" i="2"/>
  <c r="AE2210" i="2"/>
  <c r="AC2210" i="2"/>
  <c r="S2210" i="2"/>
  <c r="R2210" i="2"/>
  <c r="H2210" i="2"/>
  <c r="G2210" i="2"/>
  <c r="AR2190" i="2"/>
  <c r="AR2191" i="2"/>
  <c r="AR2192" i="2"/>
  <c r="AR2193" i="2"/>
  <c r="AR2194" i="2"/>
  <c r="AR2195" i="2"/>
  <c r="AR2196" i="2"/>
  <c r="AR2197" i="2"/>
  <c r="AR2198" i="2"/>
  <c r="AR2199" i="2"/>
  <c r="AR2200" i="2"/>
  <c r="AR2201" i="2"/>
  <c r="AR2202" i="2"/>
  <c r="AR2203" i="2"/>
  <c r="AR2204" i="2"/>
  <c r="AR2205" i="2"/>
  <c r="AR2206" i="2"/>
  <c r="AR2207" i="2"/>
  <c r="AR2208" i="2"/>
  <c r="AR2209" i="2"/>
  <c r="AO2190" i="2"/>
  <c r="AO2191" i="2"/>
  <c r="AO2192" i="2"/>
  <c r="AO2193" i="2"/>
  <c r="AO2194" i="2"/>
  <c r="AO2195" i="2"/>
  <c r="AO2196" i="2"/>
  <c r="AO2197" i="2"/>
  <c r="AO2198" i="2"/>
  <c r="AO2199" i="2"/>
  <c r="AO2200" i="2"/>
  <c r="AO2201" i="2"/>
  <c r="AO2202" i="2"/>
  <c r="AO2203" i="2"/>
  <c r="AO2204" i="2"/>
  <c r="AO2205" i="2"/>
  <c r="AO2206" i="2"/>
  <c r="AO2207" i="2"/>
  <c r="AO2208" i="2"/>
  <c r="AO2209" i="2"/>
  <c r="H2209" i="2"/>
  <c r="AM2209" i="2"/>
  <c r="AF2209" i="2"/>
  <c r="AE2209" i="2"/>
  <c r="AC2209" i="2"/>
  <c r="S2209" i="2"/>
  <c r="R2209" i="2"/>
  <c r="G2209" i="2"/>
  <c r="E2209" i="2"/>
  <c r="AX2208" i="2"/>
  <c r="AW2208" i="2"/>
  <c r="AV2208" i="2"/>
  <c r="AU2208" i="2"/>
  <c r="AT2208" i="2"/>
  <c r="AS2208" i="2"/>
  <c r="AQ2208" i="2"/>
  <c r="T2208" i="2"/>
  <c r="I2208" i="2"/>
  <c r="AP2208" i="2"/>
  <c r="AX2207" i="2"/>
  <c r="AW2207" i="2"/>
  <c r="AV2207" i="2"/>
  <c r="AU2207" i="2"/>
  <c r="AT2207" i="2"/>
  <c r="AS2207" i="2"/>
  <c r="AQ2207" i="2"/>
  <c r="T2207" i="2"/>
  <c r="I2207" i="2"/>
  <c r="AX2206" i="2"/>
  <c r="AW2206" i="2"/>
  <c r="AV2206" i="2"/>
  <c r="AU2206" i="2"/>
  <c r="AT2206" i="2"/>
  <c r="AS2206" i="2"/>
  <c r="AQ2206" i="2"/>
  <c r="AP2206" i="2"/>
  <c r="T2206" i="2"/>
  <c r="AX2205" i="2"/>
  <c r="AW2205" i="2"/>
  <c r="AV2205" i="2"/>
  <c r="AU2205" i="2"/>
  <c r="AT2205" i="2"/>
  <c r="AS2205" i="2"/>
  <c r="AQ2205" i="2"/>
  <c r="AP2205" i="2"/>
  <c r="T2205" i="2"/>
  <c r="AX2204" i="2"/>
  <c r="AW2204" i="2"/>
  <c r="AV2204" i="2"/>
  <c r="AU2204" i="2"/>
  <c r="AT2204" i="2"/>
  <c r="AS2204" i="2"/>
  <c r="AQ2204" i="2"/>
  <c r="AP2204" i="2"/>
  <c r="T2204" i="2"/>
  <c r="AX2203" i="2"/>
  <c r="AW2203" i="2"/>
  <c r="AV2203" i="2"/>
  <c r="AU2203" i="2"/>
  <c r="AT2203" i="2"/>
  <c r="AS2203" i="2"/>
  <c r="AQ2203" i="2"/>
  <c r="AP2203" i="2"/>
  <c r="T2203" i="2"/>
  <c r="AX2202" i="2"/>
  <c r="AW2202" i="2"/>
  <c r="AV2202" i="2"/>
  <c r="AU2202" i="2"/>
  <c r="AT2202" i="2"/>
  <c r="AS2202" i="2"/>
  <c r="AQ2202" i="2"/>
  <c r="AP2202" i="2"/>
  <c r="T2202" i="2"/>
  <c r="AX2201" i="2"/>
  <c r="AW2201" i="2"/>
  <c r="AV2201" i="2"/>
  <c r="AU2201" i="2"/>
  <c r="AT2201" i="2"/>
  <c r="AS2201" i="2"/>
  <c r="AQ2201" i="2"/>
  <c r="AP2201" i="2"/>
  <c r="T2201" i="2"/>
  <c r="AX2200" i="2"/>
  <c r="AW2200" i="2"/>
  <c r="AV2200" i="2"/>
  <c r="AU2200" i="2"/>
  <c r="AT2200" i="2"/>
  <c r="AS2200" i="2"/>
  <c r="AQ2200" i="2"/>
  <c r="AP2200" i="2"/>
  <c r="T2200" i="2"/>
  <c r="AX2199" i="2"/>
  <c r="AW2199" i="2"/>
  <c r="AV2199" i="2"/>
  <c r="AU2199" i="2"/>
  <c r="AT2199" i="2"/>
  <c r="AS2199" i="2"/>
  <c r="AQ2199" i="2"/>
  <c r="AP2199" i="2"/>
  <c r="T2199" i="2"/>
  <c r="AX2198" i="2"/>
  <c r="AW2198" i="2"/>
  <c r="AV2198" i="2"/>
  <c r="AU2198" i="2"/>
  <c r="AT2198" i="2"/>
  <c r="AS2198" i="2"/>
  <c r="AQ2198" i="2"/>
  <c r="AP2198" i="2"/>
  <c r="T2198" i="2"/>
  <c r="AX2197" i="2"/>
  <c r="AW2197" i="2"/>
  <c r="AV2197" i="2"/>
  <c r="AU2197" i="2"/>
  <c r="AT2197" i="2"/>
  <c r="AS2197" i="2"/>
  <c r="AQ2197" i="2"/>
  <c r="AP2197" i="2"/>
  <c r="T2197" i="2"/>
  <c r="AX2196" i="2"/>
  <c r="AW2196" i="2"/>
  <c r="AV2196" i="2"/>
  <c r="AU2196" i="2"/>
  <c r="AT2196" i="2"/>
  <c r="AS2196" i="2"/>
  <c r="AQ2196" i="2"/>
  <c r="AP2196" i="2"/>
  <c r="T2196" i="2"/>
  <c r="AX2195" i="2"/>
  <c r="AW2195" i="2"/>
  <c r="AV2195" i="2"/>
  <c r="AU2195" i="2"/>
  <c r="AT2195" i="2"/>
  <c r="AS2195" i="2"/>
  <c r="AQ2195" i="2"/>
  <c r="AP2195" i="2"/>
  <c r="T2195" i="2"/>
  <c r="AX2194" i="2"/>
  <c r="AW2194" i="2"/>
  <c r="AV2194" i="2"/>
  <c r="AU2194" i="2"/>
  <c r="AT2194" i="2"/>
  <c r="AS2194" i="2"/>
  <c r="AQ2194" i="2"/>
  <c r="AP2194" i="2"/>
  <c r="T2194" i="2"/>
  <c r="AX2193" i="2"/>
  <c r="AW2193" i="2"/>
  <c r="AV2193" i="2"/>
  <c r="AU2193" i="2"/>
  <c r="AT2193" i="2"/>
  <c r="AS2193" i="2"/>
  <c r="AQ2193" i="2"/>
  <c r="AP2193" i="2"/>
  <c r="T2193" i="2"/>
  <c r="AX2192" i="2"/>
  <c r="AW2192" i="2"/>
  <c r="AV2192" i="2"/>
  <c r="AU2192" i="2"/>
  <c r="AT2192" i="2"/>
  <c r="AS2192" i="2"/>
  <c r="AQ2192" i="2"/>
  <c r="AP2192" i="2"/>
  <c r="T2192" i="2"/>
  <c r="AX2191" i="2"/>
  <c r="AW2191" i="2"/>
  <c r="AV2191" i="2"/>
  <c r="AU2191" i="2"/>
  <c r="AU2190" i="2"/>
  <c r="AU2209" i="2"/>
  <c r="AT2191" i="2"/>
  <c r="AS2191" i="2"/>
  <c r="AS2190" i="2"/>
  <c r="AS2209" i="2"/>
  <c r="AQ2191" i="2"/>
  <c r="AP2191" i="2"/>
  <c r="AH2211" i="2"/>
  <c r="T2191" i="2"/>
  <c r="AX2190" i="2"/>
  <c r="AW2190" i="2"/>
  <c r="AW2209" i="2"/>
  <c r="AV2190" i="2"/>
  <c r="AV2209" i="2"/>
  <c r="AT2190" i="2"/>
  <c r="AQ2190" i="2"/>
  <c r="AQ2209" i="2"/>
  <c r="AP2190" i="2"/>
  <c r="AH2209" i="2"/>
  <c r="T2190" i="2"/>
  <c r="AM2187" i="2"/>
  <c r="U2187" i="2"/>
  <c r="T2187" i="2"/>
  <c r="S2187" i="2"/>
  <c r="R2187" i="2"/>
  <c r="J2187" i="2"/>
  <c r="I2187" i="2"/>
  <c r="H2187" i="2"/>
  <c r="G2187" i="2"/>
  <c r="AM2186" i="2"/>
  <c r="AH2181" i="2"/>
  <c r="AH2182" i="2"/>
  <c r="AH2183" i="2"/>
  <c r="AH2184" i="2"/>
  <c r="AH2186" i="2"/>
  <c r="U2186" i="2"/>
  <c r="T2186" i="2"/>
  <c r="S2186" i="2"/>
  <c r="R2186" i="2"/>
  <c r="J2186" i="2"/>
  <c r="I2186" i="2"/>
  <c r="H2186" i="2"/>
  <c r="G2186" i="2"/>
  <c r="AV2181" i="2"/>
  <c r="AV2182" i="2"/>
  <c r="AV2183" i="2"/>
  <c r="AV2184" i="2"/>
  <c r="AV2185" i="2"/>
  <c r="AM2185" i="2"/>
  <c r="U2185" i="2"/>
  <c r="T2185" i="2"/>
  <c r="S2185" i="2"/>
  <c r="R2185" i="2"/>
  <c r="G2185" i="2"/>
  <c r="AX2184" i="2"/>
  <c r="AW2184" i="2"/>
  <c r="AW2181" i="2"/>
  <c r="AW2182" i="2"/>
  <c r="AW2183" i="2"/>
  <c r="AW2185" i="2"/>
  <c r="AU2184" i="2"/>
  <c r="AT2184" i="2"/>
  <c r="AS2184" i="2"/>
  <c r="AS2181" i="2"/>
  <c r="AS2182" i="2"/>
  <c r="AS2183" i="2"/>
  <c r="AS2185" i="2"/>
  <c r="AR2184" i="2"/>
  <c r="AQ2184" i="2"/>
  <c r="AQ2181" i="2"/>
  <c r="AQ2182" i="2"/>
  <c r="AQ2183" i="2"/>
  <c r="AQ2185" i="2"/>
  <c r="J2185" i="2"/>
  <c r="AP2184" i="2"/>
  <c r="AO2184" i="2"/>
  <c r="AO2181" i="2"/>
  <c r="AO2182" i="2"/>
  <c r="AO2183" i="2"/>
  <c r="AO2185" i="2"/>
  <c r="H2185" i="2"/>
  <c r="AH2185" i="2"/>
  <c r="AX2183" i="2"/>
  <c r="AU2183" i="2"/>
  <c r="AT2183" i="2"/>
  <c r="AR2183" i="2"/>
  <c r="AP2183" i="2"/>
  <c r="AH2187" i="2"/>
  <c r="AX2182" i="2"/>
  <c r="AU2182" i="2"/>
  <c r="AU2181" i="2"/>
  <c r="AU2185" i="2"/>
  <c r="AT2182" i="2"/>
  <c r="AR2182" i="2"/>
  <c r="AP2182" i="2"/>
  <c r="AX2181" i="2"/>
  <c r="AT2181" i="2"/>
  <c r="AR2181" i="2"/>
  <c r="AP2181" i="2"/>
  <c r="T2179" i="2"/>
  <c r="S2179" i="2"/>
  <c r="I2179" i="2"/>
  <c r="H2179" i="2"/>
  <c r="G2168" i="2"/>
  <c r="G2169" i="2"/>
  <c r="G2170" i="2"/>
  <c r="G2171" i="2"/>
  <c r="G2172" i="2"/>
  <c r="G2173" i="2"/>
  <c r="G2175" i="2"/>
  <c r="G2176" i="2"/>
  <c r="G2179" i="2"/>
  <c r="T2178" i="2"/>
  <c r="S2178" i="2"/>
  <c r="I2178" i="2"/>
  <c r="H2178" i="2"/>
  <c r="G2178" i="2"/>
  <c r="T2177" i="2"/>
  <c r="S2177" i="2"/>
  <c r="AX2176" i="2"/>
  <c r="AU2176" i="2"/>
  <c r="AT2176" i="2"/>
  <c r="AR2176" i="2"/>
  <c r="AQ2176" i="2"/>
  <c r="AP2176" i="2"/>
  <c r="R2176" i="2"/>
  <c r="AH2176" i="2"/>
  <c r="AW2175" i="2"/>
  <c r="AV2175" i="2"/>
  <c r="AU2175" i="2"/>
  <c r="AS2175" i="2"/>
  <c r="AR2175" i="2"/>
  <c r="AQ2175" i="2"/>
  <c r="AO2175" i="2"/>
  <c r="R2175" i="2"/>
  <c r="AH2175" i="2"/>
  <c r="AT2175" i="2"/>
  <c r="AX2174" i="2"/>
  <c r="AW2174" i="2"/>
  <c r="AV2174" i="2"/>
  <c r="AU2174" i="2"/>
  <c r="AT2174" i="2"/>
  <c r="AS2174" i="2"/>
  <c r="AR2174" i="2"/>
  <c r="AQ2174" i="2"/>
  <c r="AP2174" i="2"/>
  <c r="AO2174" i="2"/>
  <c r="AH2174" i="2"/>
  <c r="AW2173" i="2"/>
  <c r="AV2173" i="2"/>
  <c r="AU2173" i="2"/>
  <c r="AS2173" i="2"/>
  <c r="AR2173" i="2"/>
  <c r="AQ2173" i="2"/>
  <c r="AO2173" i="2"/>
  <c r="R2173" i="2"/>
  <c r="AH2173" i="2"/>
  <c r="AT2173" i="2"/>
  <c r="AW2172" i="2"/>
  <c r="AP2172" i="2"/>
  <c r="AO2172" i="2"/>
  <c r="AM2172" i="2"/>
  <c r="R2172" i="2"/>
  <c r="AT2172" i="2"/>
  <c r="AX2171" i="2"/>
  <c r="AV2171" i="2"/>
  <c r="AU2171" i="2"/>
  <c r="AT2171" i="2"/>
  <c r="AR2171" i="2"/>
  <c r="AQ2171" i="2"/>
  <c r="AP2171" i="2"/>
  <c r="AO2171" i="2"/>
  <c r="AM2171" i="2"/>
  <c r="R2171" i="2"/>
  <c r="AH2171" i="2"/>
  <c r="AW2171" i="2"/>
  <c r="AX2170" i="2"/>
  <c r="AV2170" i="2"/>
  <c r="AO2170" i="2"/>
  <c r="AM2170" i="2"/>
  <c r="AM2169" i="2"/>
  <c r="AM2177" i="2"/>
  <c r="R2170" i="2"/>
  <c r="AS2170" i="2"/>
  <c r="AX2169" i="2"/>
  <c r="AW2169" i="2"/>
  <c r="AV2169" i="2"/>
  <c r="AU2169" i="2"/>
  <c r="AT2169" i="2"/>
  <c r="AR2169" i="2"/>
  <c r="AQ2169" i="2"/>
  <c r="AP2169" i="2"/>
  <c r="AO2169" i="2"/>
  <c r="R2169" i="2"/>
  <c r="AH2169" i="2"/>
  <c r="AS2169" i="2"/>
  <c r="AX2168" i="2"/>
  <c r="AW2168" i="2"/>
  <c r="AS2168" i="2"/>
  <c r="AR2168" i="2"/>
  <c r="AP2168" i="2"/>
  <c r="AO2168" i="2"/>
  <c r="R2168" i="2"/>
  <c r="AV2168" i="2"/>
  <c r="AX2167" i="2"/>
  <c r="AW2167" i="2"/>
  <c r="AV2167" i="2"/>
  <c r="AU2167" i="2"/>
  <c r="AT2167" i="2"/>
  <c r="AS2167" i="2"/>
  <c r="AR2167" i="2"/>
  <c r="AQ2167" i="2"/>
  <c r="AP2167" i="2"/>
  <c r="AO2167" i="2"/>
  <c r="R2167" i="2"/>
  <c r="AH2167" i="2"/>
  <c r="AX2166" i="2"/>
  <c r="AW2166" i="2"/>
  <c r="AV2166" i="2"/>
  <c r="AU2166" i="2"/>
  <c r="AT2166" i="2"/>
  <c r="AS2166" i="2"/>
  <c r="AR2166" i="2"/>
  <c r="AQ2166" i="2"/>
  <c r="AP2166" i="2"/>
  <c r="AO2166" i="2"/>
  <c r="R2166" i="2"/>
  <c r="AH2166" i="2"/>
  <c r="AX2165" i="2"/>
  <c r="AW2165" i="2"/>
  <c r="AV2165" i="2"/>
  <c r="AU2165" i="2"/>
  <c r="AT2165" i="2"/>
  <c r="AS2165" i="2"/>
  <c r="AR2165" i="2"/>
  <c r="AQ2165" i="2"/>
  <c r="AP2165" i="2"/>
  <c r="AO2165" i="2"/>
  <c r="R2165" i="2"/>
  <c r="AH2165" i="2"/>
  <c r="AX2164" i="2"/>
  <c r="AW2164" i="2"/>
  <c r="AV2164" i="2"/>
  <c r="AU2164" i="2"/>
  <c r="AT2164" i="2"/>
  <c r="AS2164" i="2"/>
  <c r="AR2164" i="2"/>
  <c r="AQ2164" i="2"/>
  <c r="AP2164" i="2"/>
  <c r="AO2164" i="2"/>
  <c r="R2164" i="2"/>
  <c r="AH2164" i="2"/>
  <c r="AX2163" i="2"/>
  <c r="AW2163" i="2"/>
  <c r="AV2163" i="2"/>
  <c r="AU2163" i="2"/>
  <c r="AT2163" i="2"/>
  <c r="AS2163" i="2"/>
  <c r="AR2163" i="2"/>
  <c r="AQ2163" i="2"/>
  <c r="AP2163" i="2"/>
  <c r="AO2163" i="2"/>
  <c r="R2163" i="2"/>
  <c r="AH2163" i="2"/>
  <c r="AX2162" i="2"/>
  <c r="AW2162" i="2"/>
  <c r="AV2162" i="2"/>
  <c r="AU2162" i="2"/>
  <c r="AT2162" i="2"/>
  <c r="AS2162" i="2"/>
  <c r="AR2162" i="2"/>
  <c r="AQ2162" i="2"/>
  <c r="AP2162" i="2"/>
  <c r="AO2162" i="2"/>
  <c r="R2162" i="2"/>
  <c r="AH2162" i="2"/>
  <c r="AX2161" i="2"/>
  <c r="AW2161" i="2"/>
  <c r="AV2161" i="2"/>
  <c r="AU2161" i="2"/>
  <c r="AT2161" i="2"/>
  <c r="AS2161" i="2"/>
  <c r="AR2161" i="2"/>
  <c r="AQ2161" i="2"/>
  <c r="AP2161" i="2"/>
  <c r="AO2161" i="2"/>
  <c r="R2161" i="2"/>
  <c r="AH2161" i="2"/>
  <c r="AX2160" i="2"/>
  <c r="AW2160" i="2"/>
  <c r="AV2160" i="2"/>
  <c r="AU2160" i="2"/>
  <c r="AT2160" i="2"/>
  <c r="AS2160" i="2"/>
  <c r="AR2160" i="2"/>
  <c r="AQ2160" i="2"/>
  <c r="AP2160" i="2"/>
  <c r="AO2160" i="2"/>
  <c r="R2160" i="2"/>
  <c r="AH2160" i="2"/>
  <c r="AX2159" i="2"/>
  <c r="AW2159" i="2"/>
  <c r="AV2159" i="2"/>
  <c r="AU2159" i="2"/>
  <c r="AT2159" i="2"/>
  <c r="AS2159" i="2"/>
  <c r="AR2159" i="2"/>
  <c r="AQ2159" i="2"/>
  <c r="AP2159" i="2"/>
  <c r="AO2159" i="2"/>
  <c r="R2159" i="2"/>
  <c r="AH2159" i="2"/>
  <c r="AX2158" i="2"/>
  <c r="AW2158" i="2"/>
  <c r="AV2158" i="2"/>
  <c r="AU2158" i="2"/>
  <c r="AT2158" i="2"/>
  <c r="AS2158" i="2"/>
  <c r="AR2158" i="2"/>
  <c r="AQ2158" i="2"/>
  <c r="AP2158" i="2"/>
  <c r="AO2158" i="2"/>
  <c r="R2158" i="2"/>
  <c r="AM2156" i="2"/>
  <c r="AH2156" i="2"/>
  <c r="AE2156" i="2"/>
  <c r="U2153" i="2"/>
  <c r="U2156" i="2"/>
  <c r="T2153" i="2"/>
  <c r="T2156" i="2"/>
  <c r="S2156" i="2"/>
  <c r="P2156" i="2"/>
  <c r="J2156" i="2"/>
  <c r="I2156" i="2"/>
  <c r="H2156" i="2"/>
  <c r="G2156" i="2"/>
  <c r="AM2155" i="2"/>
  <c r="AH2155" i="2"/>
  <c r="AE2155" i="2"/>
  <c r="U2155" i="2"/>
  <c r="T2155" i="2"/>
  <c r="S2155" i="2"/>
  <c r="P2155" i="2"/>
  <c r="J2155" i="2"/>
  <c r="I2155" i="2"/>
  <c r="H2155" i="2"/>
  <c r="G2155" i="2"/>
  <c r="AU2126" i="2"/>
  <c r="AU2127" i="2"/>
  <c r="AU2128" i="2"/>
  <c r="AU2129" i="2"/>
  <c r="AU2130" i="2"/>
  <c r="AU2131" i="2"/>
  <c r="AU2132" i="2"/>
  <c r="AU2133" i="2"/>
  <c r="AU2134" i="2"/>
  <c r="AU2135" i="2"/>
  <c r="AU2136" i="2"/>
  <c r="AU2137" i="2"/>
  <c r="AU2138" i="2"/>
  <c r="AU2139" i="2"/>
  <c r="AU2140" i="2"/>
  <c r="AU2141" i="2"/>
  <c r="AU2142" i="2"/>
  <c r="AU2143" i="2"/>
  <c r="AU2144" i="2"/>
  <c r="AU2145" i="2"/>
  <c r="AU2146" i="2"/>
  <c r="AU2147" i="2"/>
  <c r="AU2148" i="2"/>
  <c r="AU2149" i="2"/>
  <c r="AU2150" i="2"/>
  <c r="AU2151" i="2"/>
  <c r="AU2152" i="2"/>
  <c r="AU2153" i="2"/>
  <c r="AU2154" i="2"/>
  <c r="AS2126" i="2"/>
  <c r="AS2127" i="2"/>
  <c r="AS2128" i="2"/>
  <c r="AS2129" i="2"/>
  <c r="AS2130" i="2"/>
  <c r="AS2131" i="2"/>
  <c r="AS2132" i="2"/>
  <c r="AS2133" i="2"/>
  <c r="AS2134" i="2"/>
  <c r="AS2135" i="2"/>
  <c r="AS2136" i="2"/>
  <c r="AS2137" i="2"/>
  <c r="AS2138" i="2"/>
  <c r="AS2139" i="2"/>
  <c r="AS2140" i="2"/>
  <c r="AS2141" i="2"/>
  <c r="AS2142" i="2"/>
  <c r="AS2143" i="2"/>
  <c r="AS2144" i="2"/>
  <c r="AS2145" i="2"/>
  <c r="AS2146" i="2"/>
  <c r="AS2147" i="2"/>
  <c r="AS2148" i="2"/>
  <c r="AS2149" i="2"/>
  <c r="AS2150" i="2"/>
  <c r="AS2151" i="2"/>
  <c r="AS2152" i="2"/>
  <c r="AS2153" i="2"/>
  <c r="AS2154" i="2"/>
  <c r="AM2154" i="2"/>
  <c r="AH2154" i="2"/>
  <c r="AE2154" i="2"/>
  <c r="U2154" i="2"/>
  <c r="T2154" i="2"/>
  <c r="S2154" i="2"/>
  <c r="G2154" i="2"/>
  <c r="AX2153" i="2"/>
  <c r="AW2153" i="2"/>
  <c r="AW2126" i="2"/>
  <c r="AW2127" i="2"/>
  <c r="AW2128" i="2"/>
  <c r="AW2129" i="2"/>
  <c r="AW2130" i="2"/>
  <c r="AW2131" i="2"/>
  <c r="AW2132" i="2"/>
  <c r="AW2133" i="2"/>
  <c r="AW2134" i="2"/>
  <c r="AW2135" i="2"/>
  <c r="AW2136" i="2"/>
  <c r="AW2137" i="2"/>
  <c r="AW2138" i="2"/>
  <c r="AW2139" i="2"/>
  <c r="AW2140" i="2"/>
  <c r="AW2141" i="2"/>
  <c r="AW2142" i="2"/>
  <c r="AW2143" i="2"/>
  <c r="AW2144" i="2"/>
  <c r="AW2145" i="2"/>
  <c r="AW2146" i="2"/>
  <c r="AW2147" i="2"/>
  <c r="AW2148" i="2"/>
  <c r="AW2149" i="2"/>
  <c r="AW2150" i="2"/>
  <c r="AW2151" i="2"/>
  <c r="AW2152" i="2"/>
  <c r="AW2154" i="2"/>
  <c r="P2154" i="2"/>
  <c r="AV2153" i="2"/>
  <c r="AT2153" i="2"/>
  <c r="AR2153" i="2"/>
  <c r="AQ2153" i="2"/>
  <c r="AP2153" i="2"/>
  <c r="AO2153" i="2"/>
  <c r="AO2126" i="2"/>
  <c r="AO2127" i="2"/>
  <c r="AO2128" i="2"/>
  <c r="AO2129" i="2"/>
  <c r="AO2130" i="2"/>
  <c r="AO2131" i="2"/>
  <c r="AO2132" i="2"/>
  <c r="AO2133" i="2"/>
  <c r="AO2134" i="2"/>
  <c r="AO2135" i="2"/>
  <c r="AO2136" i="2"/>
  <c r="AO2137" i="2"/>
  <c r="AO2138" i="2"/>
  <c r="AO2139" i="2"/>
  <c r="AO2140" i="2"/>
  <c r="AO2141" i="2"/>
  <c r="AO2142" i="2"/>
  <c r="AO2143" i="2"/>
  <c r="AO2144" i="2"/>
  <c r="AO2145" i="2"/>
  <c r="AO2146" i="2"/>
  <c r="AO2147" i="2"/>
  <c r="AO2148" i="2"/>
  <c r="AO2149" i="2"/>
  <c r="AO2150" i="2"/>
  <c r="AO2151" i="2"/>
  <c r="AO2152" i="2"/>
  <c r="AO2154" i="2"/>
  <c r="H2154" i="2"/>
  <c r="AX2152" i="2"/>
  <c r="AV2152" i="2"/>
  <c r="AT2152" i="2"/>
  <c r="AR2152" i="2"/>
  <c r="AQ2152" i="2"/>
  <c r="AP2152" i="2"/>
  <c r="AX2151" i="2"/>
  <c r="AV2151" i="2"/>
  <c r="AT2151" i="2"/>
  <c r="AR2151" i="2"/>
  <c r="AQ2151" i="2"/>
  <c r="AP2151" i="2"/>
  <c r="AX2150" i="2"/>
  <c r="AV2150" i="2"/>
  <c r="AT2150" i="2"/>
  <c r="AR2150" i="2"/>
  <c r="AQ2150" i="2"/>
  <c r="AP2150" i="2"/>
  <c r="AX2149" i="2"/>
  <c r="AV2149" i="2"/>
  <c r="AT2149" i="2"/>
  <c r="AR2149" i="2"/>
  <c r="AQ2149" i="2"/>
  <c r="AP2149" i="2"/>
  <c r="AX2148" i="2"/>
  <c r="AV2148" i="2"/>
  <c r="AT2148" i="2"/>
  <c r="AR2148" i="2"/>
  <c r="AQ2148" i="2"/>
  <c r="AP2148" i="2"/>
  <c r="AX2147" i="2"/>
  <c r="AV2147" i="2"/>
  <c r="AT2147" i="2"/>
  <c r="AR2147" i="2"/>
  <c r="AQ2147" i="2"/>
  <c r="AP2147" i="2"/>
  <c r="AX2146" i="2"/>
  <c r="AV2146" i="2"/>
  <c r="AT2146" i="2"/>
  <c r="AR2146" i="2"/>
  <c r="AQ2146" i="2"/>
  <c r="AP2146" i="2"/>
  <c r="AX2145" i="2"/>
  <c r="AV2145" i="2"/>
  <c r="AT2145" i="2"/>
  <c r="AR2145" i="2"/>
  <c r="AQ2145" i="2"/>
  <c r="AP2145" i="2"/>
  <c r="AX2144" i="2"/>
  <c r="AV2144" i="2"/>
  <c r="AT2144" i="2"/>
  <c r="AR2144" i="2"/>
  <c r="AQ2144" i="2"/>
  <c r="AP2144" i="2"/>
  <c r="AX2143" i="2"/>
  <c r="AV2143" i="2"/>
  <c r="AT2143" i="2"/>
  <c r="AR2143" i="2"/>
  <c r="AQ2143" i="2"/>
  <c r="AP2143" i="2"/>
  <c r="AX2142" i="2"/>
  <c r="AV2142" i="2"/>
  <c r="AT2142" i="2"/>
  <c r="AR2142" i="2"/>
  <c r="AQ2142" i="2"/>
  <c r="AP2142" i="2"/>
  <c r="AX2141" i="2"/>
  <c r="AV2141" i="2"/>
  <c r="AT2141" i="2"/>
  <c r="AR2141" i="2"/>
  <c r="AQ2141" i="2"/>
  <c r="AP2141" i="2"/>
  <c r="AX2140" i="2"/>
  <c r="AV2140" i="2"/>
  <c r="AT2140" i="2"/>
  <c r="AR2140" i="2"/>
  <c r="AQ2140" i="2"/>
  <c r="AP2140" i="2"/>
  <c r="AX2139" i="2"/>
  <c r="AV2139" i="2"/>
  <c r="AT2139" i="2"/>
  <c r="AR2139" i="2"/>
  <c r="AQ2139" i="2"/>
  <c r="AP2139" i="2"/>
  <c r="AX2138" i="2"/>
  <c r="AV2138" i="2"/>
  <c r="AT2138" i="2"/>
  <c r="AR2138" i="2"/>
  <c r="AQ2138" i="2"/>
  <c r="AP2138" i="2"/>
  <c r="AX2137" i="2"/>
  <c r="AV2137" i="2"/>
  <c r="AT2137" i="2"/>
  <c r="AR2137" i="2"/>
  <c r="AQ2137" i="2"/>
  <c r="AP2137" i="2"/>
  <c r="AX2136" i="2"/>
  <c r="AV2136" i="2"/>
  <c r="AT2136" i="2"/>
  <c r="AR2136" i="2"/>
  <c r="AQ2136" i="2"/>
  <c r="AP2136" i="2"/>
  <c r="AX2135" i="2"/>
  <c r="AV2135" i="2"/>
  <c r="AT2135" i="2"/>
  <c r="AR2135" i="2"/>
  <c r="AQ2135" i="2"/>
  <c r="AP2135" i="2"/>
  <c r="AX2134" i="2"/>
  <c r="AV2134" i="2"/>
  <c r="AT2134" i="2"/>
  <c r="AR2134" i="2"/>
  <c r="AQ2134" i="2"/>
  <c r="AP2134" i="2"/>
  <c r="AX2133" i="2"/>
  <c r="AV2133" i="2"/>
  <c r="AT2133" i="2"/>
  <c r="AR2133" i="2"/>
  <c r="AQ2133" i="2"/>
  <c r="AP2133" i="2"/>
  <c r="AX2132" i="2"/>
  <c r="AV2132" i="2"/>
  <c r="AT2132" i="2"/>
  <c r="AR2132" i="2"/>
  <c r="AQ2132" i="2"/>
  <c r="AP2132" i="2"/>
  <c r="AX2131" i="2"/>
  <c r="AV2131" i="2"/>
  <c r="AT2131" i="2"/>
  <c r="AR2131" i="2"/>
  <c r="AQ2131" i="2"/>
  <c r="AP2131" i="2"/>
  <c r="AX2130" i="2"/>
  <c r="AV2130" i="2"/>
  <c r="AT2130" i="2"/>
  <c r="AR2130" i="2"/>
  <c r="AQ2130" i="2"/>
  <c r="AP2130" i="2"/>
  <c r="AX2129" i="2"/>
  <c r="AV2129" i="2"/>
  <c r="AT2129" i="2"/>
  <c r="AR2129" i="2"/>
  <c r="AQ2129" i="2"/>
  <c r="AP2129" i="2"/>
  <c r="AX2128" i="2"/>
  <c r="AV2128" i="2"/>
  <c r="AT2128" i="2"/>
  <c r="AR2128" i="2"/>
  <c r="AQ2128" i="2"/>
  <c r="AP2128" i="2"/>
  <c r="AX2127" i="2"/>
  <c r="AV2127" i="2"/>
  <c r="AV2126" i="2"/>
  <c r="AV2154" i="2"/>
  <c r="AT2127" i="2"/>
  <c r="AR2127" i="2"/>
  <c r="AQ2127" i="2"/>
  <c r="AP2127" i="2"/>
  <c r="AX2126" i="2"/>
  <c r="AT2126" i="2"/>
  <c r="AR2126" i="2"/>
  <c r="AQ2126" i="2"/>
  <c r="AQ2154" i="2"/>
  <c r="J2154" i="2"/>
  <c r="AP2126" i="2"/>
  <c r="AM2124" i="2"/>
  <c r="AH2124" i="2"/>
  <c r="U2124" i="2"/>
  <c r="T2124" i="2"/>
  <c r="S2124" i="2"/>
  <c r="R2124" i="2"/>
  <c r="J2124" i="2"/>
  <c r="I2124" i="2"/>
  <c r="H2124" i="2"/>
  <c r="G2124" i="2"/>
  <c r="AM2123" i="2"/>
  <c r="AH2123" i="2"/>
  <c r="U2123" i="2"/>
  <c r="T2123" i="2"/>
  <c r="S2123" i="2"/>
  <c r="R2123" i="2"/>
  <c r="J2123" i="2"/>
  <c r="I2123" i="2"/>
  <c r="H2123" i="2"/>
  <c r="G2123" i="2"/>
  <c r="AP2089" i="2"/>
  <c r="AP2090" i="2"/>
  <c r="AP2091" i="2"/>
  <c r="AP2092" i="2"/>
  <c r="AP2093" i="2"/>
  <c r="AP2094" i="2"/>
  <c r="AP2095" i="2"/>
  <c r="AP2096" i="2"/>
  <c r="AP2097" i="2"/>
  <c r="AP2098" i="2"/>
  <c r="AP2099" i="2"/>
  <c r="AP2100" i="2"/>
  <c r="AP2101" i="2"/>
  <c r="AP2102" i="2"/>
  <c r="AP2103" i="2"/>
  <c r="AP2104" i="2"/>
  <c r="AP2105" i="2"/>
  <c r="AP2106" i="2"/>
  <c r="AP2107" i="2"/>
  <c r="AP2108" i="2"/>
  <c r="AP2109" i="2"/>
  <c r="AP2110" i="2"/>
  <c r="AP2111" i="2"/>
  <c r="AP2112" i="2"/>
  <c r="AP2113" i="2"/>
  <c r="AP2114" i="2"/>
  <c r="AP2115" i="2"/>
  <c r="AP2116" i="2"/>
  <c r="AP2117" i="2"/>
  <c r="AP2118" i="2"/>
  <c r="AP2122" i="2"/>
  <c r="I2122" i="2"/>
  <c r="AM2122" i="2"/>
  <c r="AH2122" i="2"/>
  <c r="U2122" i="2"/>
  <c r="T2122" i="2"/>
  <c r="S2122" i="2"/>
  <c r="R2122" i="2"/>
  <c r="G2122" i="2"/>
  <c r="AX2121" i="2"/>
  <c r="AW2121" i="2"/>
  <c r="AV2121" i="2"/>
  <c r="AU2121" i="2"/>
  <c r="AT2121" i="2"/>
  <c r="AS2121" i="2"/>
  <c r="AR2121" i="2"/>
  <c r="AQ2121" i="2"/>
  <c r="AP2121" i="2"/>
  <c r="AO2121" i="2"/>
  <c r="AX2120" i="2"/>
  <c r="AW2120" i="2"/>
  <c r="AV2120" i="2"/>
  <c r="AU2120" i="2"/>
  <c r="AT2120" i="2"/>
  <c r="AS2120" i="2"/>
  <c r="AR2120" i="2"/>
  <c r="AQ2120" i="2"/>
  <c r="AP2120" i="2"/>
  <c r="AO2120" i="2"/>
  <c r="AX2119" i="2"/>
  <c r="AW2119" i="2"/>
  <c r="AV2119" i="2"/>
  <c r="AU2119" i="2"/>
  <c r="AT2119" i="2"/>
  <c r="AS2119" i="2"/>
  <c r="AR2119" i="2"/>
  <c r="AQ2119" i="2"/>
  <c r="AP2119" i="2"/>
  <c r="AO2119" i="2"/>
  <c r="AX2118" i="2"/>
  <c r="AW2118" i="2"/>
  <c r="AW2089" i="2"/>
  <c r="AW2090" i="2"/>
  <c r="AW2091" i="2"/>
  <c r="AW2092" i="2"/>
  <c r="AW2093" i="2"/>
  <c r="AW2094" i="2"/>
  <c r="AW2095" i="2"/>
  <c r="AW2096" i="2"/>
  <c r="AW2097" i="2"/>
  <c r="AW2098" i="2"/>
  <c r="AW2099" i="2"/>
  <c r="AW2100" i="2"/>
  <c r="AW2101" i="2"/>
  <c r="AW2102" i="2"/>
  <c r="AW2103" i="2"/>
  <c r="AW2104" i="2"/>
  <c r="AW2105" i="2"/>
  <c r="AW2106" i="2"/>
  <c r="AW2107" i="2"/>
  <c r="AW2108" i="2"/>
  <c r="AW2109" i="2"/>
  <c r="AW2110" i="2"/>
  <c r="AW2111" i="2"/>
  <c r="AW2112" i="2"/>
  <c r="AW2113" i="2"/>
  <c r="AW2114" i="2"/>
  <c r="AW2115" i="2"/>
  <c r="AW2116" i="2"/>
  <c r="AW2117" i="2"/>
  <c r="AW2122" i="2"/>
  <c r="AV2118" i="2"/>
  <c r="AU2118" i="2"/>
  <c r="AT2118" i="2"/>
  <c r="AS2118" i="2"/>
  <c r="AS2089" i="2"/>
  <c r="AS2090" i="2"/>
  <c r="AS2091" i="2"/>
  <c r="AS2092" i="2"/>
  <c r="AS2093" i="2"/>
  <c r="AS2094" i="2"/>
  <c r="AS2095" i="2"/>
  <c r="AS2096" i="2"/>
  <c r="AS2097" i="2"/>
  <c r="AS2098" i="2"/>
  <c r="AS2099" i="2"/>
  <c r="AS2100" i="2"/>
  <c r="AS2101" i="2"/>
  <c r="AS2102" i="2"/>
  <c r="AS2103" i="2"/>
  <c r="AS2104" i="2"/>
  <c r="AS2105" i="2"/>
  <c r="AS2106" i="2"/>
  <c r="AS2107" i="2"/>
  <c r="AS2108" i="2"/>
  <c r="AS2109" i="2"/>
  <c r="AS2110" i="2"/>
  <c r="AS2111" i="2"/>
  <c r="AS2112" i="2"/>
  <c r="AS2113" i="2"/>
  <c r="AS2114" i="2"/>
  <c r="AS2115" i="2"/>
  <c r="AS2116" i="2"/>
  <c r="AS2117" i="2"/>
  <c r="AS2122" i="2"/>
  <c r="AR2118" i="2"/>
  <c r="AQ2118" i="2"/>
  <c r="AO2118" i="2"/>
  <c r="AO2089" i="2"/>
  <c r="AO2090" i="2"/>
  <c r="AO2091" i="2"/>
  <c r="AO2092" i="2"/>
  <c r="AO2093" i="2"/>
  <c r="AO2094" i="2"/>
  <c r="AO2095" i="2"/>
  <c r="AO2096" i="2"/>
  <c r="AO2097" i="2"/>
  <c r="AO2098" i="2"/>
  <c r="AO2099" i="2"/>
  <c r="AO2100" i="2"/>
  <c r="AO2101" i="2"/>
  <c r="AO2102" i="2"/>
  <c r="AO2103" i="2"/>
  <c r="AO2104" i="2"/>
  <c r="AO2105" i="2"/>
  <c r="AO2106" i="2"/>
  <c r="AO2107" i="2"/>
  <c r="AO2108" i="2"/>
  <c r="AO2109" i="2"/>
  <c r="AO2110" i="2"/>
  <c r="AO2111" i="2"/>
  <c r="AO2112" i="2"/>
  <c r="AO2113" i="2"/>
  <c r="AO2114" i="2"/>
  <c r="AO2115" i="2"/>
  <c r="AO2116" i="2"/>
  <c r="AO2117" i="2"/>
  <c r="AO2122" i="2"/>
  <c r="H2122" i="2"/>
  <c r="AX2117" i="2"/>
  <c r="AV2117" i="2"/>
  <c r="AU2117" i="2"/>
  <c r="AT2117" i="2"/>
  <c r="AR2117" i="2"/>
  <c r="AQ2117" i="2"/>
  <c r="AX2116" i="2"/>
  <c r="AV2116" i="2"/>
  <c r="AU2116" i="2"/>
  <c r="AT2116" i="2"/>
  <c r="AR2116" i="2"/>
  <c r="AQ2116" i="2"/>
  <c r="AX2115" i="2"/>
  <c r="AV2115" i="2"/>
  <c r="AU2115" i="2"/>
  <c r="AT2115" i="2"/>
  <c r="AR2115" i="2"/>
  <c r="AQ2115" i="2"/>
  <c r="AX2114" i="2"/>
  <c r="AV2114" i="2"/>
  <c r="AU2114" i="2"/>
  <c r="AT2114" i="2"/>
  <c r="AR2114" i="2"/>
  <c r="AQ2114" i="2"/>
  <c r="AX2113" i="2"/>
  <c r="AV2113" i="2"/>
  <c r="AU2113" i="2"/>
  <c r="AT2113" i="2"/>
  <c r="AR2113" i="2"/>
  <c r="AQ2113" i="2"/>
  <c r="AX2112" i="2"/>
  <c r="AV2112" i="2"/>
  <c r="AU2112" i="2"/>
  <c r="AT2112" i="2"/>
  <c r="AR2112" i="2"/>
  <c r="AQ2112" i="2"/>
  <c r="AX2111" i="2"/>
  <c r="AV2111" i="2"/>
  <c r="AU2111" i="2"/>
  <c r="AT2111" i="2"/>
  <c r="AR2111" i="2"/>
  <c r="AQ2111" i="2"/>
  <c r="AX2110" i="2"/>
  <c r="AV2110" i="2"/>
  <c r="AU2110" i="2"/>
  <c r="AT2110" i="2"/>
  <c r="AR2110" i="2"/>
  <c r="AQ2110" i="2"/>
  <c r="AX2109" i="2"/>
  <c r="AV2109" i="2"/>
  <c r="AU2109" i="2"/>
  <c r="AT2109" i="2"/>
  <c r="AR2109" i="2"/>
  <c r="AQ2109" i="2"/>
  <c r="AX2108" i="2"/>
  <c r="AV2108" i="2"/>
  <c r="AU2108" i="2"/>
  <c r="AT2108" i="2"/>
  <c r="AR2108" i="2"/>
  <c r="AQ2108" i="2"/>
  <c r="AX2107" i="2"/>
  <c r="AV2107" i="2"/>
  <c r="AU2107" i="2"/>
  <c r="AT2107" i="2"/>
  <c r="AR2107" i="2"/>
  <c r="AQ2107" i="2"/>
  <c r="AX2106" i="2"/>
  <c r="AV2106" i="2"/>
  <c r="AU2106" i="2"/>
  <c r="AT2106" i="2"/>
  <c r="AR2106" i="2"/>
  <c r="AQ2106" i="2"/>
  <c r="AX2105" i="2"/>
  <c r="AV2105" i="2"/>
  <c r="AU2105" i="2"/>
  <c r="AT2105" i="2"/>
  <c r="AR2105" i="2"/>
  <c r="AQ2105" i="2"/>
  <c r="AX2104" i="2"/>
  <c r="AV2104" i="2"/>
  <c r="AU2104" i="2"/>
  <c r="AT2104" i="2"/>
  <c r="AR2104" i="2"/>
  <c r="AQ2104" i="2"/>
  <c r="AX2103" i="2"/>
  <c r="AV2103" i="2"/>
  <c r="AU2103" i="2"/>
  <c r="AT2103" i="2"/>
  <c r="AR2103" i="2"/>
  <c r="AQ2103" i="2"/>
  <c r="AX2102" i="2"/>
  <c r="AV2102" i="2"/>
  <c r="AU2102" i="2"/>
  <c r="AT2102" i="2"/>
  <c r="AR2102" i="2"/>
  <c r="AQ2102" i="2"/>
  <c r="AX2101" i="2"/>
  <c r="AV2101" i="2"/>
  <c r="AU2101" i="2"/>
  <c r="AT2101" i="2"/>
  <c r="AR2101" i="2"/>
  <c r="AQ2101" i="2"/>
  <c r="AX2100" i="2"/>
  <c r="AV2100" i="2"/>
  <c r="AU2100" i="2"/>
  <c r="AT2100" i="2"/>
  <c r="AR2100" i="2"/>
  <c r="AQ2100" i="2"/>
  <c r="AX2099" i="2"/>
  <c r="AV2099" i="2"/>
  <c r="AU2099" i="2"/>
  <c r="AT2099" i="2"/>
  <c r="AR2099" i="2"/>
  <c r="AQ2099" i="2"/>
  <c r="AX2098" i="2"/>
  <c r="AV2098" i="2"/>
  <c r="AU2098" i="2"/>
  <c r="AT2098" i="2"/>
  <c r="AR2098" i="2"/>
  <c r="AQ2098" i="2"/>
  <c r="AX2097" i="2"/>
  <c r="AV2097" i="2"/>
  <c r="AU2097" i="2"/>
  <c r="AT2097" i="2"/>
  <c r="AR2097" i="2"/>
  <c r="AQ2097" i="2"/>
  <c r="AX2096" i="2"/>
  <c r="AV2096" i="2"/>
  <c r="AU2096" i="2"/>
  <c r="AT2096" i="2"/>
  <c r="AR2096" i="2"/>
  <c r="AQ2096" i="2"/>
  <c r="AX2095" i="2"/>
  <c r="AV2095" i="2"/>
  <c r="AU2095" i="2"/>
  <c r="AT2095" i="2"/>
  <c r="AR2095" i="2"/>
  <c r="AQ2095" i="2"/>
  <c r="AX2094" i="2"/>
  <c r="AV2094" i="2"/>
  <c r="AU2094" i="2"/>
  <c r="AT2094" i="2"/>
  <c r="AR2094" i="2"/>
  <c r="AQ2094" i="2"/>
  <c r="AX2093" i="2"/>
  <c r="AV2093" i="2"/>
  <c r="AU2093" i="2"/>
  <c r="AT2093" i="2"/>
  <c r="AR2093" i="2"/>
  <c r="AQ2093" i="2"/>
  <c r="AX2092" i="2"/>
  <c r="AV2092" i="2"/>
  <c r="AU2092" i="2"/>
  <c r="AT2092" i="2"/>
  <c r="AR2092" i="2"/>
  <c r="AQ2092" i="2"/>
  <c r="AX2091" i="2"/>
  <c r="AV2091" i="2"/>
  <c r="AV2089" i="2"/>
  <c r="AV2090" i="2"/>
  <c r="AV2122" i="2"/>
  <c r="AU2091" i="2"/>
  <c r="AT2091" i="2"/>
  <c r="AR2091" i="2"/>
  <c r="AQ2091" i="2"/>
  <c r="AQ2089" i="2"/>
  <c r="AQ2090" i="2"/>
  <c r="AQ2122" i="2"/>
  <c r="J2122" i="2"/>
  <c r="AX2090" i="2"/>
  <c r="AU2090" i="2"/>
  <c r="AT2090" i="2"/>
  <c r="AR2090" i="2"/>
  <c r="AX2089" i="2"/>
  <c r="AU2089" i="2"/>
  <c r="AU2122" i="2"/>
  <c r="AT2089" i="2"/>
  <c r="AR2089" i="2"/>
  <c r="T2087" i="2"/>
  <c r="S2087" i="2"/>
  <c r="R2087" i="2"/>
  <c r="I2087" i="2"/>
  <c r="H2087" i="2"/>
  <c r="G2087" i="2"/>
  <c r="T2086" i="2"/>
  <c r="S2086" i="2"/>
  <c r="R2086" i="2"/>
  <c r="I2086" i="2"/>
  <c r="H2086" i="2"/>
  <c r="G2086" i="2"/>
  <c r="AR2063" i="2"/>
  <c r="AR2064" i="2"/>
  <c r="AR2065" i="2"/>
  <c r="AR2066" i="2"/>
  <c r="AR2067" i="2"/>
  <c r="AR2068" i="2"/>
  <c r="AR2069" i="2"/>
  <c r="AR2070" i="2"/>
  <c r="AR2071" i="2"/>
  <c r="AR2072" i="2"/>
  <c r="AR2073" i="2"/>
  <c r="AR2074" i="2"/>
  <c r="AR2075" i="2"/>
  <c r="AR2076" i="2"/>
  <c r="AR2077" i="2"/>
  <c r="AR2078" i="2"/>
  <c r="AR2079" i="2"/>
  <c r="AR2080" i="2"/>
  <c r="AR2081" i="2"/>
  <c r="AR2082" i="2"/>
  <c r="AR2083" i="2"/>
  <c r="AR2084" i="2"/>
  <c r="AR2085" i="2"/>
  <c r="T2085" i="2"/>
  <c r="S2085" i="2"/>
  <c r="R2085" i="2"/>
  <c r="G2085" i="2"/>
  <c r="AX2084" i="2"/>
  <c r="AW2084" i="2"/>
  <c r="AV2084" i="2"/>
  <c r="AU2084" i="2"/>
  <c r="AT2084" i="2"/>
  <c r="AS2084" i="2"/>
  <c r="AQ2084" i="2"/>
  <c r="AP2084" i="2"/>
  <c r="AO2084" i="2"/>
  <c r="AH2084" i="2"/>
  <c r="AX2083" i="2"/>
  <c r="AW2083" i="2"/>
  <c r="AV2083" i="2"/>
  <c r="AU2083" i="2"/>
  <c r="AT2083" i="2"/>
  <c r="AS2083" i="2"/>
  <c r="AQ2083" i="2"/>
  <c r="AP2083" i="2"/>
  <c r="AO2083" i="2"/>
  <c r="AH2083" i="2"/>
  <c r="AX2082" i="2"/>
  <c r="AW2082" i="2"/>
  <c r="AV2082" i="2"/>
  <c r="AU2082" i="2"/>
  <c r="AT2082" i="2"/>
  <c r="AS2082" i="2"/>
  <c r="AQ2082" i="2"/>
  <c r="AP2082" i="2"/>
  <c r="AO2082" i="2"/>
  <c r="AH2082" i="2"/>
  <c r="AX2081" i="2"/>
  <c r="AW2081" i="2"/>
  <c r="AV2081" i="2"/>
  <c r="AU2081" i="2"/>
  <c r="AT2081" i="2"/>
  <c r="AS2081" i="2"/>
  <c r="AQ2081" i="2"/>
  <c r="AP2081" i="2"/>
  <c r="AO2081" i="2"/>
  <c r="AH2081" i="2"/>
  <c r="AX2080" i="2"/>
  <c r="AW2080" i="2"/>
  <c r="AV2080" i="2"/>
  <c r="AU2080" i="2"/>
  <c r="AT2080" i="2"/>
  <c r="AS2080" i="2"/>
  <c r="AQ2080" i="2"/>
  <c r="AP2080" i="2"/>
  <c r="AO2080" i="2"/>
  <c r="AH2080" i="2"/>
  <c r="AX2079" i="2"/>
  <c r="AW2079" i="2"/>
  <c r="AV2079" i="2"/>
  <c r="AU2079" i="2"/>
  <c r="AT2079" i="2"/>
  <c r="AS2079" i="2"/>
  <c r="AQ2079" i="2"/>
  <c r="AP2079" i="2"/>
  <c r="AO2079" i="2"/>
  <c r="AH2079" i="2"/>
  <c r="AX2078" i="2"/>
  <c r="AW2078" i="2"/>
  <c r="AV2078" i="2"/>
  <c r="AU2078" i="2"/>
  <c r="AT2078" i="2"/>
  <c r="AS2078" i="2"/>
  <c r="AQ2078" i="2"/>
  <c r="AP2078" i="2"/>
  <c r="AO2078" i="2"/>
  <c r="AH2078" i="2"/>
  <c r="AX2077" i="2"/>
  <c r="AW2077" i="2"/>
  <c r="AV2077" i="2"/>
  <c r="AU2077" i="2"/>
  <c r="AT2077" i="2"/>
  <c r="AS2077" i="2"/>
  <c r="AQ2077" i="2"/>
  <c r="AP2077" i="2"/>
  <c r="AO2077" i="2"/>
  <c r="AH2077" i="2"/>
  <c r="AX2076" i="2"/>
  <c r="AW2076" i="2"/>
  <c r="AV2076" i="2"/>
  <c r="AU2076" i="2"/>
  <c r="AT2076" i="2"/>
  <c r="AS2076" i="2"/>
  <c r="AQ2076" i="2"/>
  <c r="AP2076" i="2"/>
  <c r="AO2076" i="2"/>
  <c r="AH2076" i="2"/>
  <c r="AX2075" i="2"/>
  <c r="AW2075" i="2"/>
  <c r="AV2075" i="2"/>
  <c r="AU2075" i="2"/>
  <c r="AT2075" i="2"/>
  <c r="AS2075" i="2"/>
  <c r="AQ2075" i="2"/>
  <c r="AP2075" i="2"/>
  <c r="AO2075" i="2"/>
  <c r="AH2075" i="2"/>
  <c r="AX2074" i="2"/>
  <c r="AW2074" i="2"/>
  <c r="AV2074" i="2"/>
  <c r="AU2074" i="2"/>
  <c r="AT2074" i="2"/>
  <c r="AS2074" i="2"/>
  <c r="AQ2074" i="2"/>
  <c r="AP2074" i="2"/>
  <c r="AO2074" i="2"/>
  <c r="AH2074" i="2"/>
  <c r="AX2073" i="2"/>
  <c r="AW2073" i="2"/>
  <c r="AV2073" i="2"/>
  <c r="AU2073" i="2"/>
  <c r="AT2073" i="2"/>
  <c r="AS2073" i="2"/>
  <c r="AQ2073" i="2"/>
  <c r="AP2073" i="2"/>
  <c r="AO2073" i="2"/>
  <c r="AH2073" i="2"/>
  <c r="AX2072" i="2"/>
  <c r="AW2072" i="2"/>
  <c r="AV2072" i="2"/>
  <c r="AU2072" i="2"/>
  <c r="AT2072" i="2"/>
  <c r="AS2072" i="2"/>
  <c r="AQ2072" i="2"/>
  <c r="AP2072" i="2"/>
  <c r="AO2072" i="2"/>
  <c r="AH2072" i="2"/>
  <c r="AX2071" i="2"/>
  <c r="AW2071" i="2"/>
  <c r="AV2071" i="2"/>
  <c r="AU2071" i="2"/>
  <c r="AT2071" i="2"/>
  <c r="AS2071" i="2"/>
  <c r="AQ2071" i="2"/>
  <c r="AP2071" i="2"/>
  <c r="AO2071" i="2"/>
  <c r="AH2071" i="2"/>
  <c r="AX2070" i="2"/>
  <c r="AW2070" i="2"/>
  <c r="AV2070" i="2"/>
  <c r="AU2070" i="2"/>
  <c r="AT2070" i="2"/>
  <c r="AS2070" i="2"/>
  <c r="AQ2070" i="2"/>
  <c r="AP2070" i="2"/>
  <c r="AO2070" i="2"/>
  <c r="AH2070" i="2"/>
  <c r="AX2069" i="2"/>
  <c r="AW2069" i="2"/>
  <c r="AV2069" i="2"/>
  <c r="AU2069" i="2"/>
  <c r="AT2069" i="2"/>
  <c r="AS2069" i="2"/>
  <c r="AQ2069" i="2"/>
  <c r="AP2069" i="2"/>
  <c r="AO2069" i="2"/>
  <c r="AH2069" i="2"/>
  <c r="AX2068" i="2"/>
  <c r="AW2068" i="2"/>
  <c r="AV2068" i="2"/>
  <c r="AU2068" i="2"/>
  <c r="AT2068" i="2"/>
  <c r="AS2068" i="2"/>
  <c r="AQ2068" i="2"/>
  <c r="AP2068" i="2"/>
  <c r="AO2068" i="2"/>
  <c r="AH2068" i="2"/>
  <c r="AX2067" i="2"/>
  <c r="AW2067" i="2"/>
  <c r="AV2067" i="2"/>
  <c r="AU2067" i="2"/>
  <c r="AT2067" i="2"/>
  <c r="AS2067" i="2"/>
  <c r="AQ2067" i="2"/>
  <c r="AP2067" i="2"/>
  <c r="AO2067" i="2"/>
  <c r="AH2067" i="2"/>
  <c r="AX2066" i="2"/>
  <c r="AW2066" i="2"/>
  <c r="AV2066" i="2"/>
  <c r="AU2066" i="2"/>
  <c r="AT2066" i="2"/>
  <c r="AT2063" i="2"/>
  <c r="AT2064" i="2"/>
  <c r="AT2065" i="2"/>
  <c r="AT2085" i="2"/>
  <c r="AS2066" i="2"/>
  <c r="AQ2066" i="2"/>
  <c r="AP2066" i="2"/>
  <c r="AO2066" i="2"/>
  <c r="AH2066" i="2"/>
  <c r="AX2065" i="2"/>
  <c r="AW2065" i="2"/>
  <c r="AV2065" i="2"/>
  <c r="AU2065" i="2"/>
  <c r="AS2065" i="2"/>
  <c r="AQ2065" i="2"/>
  <c r="AP2065" i="2"/>
  <c r="AO2065" i="2"/>
  <c r="AH2065" i="2"/>
  <c r="AX2064" i="2"/>
  <c r="AW2064" i="2"/>
  <c r="AV2064" i="2"/>
  <c r="AU2064" i="2"/>
  <c r="AS2064" i="2"/>
  <c r="AQ2064" i="2"/>
  <c r="AP2064" i="2"/>
  <c r="AO2064" i="2"/>
  <c r="AH2064" i="2"/>
  <c r="AX2063" i="2"/>
  <c r="AW2063" i="2"/>
  <c r="AV2063" i="2"/>
  <c r="AV2085" i="2"/>
  <c r="AU2063" i="2"/>
  <c r="AU2085" i="2"/>
  <c r="AS2063" i="2"/>
  <c r="AQ2063" i="2"/>
  <c r="AP2063" i="2"/>
  <c r="AO2063" i="2"/>
  <c r="AH2063" i="2"/>
  <c r="AH2086" i="2"/>
  <c r="AM2047" i="2"/>
  <c r="AM2048" i="2"/>
  <c r="AM2049" i="2"/>
  <c r="AM2050" i="2"/>
  <c r="AM2051" i="2"/>
  <c r="AM2052" i="2"/>
  <c r="AM2053" i="2"/>
  <c r="AM2054" i="2"/>
  <c r="AM2055" i="2"/>
  <c r="AM2056" i="2"/>
  <c r="AM2057" i="2"/>
  <c r="AM2058" i="2"/>
  <c r="AM2061" i="2"/>
  <c r="AX2058" i="2"/>
  <c r="AW2058" i="2"/>
  <c r="AV2058" i="2"/>
  <c r="AU2058" i="2"/>
  <c r="AT2058" i="2"/>
  <c r="AS2058" i="2"/>
  <c r="AR2058" i="2"/>
  <c r="AQ2058" i="2"/>
  <c r="AP2058" i="2"/>
  <c r="AO2058" i="2"/>
  <c r="T2058" i="2"/>
  <c r="G2057" i="2"/>
  <c r="AX2057" i="2"/>
  <c r="AW2057" i="2"/>
  <c r="AS2057" i="2"/>
  <c r="AR2057" i="2"/>
  <c r="AP2057" i="2"/>
  <c r="AO2057" i="2"/>
  <c r="T2057" i="2"/>
  <c r="AV2057" i="2"/>
  <c r="G2056" i="2"/>
  <c r="AX2056" i="2"/>
  <c r="AW2056" i="2"/>
  <c r="AU2056" i="2"/>
  <c r="AP2056" i="2"/>
  <c r="AO2056" i="2"/>
  <c r="T2056" i="2"/>
  <c r="AT2056" i="2"/>
  <c r="T2055" i="2"/>
  <c r="G2055" i="2"/>
  <c r="G2054" i="2"/>
  <c r="AW2054" i="2"/>
  <c r="AV2054" i="2"/>
  <c r="AS2054" i="2"/>
  <c r="AR2054" i="2"/>
  <c r="AQ2054" i="2"/>
  <c r="AO2054" i="2"/>
  <c r="T2054" i="2"/>
  <c r="AU2054" i="2"/>
  <c r="G2053" i="2"/>
  <c r="AW2053" i="2"/>
  <c r="AV2053" i="2"/>
  <c r="AT2053" i="2"/>
  <c r="AO2053" i="2"/>
  <c r="AM2059" i="2"/>
  <c r="T2053" i="2"/>
  <c r="I2053" i="2"/>
  <c r="AS2053" i="2"/>
  <c r="G2052" i="2"/>
  <c r="AX2052" i="2"/>
  <c r="AW2052" i="2"/>
  <c r="AV2052" i="2"/>
  <c r="AU2052" i="2"/>
  <c r="AT2052" i="2"/>
  <c r="AR2052" i="2"/>
  <c r="AQ2052" i="2"/>
  <c r="AO2052" i="2"/>
  <c r="T2052" i="2"/>
  <c r="I2052" i="2"/>
  <c r="AP2052" i="2"/>
  <c r="AS2052" i="2"/>
  <c r="G2051" i="2"/>
  <c r="AX2051" i="2"/>
  <c r="AR2051" i="2"/>
  <c r="I2051" i="2"/>
  <c r="AP2051" i="2"/>
  <c r="T2051" i="2"/>
  <c r="AW2051" i="2"/>
  <c r="G2050" i="2"/>
  <c r="AX2050" i="2"/>
  <c r="AV2050" i="2"/>
  <c r="AU2050" i="2"/>
  <c r="AR2050" i="2"/>
  <c r="AQ2050" i="2"/>
  <c r="I2050" i="2"/>
  <c r="AP2050" i="2"/>
  <c r="T2050" i="2"/>
  <c r="AT2050" i="2"/>
  <c r="G2049" i="2"/>
  <c r="AW2049" i="2"/>
  <c r="AV2049" i="2"/>
  <c r="AT2049" i="2"/>
  <c r="AO2049" i="2"/>
  <c r="T2049" i="2"/>
  <c r="I2049" i="2"/>
  <c r="AS2049" i="2"/>
  <c r="G2048" i="2"/>
  <c r="AX2048" i="2"/>
  <c r="AW2048" i="2"/>
  <c r="AV2048" i="2"/>
  <c r="AU2048" i="2"/>
  <c r="AT2048" i="2"/>
  <c r="AR2048" i="2"/>
  <c r="AQ2048" i="2"/>
  <c r="AO2048" i="2"/>
  <c r="T2048" i="2"/>
  <c r="I2048" i="2"/>
  <c r="AS2048" i="2"/>
  <c r="G2047" i="2"/>
  <c r="AX2047" i="2"/>
  <c r="AR2047" i="2"/>
  <c r="I2047" i="2"/>
  <c r="AP2047" i="2"/>
  <c r="T2047" i="2"/>
  <c r="G2044" i="2"/>
  <c r="G2061" i="2"/>
  <c r="AX2046" i="2"/>
  <c r="AW2046" i="2"/>
  <c r="AV2046" i="2"/>
  <c r="AU2046" i="2"/>
  <c r="AT2046" i="2"/>
  <c r="AS2046" i="2"/>
  <c r="AR2046" i="2"/>
  <c r="AQ2046" i="2"/>
  <c r="AP2046" i="2"/>
  <c r="AO2046" i="2"/>
  <c r="T2046" i="2"/>
  <c r="AX2045" i="2"/>
  <c r="AW2045" i="2"/>
  <c r="AV2045" i="2"/>
  <c r="AU2045" i="2"/>
  <c r="AT2045" i="2"/>
  <c r="AS2045" i="2"/>
  <c r="AR2045" i="2"/>
  <c r="AQ2045" i="2"/>
  <c r="AP2045" i="2"/>
  <c r="AO2045" i="2"/>
  <c r="T2045" i="2"/>
  <c r="AX2044" i="2"/>
  <c r="AW2044" i="2"/>
  <c r="AV2044" i="2"/>
  <c r="AT2044" i="2"/>
  <c r="AS2044" i="2"/>
  <c r="AR2044" i="2"/>
  <c r="AQ2044" i="2"/>
  <c r="AP2044" i="2"/>
  <c r="AO2044" i="2"/>
  <c r="T2044" i="2"/>
  <c r="AU2044" i="2"/>
  <c r="AX2043" i="2"/>
  <c r="AW2043" i="2"/>
  <c r="AV2043" i="2"/>
  <c r="AU2043" i="2"/>
  <c r="AT2043" i="2"/>
  <c r="AS2043" i="2"/>
  <c r="AR2043" i="2"/>
  <c r="AQ2043" i="2"/>
  <c r="AP2043" i="2"/>
  <c r="AO2043" i="2"/>
  <c r="T2043" i="2"/>
  <c r="I2041" i="2"/>
  <c r="G2041" i="2"/>
  <c r="T2038" i="2"/>
  <c r="T2040" i="2"/>
  <c r="I2040" i="2"/>
  <c r="G2040" i="2"/>
  <c r="AM2038" i="2"/>
  <c r="AM2039" i="2"/>
  <c r="T2039" i="2"/>
  <c r="G2039" i="2"/>
  <c r="AX2038" i="2"/>
  <c r="AW2038" i="2"/>
  <c r="AV2038" i="2"/>
  <c r="AU2038" i="2"/>
  <c r="AT2038" i="2"/>
  <c r="AS2038" i="2"/>
  <c r="AR2038" i="2"/>
  <c r="AQ2038" i="2"/>
  <c r="AP2038" i="2"/>
  <c r="AO2038" i="2"/>
  <c r="AM2041" i="2"/>
  <c r="T2041" i="2"/>
  <c r="AX2037" i="2"/>
  <c r="AW2037" i="2"/>
  <c r="AV2037" i="2"/>
  <c r="AU2037" i="2"/>
  <c r="AT2037" i="2"/>
  <c r="AS2037" i="2"/>
  <c r="AR2037" i="2"/>
  <c r="AQ2037" i="2"/>
  <c r="AP2037" i="2"/>
  <c r="AO2037" i="2"/>
  <c r="AX2036" i="2"/>
  <c r="AW2036" i="2"/>
  <c r="AV2036" i="2"/>
  <c r="AU2036" i="2"/>
  <c r="AT2036" i="2"/>
  <c r="AS2036" i="2"/>
  <c r="AR2036" i="2"/>
  <c r="AQ2036" i="2"/>
  <c r="AP2036" i="2"/>
  <c r="AO2036" i="2"/>
  <c r="AX2035" i="2"/>
  <c r="AW2035" i="2"/>
  <c r="AV2035" i="2"/>
  <c r="AU2035" i="2"/>
  <c r="AT2035" i="2"/>
  <c r="AS2035" i="2"/>
  <c r="AR2035" i="2"/>
  <c r="AQ2035" i="2"/>
  <c r="AP2035" i="2"/>
  <c r="AO2035" i="2"/>
  <c r="AX2034" i="2"/>
  <c r="AW2034" i="2"/>
  <c r="AV2034" i="2"/>
  <c r="AU2034" i="2"/>
  <c r="AT2034" i="2"/>
  <c r="AS2034" i="2"/>
  <c r="AR2034" i="2"/>
  <c r="AQ2034" i="2"/>
  <c r="AP2034" i="2"/>
  <c r="AO2034" i="2"/>
  <c r="AX2033" i="2"/>
  <c r="AW2033" i="2"/>
  <c r="AV2033" i="2"/>
  <c r="AU2033" i="2"/>
  <c r="AT2033" i="2"/>
  <c r="AS2033" i="2"/>
  <c r="AR2033" i="2"/>
  <c r="AQ2033" i="2"/>
  <c r="AP2033" i="2"/>
  <c r="AO2033" i="2"/>
  <c r="AX2032" i="2"/>
  <c r="AW2032" i="2"/>
  <c r="AV2032" i="2"/>
  <c r="AU2032" i="2"/>
  <c r="AT2032" i="2"/>
  <c r="AS2032" i="2"/>
  <c r="AR2032" i="2"/>
  <c r="AQ2032" i="2"/>
  <c r="AP2032" i="2"/>
  <c r="AO2032" i="2"/>
  <c r="AX2031" i="2"/>
  <c r="AW2031" i="2"/>
  <c r="AV2031" i="2"/>
  <c r="AU2031" i="2"/>
  <c r="AT2031" i="2"/>
  <c r="AS2031" i="2"/>
  <c r="AR2031" i="2"/>
  <c r="AQ2031" i="2"/>
  <c r="AP2031" i="2"/>
  <c r="AO2031" i="2"/>
  <c r="AX2030" i="2"/>
  <c r="AW2030" i="2"/>
  <c r="AV2030" i="2"/>
  <c r="AU2030" i="2"/>
  <c r="AT2030" i="2"/>
  <c r="AS2030" i="2"/>
  <c r="AR2030" i="2"/>
  <c r="AQ2030" i="2"/>
  <c r="AP2030" i="2"/>
  <c r="AO2030" i="2"/>
  <c r="AX2029" i="2"/>
  <c r="AW2029" i="2"/>
  <c r="AV2029" i="2"/>
  <c r="AU2029" i="2"/>
  <c r="AT2029" i="2"/>
  <c r="AS2029" i="2"/>
  <c r="AR2029" i="2"/>
  <c r="AQ2029" i="2"/>
  <c r="AP2029" i="2"/>
  <c r="AO2029" i="2"/>
  <c r="AX2028" i="2"/>
  <c r="AW2028" i="2"/>
  <c r="AV2028" i="2"/>
  <c r="AU2028" i="2"/>
  <c r="AT2028" i="2"/>
  <c r="AS2028" i="2"/>
  <c r="AR2028" i="2"/>
  <c r="AQ2028" i="2"/>
  <c r="AP2028" i="2"/>
  <c r="AO2028" i="2"/>
  <c r="AX2027" i="2"/>
  <c r="AW2027" i="2"/>
  <c r="AV2027" i="2"/>
  <c r="AU2027" i="2"/>
  <c r="AT2027" i="2"/>
  <c r="AS2027" i="2"/>
  <c r="AR2027" i="2"/>
  <c r="AQ2027" i="2"/>
  <c r="AP2027" i="2"/>
  <c r="AO2027" i="2"/>
  <c r="AX2026" i="2"/>
  <c r="AW2026" i="2"/>
  <c r="AV2026" i="2"/>
  <c r="AV2023" i="2"/>
  <c r="AV2024" i="2"/>
  <c r="AV2025" i="2"/>
  <c r="AV2039" i="2"/>
  <c r="AU2026" i="2"/>
  <c r="AU2023" i="2"/>
  <c r="AU2024" i="2"/>
  <c r="AU2025" i="2"/>
  <c r="AU2039" i="2"/>
  <c r="AT2026" i="2"/>
  <c r="AS2026" i="2"/>
  <c r="AR2026" i="2"/>
  <c r="AQ2026" i="2"/>
  <c r="AP2026" i="2"/>
  <c r="AO2026" i="2"/>
  <c r="AX2025" i="2"/>
  <c r="AW2025" i="2"/>
  <c r="AT2025" i="2"/>
  <c r="AS2025" i="2"/>
  <c r="AR2025" i="2"/>
  <c r="AQ2025" i="2"/>
  <c r="AP2025" i="2"/>
  <c r="AO2025" i="2"/>
  <c r="AX2024" i="2"/>
  <c r="AW2024" i="2"/>
  <c r="AT2024" i="2"/>
  <c r="AS2024" i="2"/>
  <c r="AR2024" i="2"/>
  <c r="AR2023" i="2"/>
  <c r="AR2039" i="2"/>
  <c r="AQ2024" i="2"/>
  <c r="AP2024" i="2"/>
  <c r="AO2024" i="2"/>
  <c r="AX2023" i="2"/>
  <c r="AX2039" i="2"/>
  <c r="AW2023" i="2"/>
  <c r="AT2023" i="2"/>
  <c r="AT2039" i="2"/>
  <c r="AS2023" i="2"/>
  <c r="AS2039" i="2"/>
  <c r="AQ2023" i="2"/>
  <c r="AP2023" i="2"/>
  <c r="AP2039" i="2"/>
  <c r="I2039" i="2"/>
  <c r="AO2023" i="2"/>
  <c r="U2018" i="2"/>
  <c r="U2021" i="2"/>
  <c r="I2021" i="2"/>
  <c r="H2021" i="2"/>
  <c r="G2021" i="2"/>
  <c r="I2020" i="2"/>
  <c r="H2020" i="2"/>
  <c r="G2020" i="2"/>
  <c r="U2019" i="2"/>
  <c r="S2018" i="2"/>
  <c r="S2019" i="2"/>
  <c r="G2019" i="2"/>
  <c r="AX2018" i="2"/>
  <c r="AW2018" i="2"/>
  <c r="AV2018" i="2"/>
  <c r="AU2018" i="2"/>
  <c r="AT2018" i="2"/>
  <c r="AS2018" i="2"/>
  <c r="AR2018" i="2"/>
  <c r="AP2018" i="2"/>
  <c r="AO2018" i="2"/>
  <c r="AM2018" i="2"/>
  <c r="AM2019" i="2"/>
  <c r="U2020" i="2"/>
  <c r="T2018" i="2"/>
  <c r="S2020" i="2"/>
  <c r="J2018" i="2"/>
  <c r="AQ2018" i="2"/>
  <c r="AX2017" i="2"/>
  <c r="AW2017" i="2"/>
  <c r="AV2017" i="2"/>
  <c r="AU2017" i="2"/>
  <c r="AT2017" i="2"/>
  <c r="AS2017" i="2"/>
  <c r="AR2017" i="2"/>
  <c r="AP2017" i="2"/>
  <c r="AO2017" i="2"/>
  <c r="R2017" i="2"/>
  <c r="AH2017" i="2"/>
  <c r="J2017" i="2"/>
  <c r="AQ2017" i="2"/>
  <c r="AX2016" i="2"/>
  <c r="AW2016" i="2"/>
  <c r="AV2016" i="2"/>
  <c r="AU2016" i="2"/>
  <c r="AT2016" i="2"/>
  <c r="AS2016" i="2"/>
  <c r="AR2016" i="2"/>
  <c r="J2016" i="2"/>
  <c r="AQ2016" i="2"/>
  <c r="AP2016" i="2"/>
  <c r="AO2016" i="2"/>
  <c r="R2016" i="2"/>
  <c r="AH2016" i="2"/>
  <c r="AX2015" i="2"/>
  <c r="AW2015" i="2"/>
  <c r="AV2015" i="2"/>
  <c r="AU2015" i="2"/>
  <c r="AT2015" i="2"/>
  <c r="AS2015" i="2"/>
  <c r="AR2015" i="2"/>
  <c r="J2015" i="2"/>
  <c r="AQ2015" i="2"/>
  <c r="AP2015" i="2"/>
  <c r="AO2015" i="2"/>
  <c r="R2015" i="2"/>
  <c r="AH2015" i="2"/>
  <c r="AX2014" i="2"/>
  <c r="AW2014" i="2"/>
  <c r="AV2014" i="2"/>
  <c r="AU2014" i="2"/>
  <c r="AT2014" i="2"/>
  <c r="AS2014" i="2"/>
  <c r="AR2014" i="2"/>
  <c r="J2014" i="2"/>
  <c r="AQ2014" i="2"/>
  <c r="AP2014" i="2"/>
  <c r="AO2014" i="2"/>
  <c r="R2014" i="2"/>
  <c r="AH2014" i="2"/>
  <c r="AX2013" i="2"/>
  <c r="AW2013" i="2"/>
  <c r="AV2013" i="2"/>
  <c r="AU2013" i="2"/>
  <c r="AT2013" i="2"/>
  <c r="AS2013" i="2"/>
  <c r="AR2013" i="2"/>
  <c r="AP2013" i="2"/>
  <c r="AO2013" i="2"/>
  <c r="R2013" i="2"/>
  <c r="AH2013" i="2"/>
  <c r="J2013" i="2"/>
  <c r="AQ2013" i="2"/>
  <c r="AX2012" i="2"/>
  <c r="AW2012" i="2"/>
  <c r="AV2012" i="2"/>
  <c r="AU2012" i="2"/>
  <c r="AT2012" i="2"/>
  <c r="AS2012" i="2"/>
  <c r="AR2012" i="2"/>
  <c r="AP2012" i="2"/>
  <c r="AO2012" i="2"/>
  <c r="R2012" i="2"/>
  <c r="AH2012" i="2"/>
  <c r="J2012" i="2"/>
  <c r="AQ2012" i="2"/>
  <c r="AX2011" i="2"/>
  <c r="AW2011" i="2"/>
  <c r="AV2011" i="2"/>
  <c r="AU2011" i="2"/>
  <c r="AT2011" i="2"/>
  <c r="AS2011" i="2"/>
  <c r="AR2011" i="2"/>
  <c r="AP2011" i="2"/>
  <c r="AO2011" i="2"/>
  <c r="R2011" i="2"/>
  <c r="AH2011" i="2"/>
  <c r="J2011" i="2"/>
  <c r="AQ2011" i="2"/>
  <c r="AX2010" i="2"/>
  <c r="AW2010" i="2"/>
  <c r="AV2010" i="2"/>
  <c r="AU2010" i="2"/>
  <c r="AT2010" i="2"/>
  <c r="AS2010" i="2"/>
  <c r="AR2010" i="2"/>
  <c r="J2010" i="2"/>
  <c r="AQ2010" i="2"/>
  <c r="AP2010" i="2"/>
  <c r="AO2010" i="2"/>
  <c r="R2010" i="2"/>
  <c r="AH2010" i="2"/>
  <c r="AX2009" i="2"/>
  <c r="AW2009" i="2"/>
  <c r="AV2009" i="2"/>
  <c r="AU2009" i="2"/>
  <c r="AT2009" i="2"/>
  <c r="AS2009" i="2"/>
  <c r="AR2009" i="2"/>
  <c r="AP2009" i="2"/>
  <c r="AO2009" i="2"/>
  <c r="R2009" i="2"/>
  <c r="AH2009" i="2"/>
  <c r="J2009" i="2"/>
  <c r="AQ2009" i="2"/>
  <c r="AX2008" i="2"/>
  <c r="AW2008" i="2"/>
  <c r="AV2008" i="2"/>
  <c r="AU2008" i="2"/>
  <c r="AT2008" i="2"/>
  <c r="AS2008" i="2"/>
  <c r="AR2008" i="2"/>
  <c r="J2008" i="2"/>
  <c r="AQ2008" i="2"/>
  <c r="AP2008" i="2"/>
  <c r="AO2008" i="2"/>
  <c r="R2008" i="2"/>
  <c r="AH2008" i="2"/>
  <c r="AX2007" i="2"/>
  <c r="AW2007" i="2"/>
  <c r="AV2007" i="2"/>
  <c r="AU2007" i="2"/>
  <c r="AT2007" i="2"/>
  <c r="AS2007" i="2"/>
  <c r="AR2007" i="2"/>
  <c r="J2007" i="2"/>
  <c r="AQ2007" i="2"/>
  <c r="AP2007" i="2"/>
  <c r="AO2007" i="2"/>
  <c r="R2007" i="2"/>
  <c r="AH2007" i="2"/>
  <c r="AX2006" i="2"/>
  <c r="AW2006" i="2"/>
  <c r="AV2006" i="2"/>
  <c r="AU2006" i="2"/>
  <c r="AT2006" i="2"/>
  <c r="AS2006" i="2"/>
  <c r="AR2006" i="2"/>
  <c r="AQ2006" i="2"/>
  <c r="AP2006" i="2"/>
  <c r="AO2006" i="2"/>
  <c r="R2006" i="2"/>
  <c r="AH2006" i="2"/>
  <c r="AX2005" i="2"/>
  <c r="AW2005" i="2"/>
  <c r="AV2005" i="2"/>
  <c r="AU2005" i="2"/>
  <c r="AT2005" i="2"/>
  <c r="AS2005" i="2"/>
  <c r="AR2005" i="2"/>
  <c r="AQ2005" i="2"/>
  <c r="AP2005" i="2"/>
  <c r="AO2005" i="2"/>
  <c r="R2005" i="2"/>
  <c r="AH2005" i="2"/>
  <c r="AX2004" i="2"/>
  <c r="AW2004" i="2"/>
  <c r="AV2004" i="2"/>
  <c r="AU2004" i="2"/>
  <c r="AT2004" i="2"/>
  <c r="AS2004" i="2"/>
  <c r="AR2004" i="2"/>
  <c r="AQ2004" i="2"/>
  <c r="AP2004" i="2"/>
  <c r="AO2004" i="2"/>
  <c r="R2004" i="2"/>
  <c r="AH2004" i="2"/>
  <c r="AX2003" i="2"/>
  <c r="AW2003" i="2"/>
  <c r="AV2003" i="2"/>
  <c r="AU2003" i="2"/>
  <c r="AT2003" i="2"/>
  <c r="AT2002" i="2"/>
  <c r="AT2019" i="2"/>
  <c r="AS2003" i="2"/>
  <c r="AR2003" i="2"/>
  <c r="AR2002" i="2"/>
  <c r="AR2019" i="2"/>
  <c r="AQ2003" i="2"/>
  <c r="AP2003" i="2"/>
  <c r="AO2003" i="2"/>
  <c r="R2003" i="2"/>
  <c r="AH2003" i="2"/>
  <c r="AX2002" i="2"/>
  <c r="AX2019" i="2"/>
  <c r="AW2002" i="2"/>
  <c r="AV2002" i="2"/>
  <c r="AU2002" i="2"/>
  <c r="AS2002" i="2"/>
  <c r="AS2019" i="2"/>
  <c r="AQ2002" i="2"/>
  <c r="AP2002" i="2"/>
  <c r="AP2019" i="2"/>
  <c r="I2019" i="2"/>
  <c r="AO2002" i="2"/>
  <c r="R2002" i="2"/>
  <c r="AM2000" i="2"/>
  <c r="U2000" i="2"/>
  <c r="T2000" i="2"/>
  <c r="S2000" i="2"/>
  <c r="J2000" i="2"/>
  <c r="I2000" i="2"/>
  <c r="H2000" i="2"/>
  <c r="G2000" i="2"/>
  <c r="AM1999" i="2"/>
  <c r="U1999" i="2"/>
  <c r="T1999" i="2"/>
  <c r="S1999" i="2"/>
  <c r="J1999" i="2"/>
  <c r="I1999" i="2"/>
  <c r="H1999" i="2"/>
  <c r="G1999" i="2"/>
  <c r="AM1998" i="2"/>
  <c r="U1998" i="2"/>
  <c r="T1998" i="2"/>
  <c r="S1998" i="2"/>
  <c r="G1998" i="2"/>
  <c r="AX1997" i="2"/>
  <c r="AW1997" i="2"/>
  <c r="AV1997" i="2"/>
  <c r="AU1997" i="2"/>
  <c r="AT1997" i="2"/>
  <c r="AS1997" i="2"/>
  <c r="AR1997" i="2"/>
  <c r="AQ1997" i="2"/>
  <c r="AP1997" i="2"/>
  <c r="AO1997" i="2"/>
  <c r="R1997" i="2"/>
  <c r="AX1996" i="2"/>
  <c r="AW1996" i="2"/>
  <c r="AV1996" i="2"/>
  <c r="AU1996" i="2"/>
  <c r="AT1996" i="2"/>
  <c r="AS1996" i="2"/>
  <c r="AR1996" i="2"/>
  <c r="AQ1996" i="2"/>
  <c r="AP1996" i="2"/>
  <c r="AO1996" i="2"/>
  <c r="R1996" i="2"/>
  <c r="AX1995" i="2"/>
  <c r="AW1995" i="2"/>
  <c r="AV1995" i="2"/>
  <c r="AU1995" i="2"/>
  <c r="AT1995" i="2"/>
  <c r="AS1995" i="2"/>
  <c r="AR1995" i="2"/>
  <c r="AQ1995" i="2"/>
  <c r="AP1995" i="2"/>
  <c r="AO1995" i="2"/>
  <c r="R1995" i="2"/>
  <c r="AX1994" i="2"/>
  <c r="AW1994" i="2"/>
  <c r="AV1994" i="2"/>
  <c r="AU1994" i="2"/>
  <c r="AT1994" i="2"/>
  <c r="AS1994" i="2"/>
  <c r="AR1994" i="2"/>
  <c r="AQ1994" i="2"/>
  <c r="AP1994" i="2"/>
  <c r="AO1994" i="2"/>
  <c r="R1994" i="2"/>
  <c r="AX1993" i="2"/>
  <c r="AW1993" i="2"/>
  <c r="AV1993" i="2"/>
  <c r="AU1993" i="2"/>
  <c r="AT1993" i="2"/>
  <c r="AS1993" i="2"/>
  <c r="AR1993" i="2"/>
  <c r="AQ1993" i="2"/>
  <c r="AP1993" i="2"/>
  <c r="AO1993" i="2"/>
  <c r="R1993" i="2"/>
  <c r="AX1992" i="2"/>
  <c r="AW1992" i="2"/>
  <c r="AV1992" i="2"/>
  <c r="AU1992" i="2"/>
  <c r="AT1992" i="2"/>
  <c r="AS1992" i="2"/>
  <c r="AR1992" i="2"/>
  <c r="AQ1992" i="2"/>
  <c r="AP1992" i="2"/>
  <c r="AO1992" i="2"/>
  <c r="R1992" i="2"/>
  <c r="AX1991" i="2"/>
  <c r="AW1991" i="2"/>
  <c r="AV1991" i="2"/>
  <c r="AU1991" i="2"/>
  <c r="AT1991" i="2"/>
  <c r="AS1991" i="2"/>
  <c r="AR1991" i="2"/>
  <c r="AQ1991" i="2"/>
  <c r="AP1991" i="2"/>
  <c r="AO1991" i="2"/>
  <c r="R1991" i="2"/>
  <c r="AX1990" i="2"/>
  <c r="AW1990" i="2"/>
  <c r="AV1990" i="2"/>
  <c r="AU1990" i="2"/>
  <c r="AT1990" i="2"/>
  <c r="AS1990" i="2"/>
  <c r="AR1990" i="2"/>
  <c r="AQ1990" i="2"/>
  <c r="AP1990" i="2"/>
  <c r="AO1990" i="2"/>
  <c r="R1990" i="2"/>
  <c r="AX1989" i="2"/>
  <c r="AW1989" i="2"/>
  <c r="AV1989" i="2"/>
  <c r="AU1989" i="2"/>
  <c r="AT1989" i="2"/>
  <c r="AS1989" i="2"/>
  <c r="AR1989" i="2"/>
  <c r="AQ1989" i="2"/>
  <c r="AP1989" i="2"/>
  <c r="AO1989" i="2"/>
  <c r="R1989" i="2"/>
  <c r="AX1988" i="2"/>
  <c r="AW1988" i="2"/>
  <c r="AV1988" i="2"/>
  <c r="AU1988" i="2"/>
  <c r="AT1988" i="2"/>
  <c r="AS1988" i="2"/>
  <c r="AR1988" i="2"/>
  <c r="AQ1988" i="2"/>
  <c r="AP1988" i="2"/>
  <c r="AO1988" i="2"/>
  <c r="R1988" i="2"/>
  <c r="AX1987" i="2"/>
  <c r="AW1987" i="2"/>
  <c r="AV1987" i="2"/>
  <c r="AU1987" i="2"/>
  <c r="AT1987" i="2"/>
  <c r="AS1987" i="2"/>
  <c r="AR1987" i="2"/>
  <c r="AQ1987" i="2"/>
  <c r="AP1987" i="2"/>
  <c r="AO1987" i="2"/>
  <c r="R1987" i="2"/>
  <c r="AX1986" i="2"/>
  <c r="AW1986" i="2"/>
  <c r="AV1986" i="2"/>
  <c r="AU1986" i="2"/>
  <c r="AT1986" i="2"/>
  <c r="AS1986" i="2"/>
  <c r="AR1986" i="2"/>
  <c r="AQ1986" i="2"/>
  <c r="AP1986" i="2"/>
  <c r="AO1986" i="2"/>
  <c r="R1986" i="2"/>
  <c r="AX1985" i="2"/>
  <c r="AW1985" i="2"/>
  <c r="AV1985" i="2"/>
  <c r="AU1985" i="2"/>
  <c r="AT1985" i="2"/>
  <c r="AS1985" i="2"/>
  <c r="AR1985" i="2"/>
  <c r="AQ1985" i="2"/>
  <c r="AP1985" i="2"/>
  <c r="AO1985" i="2"/>
  <c r="R1985" i="2"/>
  <c r="AX1984" i="2"/>
  <c r="AW1984" i="2"/>
  <c r="AV1984" i="2"/>
  <c r="AU1984" i="2"/>
  <c r="AT1984" i="2"/>
  <c r="AS1984" i="2"/>
  <c r="AR1984" i="2"/>
  <c r="AQ1984" i="2"/>
  <c r="AP1984" i="2"/>
  <c r="AO1984" i="2"/>
  <c r="R1984" i="2"/>
  <c r="AX1983" i="2"/>
  <c r="AW1983" i="2"/>
  <c r="AV1983" i="2"/>
  <c r="AU1983" i="2"/>
  <c r="AT1983" i="2"/>
  <c r="AS1983" i="2"/>
  <c r="AR1983" i="2"/>
  <c r="AQ1983" i="2"/>
  <c r="AP1983" i="2"/>
  <c r="AO1983" i="2"/>
  <c r="R1983" i="2"/>
  <c r="AX1982" i="2"/>
  <c r="AW1982" i="2"/>
  <c r="AV1982" i="2"/>
  <c r="AU1982" i="2"/>
  <c r="AT1982" i="2"/>
  <c r="AS1982" i="2"/>
  <c r="AR1982" i="2"/>
  <c r="AQ1982" i="2"/>
  <c r="AP1982" i="2"/>
  <c r="AO1982" i="2"/>
  <c r="R1982" i="2"/>
  <c r="AX1981" i="2"/>
  <c r="AW1981" i="2"/>
  <c r="AV1981" i="2"/>
  <c r="AU1981" i="2"/>
  <c r="AT1981" i="2"/>
  <c r="AS1981" i="2"/>
  <c r="AR1981" i="2"/>
  <c r="AQ1981" i="2"/>
  <c r="AP1981" i="2"/>
  <c r="AO1981" i="2"/>
  <c r="R1981" i="2"/>
  <c r="AX1980" i="2"/>
  <c r="AW1980" i="2"/>
  <c r="AV1980" i="2"/>
  <c r="AU1980" i="2"/>
  <c r="AT1980" i="2"/>
  <c r="AS1980" i="2"/>
  <c r="AR1980" i="2"/>
  <c r="AQ1980" i="2"/>
  <c r="AP1980" i="2"/>
  <c r="AO1980" i="2"/>
  <c r="R1980" i="2"/>
  <c r="AX1979" i="2"/>
  <c r="AW1979" i="2"/>
  <c r="AV1979" i="2"/>
  <c r="AU1979" i="2"/>
  <c r="AT1979" i="2"/>
  <c r="AS1979" i="2"/>
  <c r="AR1979" i="2"/>
  <c r="AQ1979" i="2"/>
  <c r="AP1979" i="2"/>
  <c r="AO1979" i="2"/>
  <c r="R1979" i="2"/>
  <c r="AX1978" i="2"/>
  <c r="AW1978" i="2"/>
  <c r="AV1978" i="2"/>
  <c r="AU1978" i="2"/>
  <c r="AT1978" i="2"/>
  <c r="AS1978" i="2"/>
  <c r="AR1978" i="2"/>
  <c r="AQ1978" i="2"/>
  <c r="AP1978" i="2"/>
  <c r="AO1978" i="2"/>
  <c r="R1978" i="2"/>
  <c r="AX1977" i="2"/>
  <c r="AW1977" i="2"/>
  <c r="AV1977" i="2"/>
  <c r="AU1977" i="2"/>
  <c r="AT1977" i="2"/>
  <c r="AS1977" i="2"/>
  <c r="AR1977" i="2"/>
  <c r="AQ1977" i="2"/>
  <c r="AP1977" i="2"/>
  <c r="AO1977" i="2"/>
  <c r="R1977" i="2"/>
  <c r="AX1976" i="2"/>
  <c r="AW1976" i="2"/>
  <c r="AV1976" i="2"/>
  <c r="AU1976" i="2"/>
  <c r="AT1976" i="2"/>
  <c r="AS1976" i="2"/>
  <c r="AR1976" i="2"/>
  <c r="AQ1976" i="2"/>
  <c r="AP1976" i="2"/>
  <c r="AO1976" i="2"/>
  <c r="R1976" i="2"/>
  <c r="AX1975" i="2"/>
  <c r="AW1975" i="2"/>
  <c r="AV1975" i="2"/>
  <c r="AU1975" i="2"/>
  <c r="AT1975" i="2"/>
  <c r="AS1975" i="2"/>
  <c r="AR1975" i="2"/>
  <c r="AQ1975" i="2"/>
  <c r="AP1975" i="2"/>
  <c r="AO1975" i="2"/>
  <c r="R1975" i="2"/>
  <c r="AX1974" i="2"/>
  <c r="AW1974" i="2"/>
  <c r="AV1974" i="2"/>
  <c r="AU1974" i="2"/>
  <c r="AT1974" i="2"/>
  <c r="AS1974" i="2"/>
  <c r="AR1974" i="2"/>
  <c r="AQ1974" i="2"/>
  <c r="AP1974" i="2"/>
  <c r="AO1974" i="2"/>
  <c r="R1974" i="2"/>
  <c r="AX1973" i="2"/>
  <c r="AW1973" i="2"/>
  <c r="AV1973" i="2"/>
  <c r="AU1973" i="2"/>
  <c r="AT1973" i="2"/>
  <c r="AS1973" i="2"/>
  <c r="AR1973" i="2"/>
  <c r="AQ1973" i="2"/>
  <c r="AP1973" i="2"/>
  <c r="AO1973" i="2"/>
  <c r="R1973" i="2"/>
  <c r="AX1972" i="2"/>
  <c r="AW1972" i="2"/>
  <c r="AV1972" i="2"/>
  <c r="AU1972" i="2"/>
  <c r="AT1972" i="2"/>
  <c r="AS1972" i="2"/>
  <c r="AR1972" i="2"/>
  <c r="AQ1972" i="2"/>
  <c r="AP1972" i="2"/>
  <c r="AO1972" i="2"/>
  <c r="R1972" i="2"/>
  <c r="AX1971" i="2"/>
  <c r="AW1971" i="2"/>
  <c r="AV1971" i="2"/>
  <c r="AU1971" i="2"/>
  <c r="AT1971" i="2"/>
  <c r="AS1971" i="2"/>
  <c r="AR1971" i="2"/>
  <c r="AQ1971" i="2"/>
  <c r="AP1971" i="2"/>
  <c r="AO1971" i="2"/>
  <c r="R1971" i="2"/>
  <c r="AX1970" i="2"/>
  <c r="AW1970" i="2"/>
  <c r="AV1970" i="2"/>
  <c r="AU1970" i="2"/>
  <c r="AT1970" i="2"/>
  <c r="AS1970" i="2"/>
  <c r="AR1970" i="2"/>
  <c r="AQ1970" i="2"/>
  <c r="AP1970" i="2"/>
  <c r="AO1970" i="2"/>
  <c r="R1970" i="2"/>
  <c r="AX1969" i="2"/>
  <c r="AW1969" i="2"/>
  <c r="AV1969" i="2"/>
  <c r="AU1969" i="2"/>
  <c r="AT1969" i="2"/>
  <c r="AS1969" i="2"/>
  <c r="AR1969" i="2"/>
  <c r="AQ1969" i="2"/>
  <c r="AP1969" i="2"/>
  <c r="AO1969" i="2"/>
  <c r="R1969" i="2"/>
  <c r="AX1968" i="2"/>
  <c r="AW1968" i="2"/>
  <c r="AV1968" i="2"/>
  <c r="AU1968" i="2"/>
  <c r="AT1968" i="2"/>
  <c r="AS1968" i="2"/>
  <c r="AR1968" i="2"/>
  <c r="AQ1968" i="2"/>
  <c r="AP1968" i="2"/>
  <c r="AO1968" i="2"/>
  <c r="R1968" i="2"/>
  <c r="AX1967" i="2"/>
  <c r="AW1967" i="2"/>
  <c r="AV1967" i="2"/>
  <c r="AU1967" i="2"/>
  <c r="AT1967" i="2"/>
  <c r="AS1967" i="2"/>
  <c r="AR1967" i="2"/>
  <c r="AQ1967" i="2"/>
  <c r="AP1967" i="2"/>
  <c r="AO1967" i="2"/>
  <c r="R1967" i="2"/>
  <c r="AX1966" i="2"/>
  <c r="AW1966" i="2"/>
  <c r="AV1966" i="2"/>
  <c r="AU1966" i="2"/>
  <c r="AT1966" i="2"/>
  <c r="AS1966" i="2"/>
  <c r="AR1966" i="2"/>
  <c r="AQ1966" i="2"/>
  <c r="AP1966" i="2"/>
  <c r="AO1966" i="2"/>
  <c r="R1966" i="2"/>
  <c r="AX1965" i="2"/>
  <c r="AW1965" i="2"/>
  <c r="AV1965" i="2"/>
  <c r="AU1965" i="2"/>
  <c r="AT1965" i="2"/>
  <c r="AS1965" i="2"/>
  <c r="AR1965" i="2"/>
  <c r="AQ1965" i="2"/>
  <c r="AP1965" i="2"/>
  <c r="AO1965" i="2"/>
  <c r="R1965" i="2"/>
  <c r="AX1964" i="2"/>
  <c r="AW1964" i="2"/>
  <c r="AV1964" i="2"/>
  <c r="AU1964" i="2"/>
  <c r="AT1964" i="2"/>
  <c r="AS1964" i="2"/>
  <c r="AR1964" i="2"/>
  <c r="AQ1964" i="2"/>
  <c r="AP1964" i="2"/>
  <c r="AO1964" i="2"/>
  <c r="R1964" i="2"/>
  <c r="AX1963" i="2"/>
  <c r="AW1963" i="2"/>
  <c r="AV1963" i="2"/>
  <c r="AU1963" i="2"/>
  <c r="AT1963" i="2"/>
  <c r="AS1963" i="2"/>
  <c r="AR1963" i="2"/>
  <c r="AQ1963" i="2"/>
  <c r="AP1963" i="2"/>
  <c r="AO1963" i="2"/>
  <c r="R1963" i="2"/>
  <c r="AX1962" i="2"/>
  <c r="AW1962" i="2"/>
  <c r="AV1962" i="2"/>
  <c r="AU1962" i="2"/>
  <c r="AT1962" i="2"/>
  <c r="AS1962" i="2"/>
  <c r="AR1962" i="2"/>
  <c r="AQ1962" i="2"/>
  <c r="AP1962" i="2"/>
  <c r="AO1962" i="2"/>
  <c r="R1962" i="2"/>
  <c r="AX1961" i="2"/>
  <c r="AW1961" i="2"/>
  <c r="AV1961" i="2"/>
  <c r="AU1961" i="2"/>
  <c r="AT1961" i="2"/>
  <c r="AS1961" i="2"/>
  <c r="AR1961" i="2"/>
  <c r="AQ1961" i="2"/>
  <c r="AP1961" i="2"/>
  <c r="AO1961" i="2"/>
  <c r="R1961" i="2"/>
  <c r="AX1960" i="2"/>
  <c r="AW1960" i="2"/>
  <c r="AV1960" i="2"/>
  <c r="AU1960" i="2"/>
  <c r="AT1960" i="2"/>
  <c r="AS1960" i="2"/>
  <c r="AR1960" i="2"/>
  <c r="AQ1960" i="2"/>
  <c r="AP1960" i="2"/>
  <c r="AO1960" i="2"/>
  <c r="R1960" i="2"/>
  <c r="AX1959" i="2"/>
  <c r="AW1959" i="2"/>
  <c r="AV1959" i="2"/>
  <c r="AU1959" i="2"/>
  <c r="AT1959" i="2"/>
  <c r="AS1959" i="2"/>
  <c r="AR1959" i="2"/>
  <c r="AQ1959" i="2"/>
  <c r="AP1959" i="2"/>
  <c r="AO1959" i="2"/>
  <c r="R1959" i="2"/>
  <c r="AX1958" i="2"/>
  <c r="AW1958" i="2"/>
  <c r="AV1958" i="2"/>
  <c r="AU1958" i="2"/>
  <c r="AT1958" i="2"/>
  <c r="AS1958" i="2"/>
  <c r="AR1958" i="2"/>
  <c r="AQ1958" i="2"/>
  <c r="AP1958" i="2"/>
  <c r="AO1958" i="2"/>
  <c r="R1958" i="2"/>
  <c r="AX1957" i="2"/>
  <c r="AW1957" i="2"/>
  <c r="AV1957" i="2"/>
  <c r="AU1957" i="2"/>
  <c r="AT1957" i="2"/>
  <c r="AS1957" i="2"/>
  <c r="AR1957" i="2"/>
  <c r="AQ1957" i="2"/>
  <c r="AP1957" i="2"/>
  <c r="AO1957" i="2"/>
  <c r="R1957" i="2"/>
  <c r="AX1956" i="2"/>
  <c r="AW1956" i="2"/>
  <c r="AV1956" i="2"/>
  <c r="AU1956" i="2"/>
  <c r="AT1956" i="2"/>
  <c r="AS1956" i="2"/>
  <c r="AR1956" i="2"/>
  <c r="AQ1956" i="2"/>
  <c r="AP1956" i="2"/>
  <c r="AO1956" i="2"/>
  <c r="R1956" i="2"/>
  <c r="AX1955" i="2"/>
  <c r="AW1955" i="2"/>
  <c r="AV1955" i="2"/>
  <c r="AU1955" i="2"/>
  <c r="AT1955" i="2"/>
  <c r="AS1955" i="2"/>
  <c r="AR1955" i="2"/>
  <c r="AQ1955" i="2"/>
  <c r="AP1955" i="2"/>
  <c r="AO1955" i="2"/>
  <c r="R1955" i="2"/>
  <c r="AX1954" i="2"/>
  <c r="AW1954" i="2"/>
  <c r="AV1954" i="2"/>
  <c r="AU1954" i="2"/>
  <c r="AT1954" i="2"/>
  <c r="AS1954" i="2"/>
  <c r="AR1954" i="2"/>
  <c r="AQ1954" i="2"/>
  <c r="AP1954" i="2"/>
  <c r="AO1954" i="2"/>
  <c r="R1954" i="2"/>
  <c r="AX1953" i="2"/>
  <c r="AW1953" i="2"/>
  <c r="AV1953" i="2"/>
  <c r="AU1953" i="2"/>
  <c r="AT1953" i="2"/>
  <c r="AS1953" i="2"/>
  <c r="AR1953" i="2"/>
  <c r="AQ1953" i="2"/>
  <c r="AP1953" i="2"/>
  <c r="AO1953" i="2"/>
  <c r="R1953" i="2"/>
  <c r="AX1952" i="2"/>
  <c r="AW1952" i="2"/>
  <c r="AV1952" i="2"/>
  <c r="AU1952" i="2"/>
  <c r="AT1952" i="2"/>
  <c r="AS1952" i="2"/>
  <c r="AR1952" i="2"/>
  <c r="AQ1952" i="2"/>
  <c r="AP1952" i="2"/>
  <c r="AO1952" i="2"/>
  <c r="R1952" i="2"/>
  <c r="AX1951" i="2"/>
  <c r="AW1951" i="2"/>
  <c r="AV1951" i="2"/>
  <c r="AU1951" i="2"/>
  <c r="AT1951" i="2"/>
  <c r="AS1951" i="2"/>
  <c r="AR1951" i="2"/>
  <c r="AQ1951" i="2"/>
  <c r="AP1951" i="2"/>
  <c r="AO1951" i="2"/>
  <c r="R1951" i="2"/>
  <c r="AX1950" i="2"/>
  <c r="AW1950" i="2"/>
  <c r="AV1950" i="2"/>
  <c r="AU1950" i="2"/>
  <c r="AT1950" i="2"/>
  <c r="AS1950" i="2"/>
  <c r="AR1950" i="2"/>
  <c r="AQ1950" i="2"/>
  <c r="AP1950" i="2"/>
  <c r="AO1950" i="2"/>
  <c r="R1950" i="2"/>
  <c r="AX1949" i="2"/>
  <c r="AW1949" i="2"/>
  <c r="AV1949" i="2"/>
  <c r="AU1949" i="2"/>
  <c r="AT1949" i="2"/>
  <c r="AS1949" i="2"/>
  <c r="AR1949" i="2"/>
  <c r="AQ1949" i="2"/>
  <c r="AP1949" i="2"/>
  <c r="AO1949" i="2"/>
  <c r="R1949" i="2"/>
  <c r="AX1948" i="2"/>
  <c r="AW1948" i="2"/>
  <c r="AV1948" i="2"/>
  <c r="AU1948" i="2"/>
  <c r="AT1948" i="2"/>
  <c r="AS1948" i="2"/>
  <c r="AR1948" i="2"/>
  <c r="AQ1948" i="2"/>
  <c r="AP1948" i="2"/>
  <c r="AO1948" i="2"/>
  <c r="R1948" i="2"/>
  <c r="AX1947" i="2"/>
  <c r="AW1947" i="2"/>
  <c r="AV1947" i="2"/>
  <c r="AU1947" i="2"/>
  <c r="AT1947" i="2"/>
  <c r="AS1947" i="2"/>
  <c r="AR1947" i="2"/>
  <c r="AQ1947" i="2"/>
  <c r="AP1947" i="2"/>
  <c r="AO1947" i="2"/>
  <c r="R1947" i="2"/>
  <c r="AX1946" i="2"/>
  <c r="AW1946" i="2"/>
  <c r="AV1946" i="2"/>
  <c r="AU1946" i="2"/>
  <c r="AT1946" i="2"/>
  <c r="AS1946" i="2"/>
  <c r="AR1946" i="2"/>
  <c r="AQ1946" i="2"/>
  <c r="AP1946" i="2"/>
  <c r="AO1946" i="2"/>
  <c r="R1946" i="2"/>
  <c r="AX1945" i="2"/>
  <c r="AW1945" i="2"/>
  <c r="AV1945" i="2"/>
  <c r="AU1945" i="2"/>
  <c r="AT1945" i="2"/>
  <c r="AS1945" i="2"/>
  <c r="AR1945" i="2"/>
  <c r="AQ1945" i="2"/>
  <c r="AP1945" i="2"/>
  <c r="AO1945" i="2"/>
  <c r="R1945" i="2"/>
  <c r="AX1944" i="2"/>
  <c r="AW1944" i="2"/>
  <c r="AV1944" i="2"/>
  <c r="AU1944" i="2"/>
  <c r="AT1944" i="2"/>
  <c r="AS1944" i="2"/>
  <c r="AR1944" i="2"/>
  <c r="AQ1944" i="2"/>
  <c r="AP1944" i="2"/>
  <c r="AO1944" i="2"/>
  <c r="R1944" i="2"/>
  <c r="AX1943" i="2"/>
  <c r="AW1943" i="2"/>
  <c r="AV1943" i="2"/>
  <c r="AU1943" i="2"/>
  <c r="AT1943" i="2"/>
  <c r="AS1943" i="2"/>
  <c r="AR1943" i="2"/>
  <c r="AQ1943" i="2"/>
  <c r="AP1943" i="2"/>
  <c r="AO1943" i="2"/>
  <c r="R1943" i="2"/>
  <c r="AX1942" i="2"/>
  <c r="AW1942" i="2"/>
  <c r="AV1942" i="2"/>
  <c r="AU1942" i="2"/>
  <c r="AT1942" i="2"/>
  <c r="AS1942" i="2"/>
  <c r="AR1942" i="2"/>
  <c r="AQ1942" i="2"/>
  <c r="AP1942" i="2"/>
  <c r="AO1942" i="2"/>
  <c r="R1942" i="2"/>
  <c r="AX1941" i="2"/>
  <c r="AW1941" i="2"/>
  <c r="AV1941" i="2"/>
  <c r="AU1941" i="2"/>
  <c r="AT1941" i="2"/>
  <c r="AS1941" i="2"/>
  <c r="AR1941" i="2"/>
  <c r="AQ1941" i="2"/>
  <c r="AP1941" i="2"/>
  <c r="AO1941" i="2"/>
  <c r="R1941" i="2"/>
  <c r="AX1940" i="2"/>
  <c r="AW1940" i="2"/>
  <c r="AV1940" i="2"/>
  <c r="AU1940" i="2"/>
  <c r="AT1940" i="2"/>
  <c r="AS1940" i="2"/>
  <c r="AR1940" i="2"/>
  <c r="AQ1940" i="2"/>
  <c r="AP1940" i="2"/>
  <c r="AO1940" i="2"/>
  <c r="R1940" i="2"/>
  <c r="AX1939" i="2"/>
  <c r="AW1939" i="2"/>
  <c r="AV1939" i="2"/>
  <c r="AU1939" i="2"/>
  <c r="AT1939" i="2"/>
  <c r="AS1939" i="2"/>
  <c r="AR1939" i="2"/>
  <c r="AQ1939" i="2"/>
  <c r="AP1939" i="2"/>
  <c r="AO1939" i="2"/>
  <c r="R1939" i="2"/>
  <c r="AX1938" i="2"/>
  <c r="AW1938" i="2"/>
  <c r="AV1938" i="2"/>
  <c r="AU1938" i="2"/>
  <c r="AT1938" i="2"/>
  <c r="AS1938" i="2"/>
  <c r="AR1938" i="2"/>
  <c r="AQ1938" i="2"/>
  <c r="AP1938" i="2"/>
  <c r="AO1938" i="2"/>
  <c r="R1938" i="2"/>
  <c r="AX1937" i="2"/>
  <c r="AW1937" i="2"/>
  <c r="AV1937" i="2"/>
  <c r="AU1937" i="2"/>
  <c r="AT1937" i="2"/>
  <c r="AS1937" i="2"/>
  <c r="AR1937" i="2"/>
  <c r="AQ1937" i="2"/>
  <c r="AP1937" i="2"/>
  <c r="AO1937" i="2"/>
  <c r="R1937" i="2"/>
  <c r="AX1936" i="2"/>
  <c r="AW1936" i="2"/>
  <c r="AV1936" i="2"/>
  <c r="AU1936" i="2"/>
  <c r="AT1936" i="2"/>
  <c r="AS1936" i="2"/>
  <c r="AR1936" i="2"/>
  <c r="AQ1936" i="2"/>
  <c r="AP1936" i="2"/>
  <c r="AO1936" i="2"/>
  <c r="R1936" i="2"/>
  <c r="AX1935" i="2"/>
  <c r="AW1935" i="2"/>
  <c r="AV1935" i="2"/>
  <c r="AU1935" i="2"/>
  <c r="AT1935" i="2"/>
  <c r="AS1935" i="2"/>
  <c r="AR1935" i="2"/>
  <c r="AQ1935" i="2"/>
  <c r="AP1935" i="2"/>
  <c r="AO1935" i="2"/>
  <c r="R1935" i="2"/>
  <c r="AX1934" i="2"/>
  <c r="AW1934" i="2"/>
  <c r="AV1934" i="2"/>
  <c r="AU1934" i="2"/>
  <c r="AT1934" i="2"/>
  <c r="AS1934" i="2"/>
  <c r="AR1934" i="2"/>
  <c r="AQ1934" i="2"/>
  <c r="AP1934" i="2"/>
  <c r="AO1934" i="2"/>
  <c r="R1934" i="2"/>
  <c r="AX1933" i="2"/>
  <c r="AW1933" i="2"/>
  <c r="AV1933" i="2"/>
  <c r="AU1933" i="2"/>
  <c r="AT1933" i="2"/>
  <c r="AS1933" i="2"/>
  <c r="AR1933" i="2"/>
  <c r="AQ1933" i="2"/>
  <c r="AP1933" i="2"/>
  <c r="AO1933" i="2"/>
  <c r="R1933" i="2"/>
  <c r="AX1932" i="2"/>
  <c r="AW1932" i="2"/>
  <c r="AV1932" i="2"/>
  <c r="AU1932" i="2"/>
  <c r="AT1932" i="2"/>
  <c r="AS1932" i="2"/>
  <c r="AR1932" i="2"/>
  <c r="AQ1932" i="2"/>
  <c r="AP1932" i="2"/>
  <c r="AO1932" i="2"/>
  <c r="R1932" i="2"/>
  <c r="AX1931" i="2"/>
  <c r="AW1931" i="2"/>
  <c r="AV1931" i="2"/>
  <c r="AU1931" i="2"/>
  <c r="AT1931" i="2"/>
  <c r="AS1931" i="2"/>
  <c r="AR1931" i="2"/>
  <c r="AQ1931" i="2"/>
  <c r="AP1931" i="2"/>
  <c r="AO1931" i="2"/>
  <c r="R1931" i="2"/>
  <c r="AX1930" i="2"/>
  <c r="AW1930" i="2"/>
  <c r="AV1930" i="2"/>
  <c r="AU1930" i="2"/>
  <c r="AT1930" i="2"/>
  <c r="AS1930" i="2"/>
  <c r="AR1930" i="2"/>
  <c r="AQ1930" i="2"/>
  <c r="AP1930" i="2"/>
  <c r="AO1930" i="2"/>
  <c r="R1930" i="2"/>
  <c r="AX1929" i="2"/>
  <c r="AW1929" i="2"/>
  <c r="AV1929" i="2"/>
  <c r="AU1929" i="2"/>
  <c r="AT1929" i="2"/>
  <c r="AS1929" i="2"/>
  <c r="AR1929" i="2"/>
  <c r="AQ1929" i="2"/>
  <c r="AP1929" i="2"/>
  <c r="AO1929" i="2"/>
  <c r="R1929" i="2"/>
  <c r="AX1928" i="2"/>
  <c r="AW1928" i="2"/>
  <c r="AV1928" i="2"/>
  <c r="AU1928" i="2"/>
  <c r="AT1928" i="2"/>
  <c r="AS1928" i="2"/>
  <c r="AR1928" i="2"/>
  <c r="AQ1928" i="2"/>
  <c r="AP1928" i="2"/>
  <c r="AO1928" i="2"/>
  <c r="R1928" i="2"/>
  <c r="AX1927" i="2"/>
  <c r="AW1927" i="2"/>
  <c r="AV1927" i="2"/>
  <c r="AU1927" i="2"/>
  <c r="AT1927" i="2"/>
  <c r="AS1927" i="2"/>
  <c r="AR1927" i="2"/>
  <c r="AQ1927" i="2"/>
  <c r="AP1927" i="2"/>
  <c r="AO1927" i="2"/>
  <c r="R1927" i="2"/>
  <c r="AX1926" i="2"/>
  <c r="AW1926" i="2"/>
  <c r="AV1926" i="2"/>
  <c r="AU1926" i="2"/>
  <c r="AT1926" i="2"/>
  <c r="AS1926" i="2"/>
  <c r="AR1926" i="2"/>
  <c r="AQ1926" i="2"/>
  <c r="AP1926" i="2"/>
  <c r="AO1926" i="2"/>
  <c r="R1926" i="2"/>
  <c r="AX1925" i="2"/>
  <c r="AW1925" i="2"/>
  <c r="AV1925" i="2"/>
  <c r="AU1925" i="2"/>
  <c r="AT1925" i="2"/>
  <c r="AS1925" i="2"/>
  <c r="AR1925" i="2"/>
  <c r="AQ1925" i="2"/>
  <c r="AP1925" i="2"/>
  <c r="AO1925" i="2"/>
  <c r="R1925" i="2"/>
  <c r="AX1924" i="2"/>
  <c r="AW1924" i="2"/>
  <c r="AV1924" i="2"/>
  <c r="AU1924" i="2"/>
  <c r="AT1924" i="2"/>
  <c r="AS1924" i="2"/>
  <c r="AR1924" i="2"/>
  <c r="AQ1924" i="2"/>
  <c r="AP1924" i="2"/>
  <c r="AO1924" i="2"/>
  <c r="R1924" i="2"/>
  <c r="AX1923" i="2"/>
  <c r="AW1923" i="2"/>
  <c r="AV1923" i="2"/>
  <c r="AU1923" i="2"/>
  <c r="AT1923" i="2"/>
  <c r="AS1923" i="2"/>
  <c r="AR1923" i="2"/>
  <c r="AQ1923" i="2"/>
  <c r="AP1923" i="2"/>
  <c r="AO1923" i="2"/>
  <c r="R1923" i="2"/>
  <c r="AX1922" i="2"/>
  <c r="AW1922" i="2"/>
  <c r="AV1922" i="2"/>
  <c r="AU1922" i="2"/>
  <c r="AT1922" i="2"/>
  <c r="AS1922" i="2"/>
  <c r="AR1922" i="2"/>
  <c r="AQ1922" i="2"/>
  <c r="AP1922" i="2"/>
  <c r="AO1922" i="2"/>
  <c r="R1922" i="2"/>
  <c r="AX1921" i="2"/>
  <c r="AW1921" i="2"/>
  <c r="AV1921" i="2"/>
  <c r="AU1921" i="2"/>
  <c r="AT1921" i="2"/>
  <c r="AS1921" i="2"/>
  <c r="AR1921" i="2"/>
  <c r="AQ1921" i="2"/>
  <c r="AP1921" i="2"/>
  <c r="AO1921" i="2"/>
  <c r="R1921" i="2"/>
  <c r="AX1920" i="2"/>
  <c r="AW1920" i="2"/>
  <c r="AV1920" i="2"/>
  <c r="AU1920" i="2"/>
  <c r="AT1920" i="2"/>
  <c r="AS1920" i="2"/>
  <c r="AR1920" i="2"/>
  <c r="AQ1920" i="2"/>
  <c r="AP1920" i="2"/>
  <c r="AO1920" i="2"/>
  <c r="R1920" i="2"/>
  <c r="AX1919" i="2"/>
  <c r="AW1919" i="2"/>
  <c r="AV1919" i="2"/>
  <c r="AU1919" i="2"/>
  <c r="AT1919" i="2"/>
  <c r="AS1919" i="2"/>
  <c r="AR1919" i="2"/>
  <c r="AQ1919" i="2"/>
  <c r="AP1919" i="2"/>
  <c r="AO1919" i="2"/>
  <c r="R1919" i="2"/>
  <c r="AX1918" i="2"/>
  <c r="AW1918" i="2"/>
  <c r="AV1918" i="2"/>
  <c r="AU1918" i="2"/>
  <c r="AT1918" i="2"/>
  <c r="AS1918" i="2"/>
  <c r="AR1918" i="2"/>
  <c r="AQ1918" i="2"/>
  <c r="AP1918" i="2"/>
  <c r="AO1918" i="2"/>
  <c r="R1918" i="2"/>
  <c r="AX1917" i="2"/>
  <c r="AW1917" i="2"/>
  <c r="AV1917" i="2"/>
  <c r="AU1917" i="2"/>
  <c r="AT1917" i="2"/>
  <c r="AS1917" i="2"/>
  <c r="AR1917" i="2"/>
  <c r="AQ1917" i="2"/>
  <c r="AP1917" i="2"/>
  <c r="AO1917" i="2"/>
  <c r="R1917" i="2"/>
  <c r="AX1916" i="2"/>
  <c r="AW1916" i="2"/>
  <c r="AV1916" i="2"/>
  <c r="AU1916" i="2"/>
  <c r="AT1916" i="2"/>
  <c r="AS1916" i="2"/>
  <c r="AR1916" i="2"/>
  <c r="AQ1916" i="2"/>
  <c r="AP1916" i="2"/>
  <c r="AO1916" i="2"/>
  <c r="R1916" i="2"/>
  <c r="AX1915" i="2"/>
  <c r="AW1915" i="2"/>
  <c r="AV1915" i="2"/>
  <c r="AU1915" i="2"/>
  <c r="AT1915" i="2"/>
  <c r="AS1915" i="2"/>
  <c r="AR1915" i="2"/>
  <c r="AQ1915" i="2"/>
  <c r="AP1915" i="2"/>
  <c r="AO1915" i="2"/>
  <c r="R1915" i="2"/>
  <c r="AX1914" i="2"/>
  <c r="AW1914" i="2"/>
  <c r="AV1914" i="2"/>
  <c r="AU1914" i="2"/>
  <c r="AT1914" i="2"/>
  <c r="AS1914" i="2"/>
  <c r="AR1914" i="2"/>
  <c r="AQ1914" i="2"/>
  <c r="AP1914" i="2"/>
  <c r="AO1914" i="2"/>
  <c r="R1914" i="2"/>
  <c r="AX1913" i="2"/>
  <c r="AW1913" i="2"/>
  <c r="AV1913" i="2"/>
  <c r="AU1913" i="2"/>
  <c r="AT1913" i="2"/>
  <c r="AS1913" i="2"/>
  <c r="AR1913" i="2"/>
  <c r="AQ1913" i="2"/>
  <c r="AP1913" i="2"/>
  <c r="AO1913" i="2"/>
  <c r="R1913" i="2"/>
  <c r="AX1912" i="2"/>
  <c r="AW1912" i="2"/>
  <c r="AV1912" i="2"/>
  <c r="AU1912" i="2"/>
  <c r="AT1912" i="2"/>
  <c r="AS1912" i="2"/>
  <c r="AR1912" i="2"/>
  <c r="AQ1912" i="2"/>
  <c r="AP1912" i="2"/>
  <c r="AO1912" i="2"/>
  <c r="R1912" i="2"/>
  <c r="AX1911" i="2"/>
  <c r="AW1911" i="2"/>
  <c r="AV1911" i="2"/>
  <c r="AU1911" i="2"/>
  <c r="AT1911" i="2"/>
  <c r="AS1911" i="2"/>
  <c r="AR1911" i="2"/>
  <c r="AQ1911" i="2"/>
  <c r="AP1911" i="2"/>
  <c r="AO1911" i="2"/>
  <c r="R1911" i="2"/>
  <c r="AX1910" i="2"/>
  <c r="AW1910" i="2"/>
  <c r="AV1910" i="2"/>
  <c r="AU1910" i="2"/>
  <c r="AT1910" i="2"/>
  <c r="AS1910" i="2"/>
  <c r="AR1910" i="2"/>
  <c r="AQ1910" i="2"/>
  <c r="AP1910" i="2"/>
  <c r="AO1910" i="2"/>
  <c r="R1910" i="2"/>
  <c r="AX1909" i="2"/>
  <c r="AW1909" i="2"/>
  <c r="AV1909" i="2"/>
  <c r="AU1909" i="2"/>
  <c r="AT1909" i="2"/>
  <c r="AS1909" i="2"/>
  <c r="AR1909" i="2"/>
  <c r="AQ1909" i="2"/>
  <c r="AP1909" i="2"/>
  <c r="AO1909" i="2"/>
  <c r="R1909" i="2"/>
  <c r="AX1908" i="2"/>
  <c r="AW1908" i="2"/>
  <c r="AV1908" i="2"/>
  <c r="AU1908" i="2"/>
  <c r="AT1908" i="2"/>
  <c r="AS1908" i="2"/>
  <c r="AR1908" i="2"/>
  <c r="AQ1908" i="2"/>
  <c r="AP1908" i="2"/>
  <c r="AO1908" i="2"/>
  <c r="R1908" i="2"/>
  <c r="AX1907" i="2"/>
  <c r="AW1907" i="2"/>
  <c r="AV1907" i="2"/>
  <c r="AU1907" i="2"/>
  <c r="AT1907" i="2"/>
  <c r="AS1907" i="2"/>
  <c r="AR1907" i="2"/>
  <c r="AQ1907" i="2"/>
  <c r="AP1907" i="2"/>
  <c r="AO1907" i="2"/>
  <c r="R1907" i="2"/>
  <c r="AX1906" i="2"/>
  <c r="AW1906" i="2"/>
  <c r="AV1906" i="2"/>
  <c r="AU1906" i="2"/>
  <c r="AT1906" i="2"/>
  <c r="AS1906" i="2"/>
  <c r="AR1906" i="2"/>
  <c r="AQ1906" i="2"/>
  <c r="AP1906" i="2"/>
  <c r="AO1906" i="2"/>
  <c r="R1906" i="2"/>
  <c r="AX1905" i="2"/>
  <c r="AW1905" i="2"/>
  <c r="AV1905" i="2"/>
  <c r="AU1905" i="2"/>
  <c r="AT1905" i="2"/>
  <c r="AS1905" i="2"/>
  <c r="AR1905" i="2"/>
  <c r="AQ1905" i="2"/>
  <c r="AP1905" i="2"/>
  <c r="AO1905" i="2"/>
  <c r="R1905" i="2"/>
  <c r="AX1904" i="2"/>
  <c r="AW1904" i="2"/>
  <c r="AV1904" i="2"/>
  <c r="AU1904" i="2"/>
  <c r="AT1904" i="2"/>
  <c r="AS1904" i="2"/>
  <c r="AR1904" i="2"/>
  <c r="AQ1904" i="2"/>
  <c r="AP1904" i="2"/>
  <c r="AO1904" i="2"/>
  <c r="R1904" i="2"/>
  <c r="AX1903" i="2"/>
  <c r="AW1903" i="2"/>
  <c r="AV1903" i="2"/>
  <c r="AU1903" i="2"/>
  <c r="AT1903" i="2"/>
  <c r="AS1903" i="2"/>
  <c r="AR1903" i="2"/>
  <c r="AQ1903" i="2"/>
  <c r="AP1903" i="2"/>
  <c r="AO1903" i="2"/>
  <c r="R1903" i="2"/>
  <c r="AX1902" i="2"/>
  <c r="AW1902" i="2"/>
  <c r="AV1902" i="2"/>
  <c r="AU1902" i="2"/>
  <c r="AT1902" i="2"/>
  <c r="AS1902" i="2"/>
  <c r="AR1902" i="2"/>
  <c r="AQ1902" i="2"/>
  <c r="AP1902" i="2"/>
  <c r="AO1902" i="2"/>
  <c r="R1902" i="2"/>
  <c r="AX1901" i="2"/>
  <c r="AW1901" i="2"/>
  <c r="AV1901" i="2"/>
  <c r="AU1901" i="2"/>
  <c r="AT1901" i="2"/>
  <c r="AS1901" i="2"/>
  <c r="AR1901" i="2"/>
  <c r="AQ1901" i="2"/>
  <c r="AP1901" i="2"/>
  <c r="AO1901" i="2"/>
  <c r="R1901" i="2"/>
  <c r="AX1900" i="2"/>
  <c r="AW1900" i="2"/>
  <c r="AV1900" i="2"/>
  <c r="AU1900" i="2"/>
  <c r="AT1900" i="2"/>
  <c r="AS1900" i="2"/>
  <c r="AR1900" i="2"/>
  <c r="AQ1900" i="2"/>
  <c r="AP1900" i="2"/>
  <c r="AO1900" i="2"/>
  <c r="R1900" i="2"/>
  <c r="AX1899" i="2"/>
  <c r="AW1899" i="2"/>
  <c r="AV1899" i="2"/>
  <c r="AU1899" i="2"/>
  <c r="AT1899" i="2"/>
  <c r="AS1899" i="2"/>
  <c r="AR1899" i="2"/>
  <c r="AQ1899" i="2"/>
  <c r="AP1899" i="2"/>
  <c r="AO1899" i="2"/>
  <c r="R1899" i="2"/>
  <c r="AX1898" i="2"/>
  <c r="AW1898" i="2"/>
  <c r="AV1898" i="2"/>
  <c r="AU1898" i="2"/>
  <c r="AT1898" i="2"/>
  <c r="AS1898" i="2"/>
  <c r="AR1898" i="2"/>
  <c r="AQ1898" i="2"/>
  <c r="AP1898" i="2"/>
  <c r="AO1898" i="2"/>
  <c r="R1898" i="2"/>
  <c r="AX1897" i="2"/>
  <c r="AW1897" i="2"/>
  <c r="AV1897" i="2"/>
  <c r="AU1897" i="2"/>
  <c r="AT1897" i="2"/>
  <c r="AS1897" i="2"/>
  <c r="AR1897" i="2"/>
  <c r="AQ1897" i="2"/>
  <c r="AP1897" i="2"/>
  <c r="AO1897" i="2"/>
  <c r="R1897" i="2"/>
  <c r="AX1896" i="2"/>
  <c r="AW1896" i="2"/>
  <c r="AV1896" i="2"/>
  <c r="AU1896" i="2"/>
  <c r="AT1896" i="2"/>
  <c r="AS1896" i="2"/>
  <c r="AR1896" i="2"/>
  <c r="AQ1896" i="2"/>
  <c r="AP1896" i="2"/>
  <c r="AO1896" i="2"/>
  <c r="R1896" i="2"/>
  <c r="AX1895" i="2"/>
  <c r="AW1895" i="2"/>
  <c r="AV1895" i="2"/>
  <c r="AU1895" i="2"/>
  <c r="AT1895" i="2"/>
  <c r="AS1895" i="2"/>
  <c r="AR1895" i="2"/>
  <c r="AQ1895" i="2"/>
  <c r="AP1895" i="2"/>
  <c r="AO1895" i="2"/>
  <c r="R1895" i="2"/>
  <c r="AX1894" i="2"/>
  <c r="AW1894" i="2"/>
  <c r="AV1894" i="2"/>
  <c r="AU1894" i="2"/>
  <c r="AT1894" i="2"/>
  <c r="AS1894" i="2"/>
  <c r="AR1894" i="2"/>
  <c r="AQ1894" i="2"/>
  <c r="AP1894" i="2"/>
  <c r="AO1894" i="2"/>
  <c r="R1894" i="2"/>
  <c r="AX1893" i="2"/>
  <c r="AW1893" i="2"/>
  <c r="AV1893" i="2"/>
  <c r="AU1893" i="2"/>
  <c r="AT1893" i="2"/>
  <c r="AS1893" i="2"/>
  <c r="AR1893" i="2"/>
  <c r="AQ1893" i="2"/>
  <c r="AP1893" i="2"/>
  <c r="AO1893" i="2"/>
  <c r="R1893" i="2"/>
  <c r="AX1892" i="2"/>
  <c r="AW1892" i="2"/>
  <c r="AV1892" i="2"/>
  <c r="AU1892" i="2"/>
  <c r="AT1892" i="2"/>
  <c r="AS1892" i="2"/>
  <c r="AR1892" i="2"/>
  <c r="AQ1892" i="2"/>
  <c r="AP1892" i="2"/>
  <c r="AO1892" i="2"/>
  <c r="R1892" i="2"/>
  <c r="AX1891" i="2"/>
  <c r="AW1891" i="2"/>
  <c r="AV1891" i="2"/>
  <c r="AU1891" i="2"/>
  <c r="AT1891" i="2"/>
  <c r="AS1891" i="2"/>
  <c r="AR1891" i="2"/>
  <c r="AQ1891" i="2"/>
  <c r="AP1891" i="2"/>
  <c r="AO1891" i="2"/>
  <c r="R1891" i="2"/>
  <c r="AX1890" i="2"/>
  <c r="AW1890" i="2"/>
  <c r="AV1890" i="2"/>
  <c r="AU1890" i="2"/>
  <c r="AT1890" i="2"/>
  <c r="AS1890" i="2"/>
  <c r="AR1890" i="2"/>
  <c r="AQ1890" i="2"/>
  <c r="AP1890" i="2"/>
  <c r="AO1890" i="2"/>
  <c r="R1890" i="2"/>
  <c r="AX1889" i="2"/>
  <c r="AW1889" i="2"/>
  <c r="AV1889" i="2"/>
  <c r="AU1889" i="2"/>
  <c r="AT1889" i="2"/>
  <c r="AS1889" i="2"/>
  <c r="AR1889" i="2"/>
  <c r="AQ1889" i="2"/>
  <c r="AP1889" i="2"/>
  <c r="AO1889" i="2"/>
  <c r="R1889" i="2"/>
  <c r="AX1888" i="2"/>
  <c r="AW1888" i="2"/>
  <c r="AV1888" i="2"/>
  <c r="AU1888" i="2"/>
  <c r="AT1888" i="2"/>
  <c r="AS1888" i="2"/>
  <c r="AR1888" i="2"/>
  <c r="AQ1888" i="2"/>
  <c r="AP1888" i="2"/>
  <c r="AO1888" i="2"/>
  <c r="R1888" i="2"/>
  <c r="AX1887" i="2"/>
  <c r="AW1887" i="2"/>
  <c r="AV1887" i="2"/>
  <c r="AU1887" i="2"/>
  <c r="AT1887" i="2"/>
  <c r="AS1887" i="2"/>
  <c r="AR1887" i="2"/>
  <c r="AQ1887" i="2"/>
  <c r="AP1887" i="2"/>
  <c r="AO1887" i="2"/>
  <c r="R1887" i="2"/>
  <c r="AX1886" i="2"/>
  <c r="AW1886" i="2"/>
  <c r="AV1886" i="2"/>
  <c r="AU1886" i="2"/>
  <c r="AT1886" i="2"/>
  <c r="AS1886" i="2"/>
  <c r="AR1886" i="2"/>
  <c r="AQ1886" i="2"/>
  <c r="AP1886" i="2"/>
  <c r="AO1886" i="2"/>
  <c r="R1886" i="2"/>
  <c r="AX1885" i="2"/>
  <c r="AW1885" i="2"/>
  <c r="AV1885" i="2"/>
  <c r="AU1885" i="2"/>
  <c r="AT1885" i="2"/>
  <c r="AS1885" i="2"/>
  <c r="AR1885" i="2"/>
  <c r="AQ1885" i="2"/>
  <c r="AP1885" i="2"/>
  <c r="AO1885" i="2"/>
  <c r="R1885" i="2"/>
  <c r="AX1884" i="2"/>
  <c r="AW1884" i="2"/>
  <c r="AV1884" i="2"/>
  <c r="AU1884" i="2"/>
  <c r="AT1884" i="2"/>
  <c r="AS1884" i="2"/>
  <c r="AR1884" i="2"/>
  <c r="AQ1884" i="2"/>
  <c r="AP1884" i="2"/>
  <c r="AO1884" i="2"/>
  <c r="R1884" i="2"/>
  <c r="AX1883" i="2"/>
  <c r="AW1883" i="2"/>
  <c r="AV1883" i="2"/>
  <c r="AU1883" i="2"/>
  <c r="AT1883" i="2"/>
  <c r="AS1883" i="2"/>
  <c r="AR1883" i="2"/>
  <c r="AQ1883" i="2"/>
  <c r="AP1883" i="2"/>
  <c r="AO1883" i="2"/>
  <c r="R1883" i="2"/>
  <c r="AX1882" i="2"/>
  <c r="AW1882" i="2"/>
  <c r="AV1882" i="2"/>
  <c r="AU1882" i="2"/>
  <c r="AT1882" i="2"/>
  <c r="AS1882" i="2"/>
  <c r="AR1882" i="2"/>
  <c r="AQ1882" i="2"/>
  <c r="AP1882" i="2"/>
  <c r="AO1882" i="2"/>
  <c r="R1882" i="2"/>
  <c r="AX1881" i="2"/>
  <c r="AW1881" i="2"/>
  <c r="AV1881" i="2"/>
  <c r="AU1881" i="2"/>
  <c r="AT1881" i="2"/>
  <c r="AS1881" i="2"/>
  <c r="AS1875" i="2"/>
  <c r="AS1876" i="2"/>
  <c r="AS1877" i="2"/>
  <c r="AS1878" i="2"/>
  <c r="AS1879" i="2"/>
  <c r="AS1880" i="2"/>
  <c r="AS1998" i="2"/>
  <c r="AR1881" i="2"/>
  <c r="AQ1881" i="2"/>
  <c r="AP1881" i="2"/>
  <c r="AO1881" i="2"/>
  <c r="R1881" i="2"/>
  <c r="AX1880" i="2"/>
  <c r="AW1880" i="2"/>
  <c r="AV1880" i="2"/>
  <c r="AU1880" i="2"/>
  <c r="AT1880" i="2"/>
  <c r="AR1880" i="2"/>
  <c r="AQ1880" i="2"/>
  <c r="AP1880" i="2"/>
  <c r="AO1880" i="2"/>
  <c r="R1880" i="2"/>
  <c r="AX1879" i="2"/>
  <c r="AW1879" i="2"/>
  <c r="AV1879" i="2"/>
  <c r="AU1879" i="2"/>
  <c r="AT1879" i="2"/>
  <c r="AR1879" i="2"/>
  <c r="AQ1879" i="2"/>
  <c r="AQ1875" i="2"/>
  <c r="AQ1876" i="2"/>
  <c r="AQ1877" i="2"/>
  <c r="AQ1878" i="2"/>
  <c r="AQ1998" i="2"/>
  <c r="J1998" i="2"/>
  <c r="AP1879" i="2"/>
  <c r="AO1879" i="2"/>
  <c r="R1879" i="2"/>
  <c r="AX1878" i="2"/>
  <c r="AW1878" i="2"/>
  <c r="AV1878" i="2"/>
  <c r="AU1878" i="2"/>
  <c r="AT1878" i="2"/>
  <c r="AR1878" i="2"/>
  <c r="AP1878" i="2"/>
  <c r="AO1878" i="2"/>
  <c r="R1878" i="2"/>
  <c r="AX1877" i="2"/>
  <c r="AW1877" i="2"/>
  <c r="AV1877" i="2"/>
  <c r="AU1877" i="2"/>
  <c r="AT1877" i="2"/>
  <c r="AR1877" i="2"/>
  <c r="AP1877" i="2"/>
  <c r="AO1877" i="2"/>
  <c r="R1877" i="2"/>
  <c r="AX1876" i="2"/>
  <c r="AX1875" i="2"/>
  <c r="AX1998" i="2"/>
  <c r="E1998" i="2"/>
  <c r="AW1876" i="2"/>
  <c r="AV1876" i="2"/>
  <c r="AU1876" i="2"/>
  <c r="AT1876" i="2"/>
  <c r="AR1876" i="2"/>
  <c r="AP1876" i="2"/>
  <c r="AP1875" i="2"/>
  <c r="AP1998" i="2"/>
  <c r="I1998" i="2"/>
  <c r="AO1876" i="2"/>
  <c r="AW1875" i="2"/>
  <c r="AW1998" i="2"/>
  <c r="AV1875" i="2"/>
  <c r="AU1875" i="2"/>
  <c r="AT1875" i="2"/>
  <c r="AR1875" i="2"/>
  <c r="AR1998" i="2"/>
  <c r="AO1875" i="2"/>
  <c r="AO1998" i="2"/>
  <c r="H1998" i="2"/>
  <c r="AA1873" i="2"/>
  <c r="Y1873" i="2"/>
  <c r="U1870" i="2"/>
  <c r="U1873" i="2"/>
  <c r="M1873" i="2"/>
  <c r="L1873" i="2"/>
  <c r="J1873" i="2"/>
  <c r="G1870" i="2"/>
  <c r="G1873" i="2"/>
  <c r="AA1872" i="2"/>
  <c r="Y1872" i="2"/>
  <c r="M1872" i="2"/>
  <c r="L1872" i="2"/>
  <c r="J1872" i="2"/>
  <c r="G1872" i="2"/>
  <c r="AX1786" i="2"/>
  <c r="AX1787" i="2"/>
  <c r="AX1788" i="2"/>
  <c r="AX1789" i="2"/>
  <c r="AX1790" i="2"/>
  <c r="AX1791" i="2"/>
  <c r="AX1792" i="2"/>
  <c r="AX1793" i="2"/>
  <c r="AX1794" i="2"/>
  <c r="AX1795" i="2"/>
  <c r="AX1796" i="2"/>
  <c r="AX1797" i="2"/>
  <c r="AX1798" i="2"/>
  <c r="AX1799" i="2"/>
  <c r="AX1800" i="2"/>
  <c r="AX1801" i="2"/>
  <c r="AX1802" i="2"/>
  <c r="AX1803" i="2"/>
  <c r="AX1804" i="2"/>
  <c r="AX1805" i="2"/>
  <c r="AX1806" i="2"/>
  <c r="AX1807" i="2"/>
  <c r="AX1808" i="2"/>
  <c r="AX1809" i="2"/>
  <c r="AX1810" i="2"/>
  <c r="AX1811" i="2"/>
  <c r="AX1812" i="2"/>
  <c r="AX1813" i="2"/>
  <c r="AX1814" i="2"/>
  <c r="AX1815" i="2"/>
  <c r="AX1816" i="2"/>
  <c r="AX1817" i="2"/>
  <c r="AX1818" i="2"/>
  <c r="AX1819" i="2"/>
  <c r="AX1820" i="2"/>
  <c r="AX1821" i="2"/>
  <c r="AX1822" i="2"/>
  <c r="AX1823" i="2"/>
  <c r="AX1824" i="2"/>
  <c r="AX1825" i="2"/>
  <c r="AX1826" i="2"/>
  <c r="AX1827" i="2"/>
  <c r="AX1828" i="2"/>
  <c r="AX1829" i="2"/>
  <c r="AX1830" i="2"/>
  <c r="AX1831" i="2"/>
  <c r="AX1832" i="2"/>
  <c r="AX1833" i="2"/>
  <c r="AX1834" i="2"/>
  <c r="AX1835" i="2"/>
  <c r="AX1836" i="2"/>
  <c r="AX1837" i="2"/>
  <c r="AX1838" i="2"/>
  <c r="AX1839" i="2"/>
  <c r="AX1840" i="2"/>
  <c r="AX1841" i="2"/>
  <c r="AX1842" i="2"/>
  <c r="AX1843" i="2"/>
  <c r="AX1844" i="2"/>
  <c r="AX1845" i="2"/>
  <c r="AX1846" i="2"/>
  <c r="AX1847" i="2"/>
  <c r="AX1848" i="2"/>
  <c r="AX1849" i="2"/>
  <c r="AX1850" i="2"/>
  <c r="AX1851" i="2"/>
  <c r="AX1852" i="2"/>
  <c r="AX1853" i="2"/>
  <c r="AX1854" i="2"/>
  <c r="AX1855" i="2"/>
  <c r="AX1856" i="2"/>
  <c r="AX1857" i="2"/>
  <c r="AX1858" i="2"/>
  <c r="AX1859" i="2"/>
  <c r="AX1860" i="2"/>
  <c r="AX1861" i="2"/>
  <c r="AX1862" i="2"/>
  <c r="AX1863" i="2"/>
  <c r="AX1864" i="2"/>
  <c r="AX1865" i="2"/>
  <c r="AX1866" i="2"/>
  <c r="AX1867" i="2"/>
  <c r="AX1868" i="2"/>
  <c r="AX1869" i="2"/>
  <c r="AX1870" i="2"/>
  <c r="AX1871" i="2"/>
  <c r="G1871" i="2"/>
  <c r="E1871" i="2"/>
  <c r="AA1871" i="2"/>
  <c r="Y1871" i="2"/>
  <c r="AW1870" i="2"/>
  <c r="AV1870" i="2"/>
  <c r="AU1870" i="2"/>
  <c r="AT1870" i="2"/>
  <c r="AR1870" i="2"/>
  <c r="AQ1870" i="2"/>
  <c r="AP1870" i="2"/>
  <c r="AO1870" i="2"/>
  <c r="Z1870" i="2"/>
  <c r="X1870" i="2"/>
  <c r="AS1870" i="2"/>
  <c r="AW1869" i="2"/>
  <c r="AV1869" i="2"/>
  <c r="AU1869" i="2"/>
  <c r="AT1869" i="2"/>
  <c r="AS1869" i="2"/>
  <c r="AR1869" i="2"/>
  <c r="AQ1869" i="2"/>
  <c r="AP1869" i="2"/>
  <c r="AO1869" i="2"/>
  <c r="Z1869" i="2"/>
  <c r="X1869" i="2"/>
  <c r="AW1868" i="2"/>
  <c r="AV1868" i="2"/>
  <c r="AU1868" i="2"/>
  <c r="AT1868" i="2"/>
  <c r="AS1868" i="2"/>
  <c r="AR1868" i="2"/>
  <c r="AQ1868" i="2"/>
  <c r="AP1868" i="2"/>
  <c r="AO1868" i="2"/>
  <c r="Z1868" i="2"/>
  <c r="X1868" i="2"/>
  <c r="AW1867" i="2"/>
  <c r="AV1867" i="2"/>
  <c r="AU1867" i="2"/>
  <c r="AT1867" i="2"/>
  <c r="AS1867" i="2"/>
  <c r="AR1867" i="2"/>
  <c r="AQ1867" i="2"/>
  <c r="AP1867" i="2"/>
  <c r="AO1867" i="2"/>
  <c r="Z1867" i="2"/>
  <c r="X1867" i="2"/>
  <c r="AW1866" i="2"/>
  <c r="AV1866" i="2"/>
  <c r="AU1866" i="2"/>
  <c r="AT1866" i="2"/>
  <c r="AS1866" i="2"/>
  <c r="AR1866" i="2"/>
  <c r="AQ1866" i="2"/>
  <c r="AP1866" i="2"/>
  <c r="AO1866" i="2"/>
  <c r="Z1866" i="2"/>
  <c r="X1866" i="2"/>
  <c r="AW1865" i="2"/>
  <c r="AV1865" i="2"/>
  <c r="AU1865" i="2"/>
  <c r="AT1865" i="2"/>
  <c r="AS1865" i="2"/>
  <c r="AR1865" i="2"/>
  <c r="AQ1865" i="2"/>
  <c r="AP1865" i="2"/>
  <c r="AO1865" i="2"/>
  <c r="Z1865" i="2"/>
  <c r="X1865" i="2"/>
  <c r="AW1864" i="2"/>
  <c r="AV1864" i="2"/>
  <c r="AU1864" i="2"/>
  <c r="AT1864" i="2"/>
  <c r="AS1864" i="2"/>
  <c r="AR1864" i="2"/>
  <c r="AQ1864" i="2"/>
  <c r="AP1864" i="2"/>
  <c r="AO1864" i="2"/>
  <c r="Z1864" i="2"/>
  <c r="X1864" i="2"/>
  <c r="AW1863" i="2"/>
  <c r="AV1863" i="2"/>
  <c r="AU1863" i="2"/>
  <c r="AT1863" i="2"/>
  <c r="AS1863" i="2"/>
  <c r="AR1863" i="2"/>
  <c r="AQ1863" i="2"/>
  <c r="AP1863" i="2"/>
  <c r="AO1863" i="2"/>
  <c r="Z1863" i="2"/>
  <c r="X1863" i="2"/>
  <c r="AW1862" i="2"/>
  <c r="AV1862" i="2"/>
  <c r="AU1862" i="2"/>
  <c r="AT1862" i="2"/>
  <c r="AS1862" i="2"/>
  <c r="AR1862" i="2"/>
  <c r="AQ1862" i="2"/>
  <c r="AP1862" i="2"/>
  <c r="AO1862" i="2"/>
  <c r="Z1862" i="2"/>
  <c r="X1862" i="2"/>
  <c r="AW1861" i="2"/>
  <c r="AV1861" i="2"/>
  <c r="AU1861" i="2"/>
  <c r="AT1861" i="2"/>
  <c r="AS1861" i="2"/>
  <c r="AR1861" i="2"/>
  <c r="AQ1861" i="2"/>
  <c r="AP1861" i="2"/>
  <c r="AO1861" i="2"/>
  <c r="Z1861" i="2"/>
  <c r="X1861" i="2"/>
  <c r="AW1860" i="2"/>
  <c r="AV1860" i="2"/>
  <c r="AU1860" i="2"/>
  <c r="AT1860" i="2"/>
  <c r="AS1860" i="2"/>
  <c r="AR1860" i="2"/>
  <c r="AQ1860" i="2"/>
  <c r="AP1860" i="2"/>
  <c r="AO1860" i="2"/>
  <c r="Z1860" i="2"/>
  <c r="X1860" i="2"/>
  <c r="AW1859" i="2"/>
  <c r="AV1859" i="2"/>
  <c r="AU1859" i="2"/>
  <c r="AT1859" i="2"/>
  <c r="AS1859" i="2"/>
  <c r="AR1859" i="2"/>
  <c r="AQ1859" i="2"/>
  <c r="AP1859" i="2"/>
  <c r="AO1859" i="2"/>
  <c r="Z1859" i="2"/>
  <c r="X1859" i="2"/>
  <c r="AW1858" i="2"/>
  <c r="AV1858" i="2"/>
  <c r="AU1858" i="2"/>
  <c r="AT1858" i="2"/>
  <c r="AS1858" i="2"/>
  <c r="AR1858" i="2"/>
  <c r="AQ1858" i="2"/>
  <c r="AP1858" i="2"/>
  <c r="AO1858" i="2"/>
  <c r="Z1858" i="2"/>
  <c r="X1858" i="2"/>
  <c r="AW1857" i="2"/>
  <c r="AV1857" i="2"/>
  <c r="AU1857" i="2"/>
  <c r="AT1857" i="2"/>
  <c r="AS1857" i="2"/>
  <c r="AR1857" i="2"/>
  <c r="AQ1857" i="2"/>
  <c r="AP1857" i="2"/>
  <c r="AO1857" i="2"/>
  <c r="Z1857" i="2"/>
  <c r="X1857" i="2"/>
  <c r="AW1856" i="2"/>
  <c r="AV1856" i="2"/>
  <c r="AU1856" i="2"/>
  <c r="AT1856" i="2"/>
  <c r="AS1856" i="2"/>
  <c r="AR1856" i="2"/>
  <c r="AQ1856" i="2"/>
  <c r="AP1856" i="2"/>
  <c r="AO1856" i="2"/>
  <c r="Z1856" i="2"/>
  <c r="X1856" i="2"/>
  <c r="AW1855" i="2"/>
  <c r="AV1855" i="2"/>
  <c r="AU1855" i="2"/>
  <c r="AT1855" i="2"/>
  <c r="AS1855" i="2"/>
  <c r="AR1855" i="2"/>
  <c r="AQ1855" i="2"/>
  <c r="AP1855" i="2"/>
  <c r="AO1855" i="2"/>
  <c r="Z1855" i="2"/>
  <c r="X1855" i="2"/>
  <c r="AW1854" i="2"/>
  <c r="AV1854" i="2"/>
  <c r="AU1854" i="2"/>
  <c r="AT1854" i="2"/>
  <c r="AS1854" i="2"/>
  <c r="AR1854" i="2"/>
  <c r="AQ1854" i="2"/>
  <c r="AP1854" i="2"/>
  <c r="AO1854" i="2"/>
  <c r="Z1854" i="2"/>
  <c r="X1854" i="2"/>
  <c r="AW1853" i="2"/>
  <c r="AV1853" i="2"/>
  <c r="AU1853" i="2"/>
  <c r="AT1853" i="2"/>
  <c r="AS1853" i="2"/>
  <c r="AR1853" i="2"/>
  <c r="AQ1853" i="2"/>
  <c r="AP1853" i="2"/>
  <c r="AO1853" i="2"/>
  <c r="Z1853" i="2"/>
  <c r="X1853" i="2"/>
  <c r="AW1852" i="2"/>
  <c r="AV1852" i="2"/>
  <c r="AU1852" i="2"/>
  <c r="AT1852" i="2"/>
  <c r="AS1852" i="2"/>
  <c r="AR1852" i="2"/>
  <c r="AQ1852" i="2"/>
  <c r="AP1852" i="2"/>
  <c r="AO1852" i="2"/>
  <c r="Z1852" i="2"/>
  <c r="X1852" i="2"/>
  <c r="AW1851" i="2"/>
  <c r="AV1851" i="2"/>
  <c r="AU1851" i="2"/>
  <c r="AT1851" i="2"/>
  <c r="AS1851" i="2"/>
  <c r="AR1851" i="2"/>
  <c r="AQ1851" i="2"/>
  <c r="AP1851" i="2"/>
  <c r="AO1851" i="2"/>
  <c r="Z1851" i="2"/>
  <c r="X1851" i="2"/>
  <c r="AW1850" i="2"/>
  <c r="AV1850" i="2"/>
  <c r="AU1850" i="2"/>
  <c r="AT1850" i="2"/>
  <c r="AS1850" i="2"/>
  <c r="AR1850" i="2"/>
  <c r="AQ1850" i="2"/>
  <c r="AP1850" i="2"/>
  <c r="AO1850" i="2"/>
  <c r="Z1850" i="2"/>
  <c r="X1850" i="2"/>
  <c r="AW1849" i="2"/>
  <c r="AV1849" i="2"/>
  <c r="AU1849" i="2"/>
  <c r="AT1849" i="2"/>
  <c r="AS1849" i="2"/>
  <c r="AR1849" i="2"/>
  <c r="AQ1849" i="2"/>
  <c r="AP1849" i="2"/>
  <c r="AO1849" i="2"/>
  <c r="Z1849" i="2"/>
  <c r="X1849" i="2"/>
  <c r="AW1848" i="2"/>
  <c r="AV1848" i="2"/>
  <c r="AU1848" i="2"/>
  <c r="AT1848" i="2"/>
  <c r="AS1848" i="2"/>
  <c r="AR1848" i="2"/>
  <c r="AQ1848" i="2"/>
  <c r="AP1848" i="2"/>
  <c r="AO1848" i="2"/>
  <c r="Z1848" i="2"/>
  <c r="X1848" i="2"/>
  <c r="AW1847" i="2"/>
  <c r="AV1847" i="2"/>
  <c r="AU1847" i="2"/>
  <c r="AT1847" i="2"/>
  <c r="AS1847" i="2"/>
  <c r="AR1847" i="2"/>
  <c r="AQ1847" i="2"/>
  <c r="AP1847" i="2"/>
  <c r="AO1847" i="2"/>
  <c r="Z1847" i="2"/>
  <c r="X1847" i="2"/>
  <c r="AW1846" i="2"/>
  <c r="AV1846" i="2"/>
  <c r="AU1846" i="2"/>
  <c r="AT1846" i="2"/>
  <c r="AS1846" i="2"/>
  <c r="AR1846" i="2"/>
  <c r="AQ1846" i="2"/>
  <c r="AP1846" i="2"/>
  <c r="AO1846" i="2"/>
  <c r="Z1846" i="2"/>
  <c r="X1846" i="2"/>
  <c r="AW1845" i="2"/>
  <c r="AV1845" i="2"/>
  <c r="AU1845" i="2"/>
  <c r="AT1845" i="2"/>
  <c r="AS1845" i="2"/>
  <c r="AR1845" i="2"/>
  <c r="AQ1845" i="2"/>
  <c r="AP1845" i="2"/>
  <c r="AO1845" i="2"/>
  <c r="Z1845" i="2"/>
  <c r="X1845" i="2"/>
  <c r="AW1844" i="2"/>
  <c r="AV1844" i="2"/>
  <c r="AU1844" i="2"/>
  <c r="AT1844" i="2"/>
  <c r="AS1844" i="2"/>
  <c r="AR1844" i="2"/>
  <c r="AQ1844" i="2"/>
  <c r="AP1844" i="2"/>
  <c r="AO1844" i="2"/>
  <c r="Z1844" i="2"/>
  <c r="X1844" i="2"/>
  <c r="AW1843" i="2"/>
  <c r="AV1843" i="2"/>
  <c r="AU1843" i="2"/>
  <c r="AT1843" i="2"/>
  <c r="AS1843" i="2"/>
  <c r="AR1843" i="2"/>
  <c r="AQ1843" i="2"/>
  <c r="AP1843" i="2"/>
  <c r="AO1843" i="2"/>
  <c r="Z1843" i="2"/>
  <c r="X1843" i="2"/>
  <c r="AW1842" i="2"/>
  <c r="AV1842" i="2"/>
  <c r="AU1842" i="2"/>
  <c r="AT1842" i="2"/>
  <c r="AS1842" i="2"/>
  <c r="AR1842" i="2"/>
  <c r="AQ1842" i="2"/>
  <c r="AP1842" i="2"/>
  <c r="AO1842" i="2"/>
  <c r="Z1842" i="2"/>
  <c r="X1842" i="2"/>
  <c r="AW1841" i="2"/>
  <c r="AV1841" i="2"/>
  <c r="AU1841" i="2"/>
  <c r="AT1841" i="2"/>
  <c r="AS1841" i="2"/>
  <c r="AR1841" i="2"/>
  <c r="AQ1841" i="2"/>
  <c r="AP1841" i="2"/>
  <c r="AO1841" i="2"/>
  <c r="Z1841" i="2"/>
  <c r="X1841" i="2"/>
  <c r="AW1840" i="2"/>
  <c r="AV1840" i="2"/>
  <c r="AU1840" i="2"/>
  <c r="AT1840" i="2"/>
  <c r="AS1840" i="2"/>
  <c r="AR1840" i="2"/>
  <c r="AQ1840" i="2"/>
  <c r="AP1840" i="2"/>
  <c r="AO1840" i="2"/>
  <c r="Z1840" i="2"/>
  <c r="X1840" i="2"/>
  <c r="AW1839" i="2"/>
  <c r="AV1839" i="2"/>
  <c r="AU1839" i="2"/>
  <c r="AT1839" i="2"/>
  <c r="AS1839" i="2"/>
  <c r="AR1839" i="2"/>
  <c r="AQ1839" i="2"/>
  <c r="AP1839" i="2"/>
  <c r="AO1839" i="2"/>
  <c r="Z1839" i="2"/>
  <c r="X1839" i="2"/>
  <c r="AW1838" i="2"/>
  <c r="AV1838" i="2"/>
  <c r="AU1838" i="2"/>
  <c r="AT1838" i="2"/>
  <c r="AS1838" i="2"/>
  <c r="AR1838" i="2"/>
  <c r="AQ1838" i="2"/>
  <c r="AP1838" i="2"/>
  <c r="AO1838" i="2"/>
  <c r="Z1838" i="2"/>
  <c r="X1838" i="2"/>
  <c r="AW1837" i="2"/>
  <c r="AV1837" i="2"/>
  <c r="AU1837" i="2"/>
  <c r="AT1837" i="2"/>
  <c r="AS1837" i="2"/>
  <c r="AR1837" i="2"/>
  <c r="AQ1837" i="2"/>
  <c r="AP1837" i="2"/>
  <c r="AO1837" i="2"/>
  <c r="Z1837" i="2"/>
  <c r="X1837" i="2"/>
  <c r="AW1836" i="2"/>
  <c r="AV1836" i="2"/>
  <c r="AU1836" i="2"/>
  <c r="AT1836" i="2"/>
  <c r="AS1836" i="2"/>
  <c r="AR1836" i="2"/>
  <c r="AQ1836" i="2"/>
  <c r="AP1836" i="2"/>
  <c r="AO1836" i="2"/>
  <c r="Z1836" i="2"/>
  <c r="X1836" i="2"/>
  <c r="AW1835" i="2"/>
  <c r="AV1835" i="2"/>
  <c r="AU1835" i="2"/>
  <c r="AT1835" i="2"/>
  <c r="AS1835" i="2"/>
  <c r="AR1835" i="2"/>
  <c r="AQ1835" i="2"/>
  <c r="AP1835" i="2"/>
  <c r="AO1835" i="2"/>
  <c r="Z1835" i="2"/>
  <c r="X1835" i="2"/>
  <c r="AW1834" i="2"/>
  <c r="AV1834" i="2"/>
  <c r="AU1834" i="2"/>
  <c r="AT1834" i="2"/>
  <c r="AS1834" i="2"/>
  <c r="AR1834" i="2"/>
  <c r="AQ1834" i="2"/>
  <c r="AP1834" i="2"/>
  <c r="AO1834" i="2"/>
  <c r="Z1834" i="2"/>
  <c r="X1834" i="2"/>
  <c r="AW1833" i="2"/>
  <c r="AV1833" i="2"/>
  <c r="AU1833" i="2"/>
  <c r="AT1833" i="2"/>
  <c r="AS1833" i="2"/>
  <c r="AR1833" i="2"/>
  <c r="AQ1833" i="2"/>
  <c r="AP1833" i="2"/>
  <c r="AO1833" i="2"/>
  <c r="Z1833" i="2"/>
  <c r="X1833" i="2"/>
  <c r="AW1832" i="2"/>
  <c r="AV1832" i="2"/>
  <c r="AU1832" i="2"/>
  <c r="AT1832" i="2"/>
  <c r="AS1832" i="2"/>
  <c r="AR1832" i="2"/>
  <c r="AQ1832" i="2"/>
  <c r="AP1832" i="2"/>
  <c r="AO1832" i="2"/>
  <c r="Z1832" i="2"/>
  <c r="X1832" i="2"/>
  <c r="AW1831" i="2"/>
  <c r="AV1831" i="2"/>
  <c r="AU1831" i="2"/>
  <c r="AT1831" i="2"/>
  <c r="AS1831" i="2"/>
  <c r="AR1831" i="2"/>
  <c r="AQ1831" i="2"/>
  <c r="AP1831" i="2"/>
  <c r="AO1831" i="2"/>
  <c r="Z1831" i="2"/>
  <c r="X1831" i="2"/>
  <c r="AW1830" i="2"/>
  <c r="AV1830" i="2"/>
  <c r="AU1830" i="2"/>
  <c r="AT1830" i="2"/>
  <c r="AS1830" i="2"/>
  <c r="AR1830" i="2"/>
  <c r="AQ1830" i="2"/>
  <c r="AP1830" i="2"/>
  <c r="AO1830" i="2"/>
  <c r="Z1830" i="2"/>
  <c r="X1830" i="2"/>
  <c r="AW1829" i="2"/>
  <c r="AV1829" i="2"/>
  <c r="AU1829" i="2"/>
  <c r="AT1829" i="2"/>
  <c r="AS1829" i="2"/>
  <c r="AR1829" i="2"/>
  <c r="AQ1829" i="2"/>
  <c r="AP1829" i="2"/>
  <c r="AO1829" i="2"/>
  <c r="Z1829" i="2"/>
  <c r="X1829" i="2"/>
  <c r="AW1828" i="2"/>
  <c r="AV1828" i="2"/>
  <c r="AU1828" i="2"/>
  <c r="AT1828" i="2"/>
  <c r="AS1828" i="2"/>
  <c r="AR1828" i="2"/>
  <c r="AQ1828" i="2"/>
  <c r="AP1828" i="2"/>
  <c r="AO1828" i="2"/>
  <c r="Z1828" i="2"/>
  <c r="X1828" i="2"/>
  <c r="AW1827" i="2"/>
  <c r="AV1827" i="2"/>
  <c r="AU1827" i="2"/>
  <c r="AT1827" i="2"/>
  <c r="AS1827" i="2"/>
  <c r="AR1827" i="2"/>
  <c r="AQ1827" i="2"/>
  <c r="AP1827" i="2"/>
  <c r="AO1827" i="2"/>
  <c r="Z1827" i="2"/>
  <c r="X1827" i="2"/>
  <c r="AW1826" i="2"/>
  <c r="AV1826" i="2"/>
  <c r="AU1826" i="2"/>
  <c r="AT1826" i="2"/>
  <c r="AS1826" i="2"/>
  <c r="AR1826" i="2"/>
  <c r="AQ1826" i="2"/>
  <c r="AP1826" i="2"/>
  <c r="AO1826" i="2"/>
  <c r="Z1826" i="2"/>
  <c r="X1826" i="2"/>
  <c r="AW1825" i="2"/>
  <c r="AV1825" i="2"/>
  <c r="AU1825" i="2"/>
  <c r="AT1825" i="2"/>
  <c r="AS1825" i="2"/>
  <c r="AR1825" i="2"/>
  <c r="AQ1825" i="2"/>
  <c r="AP1825" i="2"/>
  <c r="AO1825" i="2"/>
  <c r="Z1825" i="2"/>
  <c r="X1825" i="2"/>
  <c r="AW1824" i="2"/>
  <c r="AV1824" i="2"/>
  <c r="AU1824" i="2"/>
  <c r="AT1824" i="2"/>
  <c r="AS1824" i="2"/>
  <c r="AR1824" i="2"/>
  <c r="AQ1824" i="2"/>
  <c r="AP1824" i="2"/>
  <c r="AO1824" i="2"/>
  <c r="Z1824" i="2"/>
  <c r="X1824" i="2"/>
  <c r="AW1823" i="2"/>
  <c r="AV1823" i="2"/>
  <c r="AU1823" i="2"/>
  <c r="AT1823" i="2"/>
  <c r="AS1823" i="2"/>
  <c r="AR1823" i="2"/>
  <c r="AQ1823" i="2"/>
  <c r="AP1823" i="2"/>
  <c r="AO1823" i="2"/>
  <c r="Z1823" i="2"/>
  <c r="X1823" i="2"/>
  <c r="AW1822" i="2"/>
  <c r="AV1822" i="2"/>
  <c r="AU1822" i="2"/>
  <c r="AT1822" i="2"/>
  <c r="AS1822" i="2"/>
  <c r="AR1822" i="2"/>
  <c r="AQ1822" i="2"/>
  <c r="AP1822" i="2"/>
  <c r="AO1822" i="2"/>
  <c r="Z1822" i="2"/>
  <c r="X1822" i="2"/>
  <c r="AW1821" i="2"/>
  <c r="AV1821" i="2"/>
  <c r="AU1821" i="2"/>
  <c r="AT1821" i="2"/>
  <c r="AS1821" i="2"/>
  <c r="AR1821" i="2"/>
  <c r="AQ1821" i="2"/>
  <c r="AP1821" i="2"/>
  <c r="AO1821" i="2"/>
  <c r="Z1821" i="2"/>
  <c r="X1821" i="2"/>
  <c r="AW1820" i="2"/>
  <c r="AV1820" i="2"/>
  <c r="AU1820" i="2"/>
  <c r="AT1820" i="2"/>
  <c r="AS1820" i="2"/>
  <c r="AR1820" i="2"/>
  <c r="AQ1820" i="2"/>
  <c r="AP1820" i="2"/>
  <c r="AO1820" i="2"/>
  <c r="Z1820" i="2"/>
  <c r="X1820" i="2"/>
  <c r="AW1819" i="2"/>
  <c r="AV1819" i="2"/>
  <c r="AU1819" i="2"/>
  <c r="AT1819" i="2"/>
  <c r="AS1819" i="2"/>
  <c r="AR1819" i="2"/>
  <c r="AQ1819" i="2"/>
  <c r="AP1819" i="2"/>
  <c r="AO1819" i="2"/>
  <c r="Z1819" i="2"/>
  <c r="X1819" i="2"/>
  <c r="AW1818" i="2"/>
  <c r="AV1818" i="2"/>
  <c r="AU1818" i="2"/>
  <c r="AT1818" i="2"/>
  <c r="AS1818" i="2"/>
  <c r="AR1818" i="2"/>
  <c r="AQ1818" i="2"/>
  <c r="AP1818" i="2"/>
  <c r="AO1818" i="2"/>
  <c r="Z1818" i="2"/>
  <c r="X1818" i="2"/>
  <c r="AW1817" i="2"/>
  <c r="AV1817" i="2"/>
  <c r="AU1817" i="2"/>
  <c r="AT1817" i="2"/>
  <c r="AS1817" i="2"/>
  <c r="AR1817" i="2"/>
  <c r="AQ1817" i="2"/>
  <c r="AP1817" i="2"/>
  <c r="AO1817" i="2"/>
  <c r="Z1817" i="2"/>
  <c r="X1817" i="2"/>
  <c r="AW1816" i="2"/>
  <c r="AV1816" i="2"/>
  <c r="AU1816" i="2"/>
  <c r="AT1816" i="2"/>
  <c r="AS1816" i="2"/>
  <c r="AR1816" i="2"/>
  <c r="AQ1816" i="2"/>
  <c r="AP1816" i="2"/>
  <c r="AO1816" i="2"/>
  <c r="Z1816" i="2"/>
  <c r="X1816" i="2"/>
  <c r="AW1815" i="2"/>
  <c r="AV1815" i="2"/>
  <c r="AU1815" i="2"/>
  <c r="AT1815" i="2"/>
  <c r="AS1815" i="2"/>
  <c r="AR1815" i="2"/>
  <c r="AQ1815" i="2"/>
  <c r="AP1815" i="2"/>
  <c r="AO1815" i="2"/>
  <c r="Z1815" i="2"/>
  <c r="X1815" i="2"/>
  <c r="AW1814" i="2"/>
  <c r="AV1814" i="2"/>
  <c r="AU1814" i="2"/>
  <c r="AT1814" i="2"/>
  <c r="AS1814" i="2"/>
  <c r="AR1814" i="2"/>
  <c r="AQ1814" i="2"/>
  <c r="AP1814" i="2"/>
  <c r="AO1814" i="2"/>
  <c r="Z1814" i="2"/>
  <c r="X1814" i="2"/>
  <c r="AW1813" i="2"/>
  <c r="AV1813" i="2"/>
  <c r="AU1813" i="2"/>
  <c r="AT1813" i="2"/>
  <c r="AS1813" i="2"/>
  <c r="AR1813" i="2"/>
  <c r="AQ1813" i="2"/>
  <c r="AP1813" i="2"/>
  <c r="AO1813" i="2"/>
  <c r="Z1813" i="2"/>
  <c r="X1813" i="2"/>
  <c r="AW1812" i="2"/>
  <c r="AV1812" i="2"/>
  <c r="AU1812" i="2"/>
  <c r="AT1812" i="2"/>
  <c r="AS1812" i="2"/>
  <c r="AR1812" i="2"/>
  <c r="AQ1812" i="2"/>
  <c r="AP1812" i="2"/>
  <c r="AO1812" i="2"/>
  <c r="Z1812" i="2"/>
  <c r="X1812" i="2"/>
  <c r="AW1811" i="2"/>
  <c r="AV1811" i="2"/>
  <c r="AU1811" i="2"/>
  <c r="AT1811" i="2"/>
  <c r="AS1811" i="2"/>
  <c r="AR1811" i="2"/>
  <c r="AQ1811" i="2"/>
  <c r="AP1811" i="2"/>
  <c r="AO1811" i="2"/>
  <c r="Z1811" i="2"/>
  <c r="X1811" i="2"/>
  <c r="AW1810" i="2"/>
  <c r="AV1810" i="2"/>
  <c r="AU1810" i="2"/>
  <c r="AT1810" i="2"/>
  <c r="AS1810" i="2"/>
  <c r="AR1810" i="2"/>
  <c r="AQ1810" i="2"/>
  <c r="AP1810" i="2"/>
  <c r="AO1810" i="2"/>
  <c r="Z1810" i="2"/>
  <c r="X1810" i="2"/>
  <c r="AW1809" i="2"/>
  <c r="AV1809" i="2"/>
  <c r="AU1809" i="2"/>
  <c r="AT1809" i="2"/>
  <c r="AS1809" i="2"/>
  <c r="AR1809" i="2"/>
  <c r="AQ1809" i="2"/>
  <c r="AP1809" i="2"/>
  <c r="AO1809" i="2"/>
  <c r="Z1809" i="2"/>
  <c r="X1809" i="2"/>
  <c r="AW1808" i="2"/>
  <c r="AV1808" i="2"/>
  <c r="AU1808" i="2"/>
  <c r="AT1808" i="2"/>
  <c r="AS1808" i="2"/>
  <c r="AR1808" i="2"/>
  <c r="AQ1808" i="2"/>
  <c r="AP1808" i="2"/>
  <c r="AO1808" i="2"/>
  <c r="Z1808" i="2"/>
  <c r="X1808" i="2"/>
  <c r="AW1807" i="2"/>
  <c r="AV1807" i="2"/>
  <c r="AU1807" i="2"/>
  <c r="AT1807" i="2"/>
  <c r="AS1807" i="2"/>
  <c r="AR1807" i="2"/>
  <c r="AQ1807" i="2"/>
  <c r="AP1807" i="2"/>
  <c r="AO1807" i="2"/>
  <c r="Z1807" i="2"/>
  <c r="X1807" i="2"/>
  <c r="AW1806" i="2"/>
  <c r="AV1806" i="2"/>
  <c r="AU1806" i="2"/>
  <c r="AT1806" i="2"/>
  <c r="AS1806" i="2"/>
  <c r="AR1806" i="2"/>
  <c r="AQ1806" i="2"/>
  <c r="AP1806" i="2"/>
  <c r="AO1806" i="2"/>
  <c r="Z1806" i="2"/>
  <c r="X1806" i="2"/>
  <c r="AW1805" i="2"/>
  <c r="AV1805" i="2"/>
  <c r="AU1805" i="2"/>
  <c r="AT1805" i="2"/>
  <c r="AS1805" i="2"/>
  <c r="AR1805" i="2"/>
  <c r="AQ1805" i="2"/>
  <c r="AP1805" i="2"/>
  <c r="AO1805" i="2"/>
  <c r="Z1805" i="2"/>
  <c r="X1805" i="2"/>
  <c r="AW1804" i="2"/>
  <c r="AV1804" i="2"/>
  <c r="AU1804" i="2"/>
  <c r="AT1804" i="2"/>
  <c r="AS1804" i="2"/>
  <c r="AR1804" i="2"/>
  <c r="AQ1804" i="2"/>
  <c r="AP1804" i="2"/>
  <c r="AO1804" i="2"/>
  <c r="Z1804" i="2"/>
  <c r="X1804" i="2"/>
  <c r="AW1803" i="2"/>
  <c r="AV1803" i="2"/>
  <c r="AU1803" i="2"/>
  <c r="AT1803" i="2"/>
  <c r="AS1803" i="2"/>
  <c r="AR1803" i="2"/>
  <c r="AQ1803" i="2"/>
  <c r="AP1803" i="2"/>
  <c r="AO1803" i="2"/>
  <c r="Z1803" i="2"/>
  <c r="X1803" i="2"/>
  <c r="AW1802" i="2"/>
  <c r="AV1802" i="2"/>
  <c r="AU1802" i="2"/>
  <c r="AT1802" i="2"/>
  <c r="AS1802" i="2"/>
  <c r="AR1802" i="2"/>
  <c r="AQ1802" i="2"/>
  <c r="AP1802" i="2"/>
  <c r="AO1802" i="2"/>
  <c r="Z1802" i="2"/>
  <c r="X1802" i="2"/>
  <c r="AW1801" i="2"/>
  <c r="AV1801" i="2"/>
  <c r="AU1801" i="2"/>
  <c r="AT1801" i="2"/>
  <c r="AS1801" i="2"/>
  <c r="AR1801" i="2"/>
  <c r="AQ1801" i="2"/>
  <c r="AP1801" i="2"/>
  <c r="AO1801" i="2"/>
  <c r="Z1801" i="2"/>
  <c r="X1801" i="2"/>
  <c r="AW1800" i="2"/>
  <c r="AV1800" i="2"/>
  <c r="AU1800" i="2"/>
  <c r="AT1800" i="2"/>
  <c r="AS1800" i="2"/>
  <c r="AR1800" i="2"/>
  <c r="AQ1800" i="2"/>
  <c r="AP1800" i="2"/>
  <c r="AO1800" i="2"/>
  <c r="Z1800" i="2"/>
  <c r="X1800" i="2"/>
  <c r="AW1799" i="2"/>
  <c r="AV1799" i="2"/>
  <c r="AU1799" i="2"/>
  <c r="AT1799" i="2"/>
  <c r="AS1799" i="2"/>
  <c r="AR1799" i="2"/>
  <c r="AQ1799" i="2"/>
  <c r="AP1799" i="2"/>
  <c r="AO1799" i="2"/>
  <c r="Z1799" i="2"/>
  <c r="X1799" i="2"/>
  <c r="AW1798" i="2"/>
  <c r="AV1798" i="2"/>
  <c r="AU1798" i="2"/>
  <c r="AT1798" i="2"/>
  <c r="AS1798" i="2"/>
  <c r="AR1798" i="2"/>
  <c r="AQ1798" i="2"/>
  <c r="AP1798" i="2"/>
  <c r="AO1798" i="2"/>
  <c r="Z1798" i="2"/>
  <c r="X1798" i="2"/>
  <c r="AW1797" i="2"/>
  <c r="AV1797" i="2"/>
  <c r="AU1797" i="2"/>
  <c r="AT1797" i="2"/>
  <c r="AS1797" i="2"/>
  <c r="AR1797" i="2"/>
  <c r="AQ1797" i="2"/>
  <c r="AP1797" i="2"/>
  <c r="AO1797" i="2"/>
  <c r="Z1797" i="2"/>
  <c r="X1797" i="2"/>
  <c r="AW1796" i="2"/>
  <c r="AV1796" i="2"/>
  <c r="AU1796" i="2"/>
  <c r="AT1796" i="2"/>
  <c r="AS1796" i="2"/>
  <c r="AR1796" i="2"/>
  <c r="AQ1796" i="2"/>
  <c r="AP1796" i="2"/>
  <c r="AO1796" i="2"/>
  <c r="Z1796" i="2"/>
  <c r="X1796" i="2"/>
  <c r="AW1795" i="2"/>
  <c r="AV1795" i="2"/>
  <c r="AU1795" i="2"/>
  <c r="AT1795" i="2"/>
  <c r="AS1795" i="2"/>
  <c r="AR1795" i="2"/>
  <c r="AQ1795" i="2"/>
  <c r="AP1795" i="2"/>
  <c r="AO1795" i="2"/>
  <c r="Z1795" i="2"/>
  <c r="X1795" i="2"/>
  <c r="AW1794" i="2"/>
  <c r="AV1794" i="2"/>
  <c r="AU1794" i="2"/>
  <c r="AT1794" i="2"/>
  <c r="AS1794" i="2"/>
  <c r="AR1794" i="2"/>
  <c r="AQ1794" i="2"/>
  <c r="AP1794" i="2"/>
  <c r="AO1794" i="2"/>
  <c r="Z1794" i="2"/>
  <c r="X1794" i="2"/>
  <c r="AW1793" i="2"/>
  <c r="AV1793" i="2"/>
  <c r="AU1793" i="2"/>
  <c r="AT1793" i="2"/>
  <c r="AS1793" i="2"/>
  <c r="AR1793" i="2"/>
  <c r="AQ1793" i="2"/>
  <c r="AP1793" i="2"/>
  <c r="AO1793" i="2"/>
  <c r="Z1793" i="2"/>
  <c r="X1793" i="2"/>
  <c r="AW1792" i="2"/>
  <c r="AV1792" i="2"/>
  <c r="AU1792" i="2"/>
  <c r="AT1792" i="2"/>
  <c r="AS1792" i="2"/>
  <c r="AR1792" i="2"/>
  <c r="AQ1792" i="2"/>
  <c r="AP1792" i="2"/>
  <c r="AO1792" i="2"/>
  <c r="Z1792" i="2"/>
  <c r="X1792" i="2"/>
  <c r="AW1791" i="2"/>
  <c r="AV1791" i="2"/>
  <c r="AU1791" i="2"/>
  <c r="AT1791" i="2"/>
  <c r="AS1791" i="2"/>
  <c r="AR1791" i="2"/>
  <c r="AQ1791" i="2"/>
  <c r="AP1791" i="2"/>
  <c r="AO1791" i="2"/>
  <c r="Z1791" i="2"/>
  <c r="X1791" i="2"/>
  <c r="AW1790" i="2"/>
  <c r="AV1790" i="2"/>
  <c r="AU1790" i="2"/>
  <c r="AT1790" i="2"/>
  <c r="AS1790" i="2"/>
  <c r="AR1790" i="2"/>
  <c r="AQ1790" i="2"/>
  <c r="AP1790" i="2"/>
  <c r="AO1790" i="2"/>
  <c r="Z1790" i="2"/>
  <c r="X1790" i="2"/>
  <c r="AW1789" i="2"/>
  <c r="AV1789" i="2"/>
  <c r="AU1789" i="2"/>
  <c r="AT1789" i="2"/>
  <c r="AS1789" i="2"/>
  <c r="AR1789" i="2"/>
  <c r="AQ1789" i="2"/>
  <c r="AP1789" i="2"/>
  <c r="AO1789" i="2"/>
  <c r="X1789" i="2"/>
  <c r="AW1788" i="2"/>
  <c r="AV1788" i="2"/>
  <c r="AU1788" i="2"/>
  <c r="AT1788" i="2"/>
  <c r="AS1788" i="2"/>
  <c r="AR1788" i="2"/>
  <c r="AQ1788" i="2"/>
  <c r="AP1788" i="2"/>
  <c r="AO1788" i="2"/>
  <c r="X1788" i="2"/>
  <c r="AW1787" i="2"/>
  <c r="AV1787" i="2"/>
  <c r="AV1786" i="2"/>
  <c r="AV1871" i="2"/>
  <c r="AU1787" i="2"/>
  <c r="AT1787" i="2"/>
  <c r="AS1787" i="2"/>
  <c r="AR1787" i="2"/>
  <c r="AR1786" i="2"/>
  <c r="AR1871" i="2"/>
  <c r="AQ1787" i="2"/>
  <c r="AP1787" i="2"/>
  <c r="AP1786" i="2"/>
  <c r="AP1871" i="2"/>
  <c r="AO1787" i="2"/>
  <c r="X1787" i="2"/>
  <c r="X1786" i="2"/>
  <c r="X1872" i="2"/>
  <c r="AW1786" i="2"/>
  <c r="AW1871" i="2"/>
  <c r="AU1786" i="2"/>
  <c r="AU1871" i="2"/>
  <c r="AT1786" i="2"/>
  <c r="AS1786" i="2"/>
  <c r="AQ1786" i="2"/>
  <c r="AQ1871" i="2"/>
  <c r="J1871" i="2"/>
  <c r="AO1786" i="2"/>
  <c r="AO1871" i="2"/>
  <c r="X1871" i="2"/>
  <c r="AM1784" i="2"/>
  <c r="H1784" i="2"/>
  <c r="G1781" i="2"/>
  <c r="G1784" i="2"/>
  <c r="AM1783" i="2"/>
  <c r="H1783" i="2"/>
  <c r="G1783" i="2"/>
  <c r="AV1713" i="2"/>
  <c r="AV1714" i="2"/>
  <c r="AV1715" i="2"/>
  <c r="AV1716" i="2"/>
  <c r="AV1717" i="2"/>
  <c r="AV1718" i="2"/>
  <c r="AV1719" i="2"/>
  <c r="AV1720" i="2"/>
  <c r="AV1721" i="2"/>
  <c r="AV1722" i="2"/>
  <c r="AV1723" i="2"/>
  <c r="AV1724" i="2"/>
  <c r="AV1725" i="2"/>
  <c r="AV1726" i="2"/>
  <c r="AV1727" i="2"/>
  <c r="AV1728" i="2"/>
  <c r="AV1729" i="2"/>
  <c r="AV1730" i="2"/>
  <c r="AV1731" i="2"/>
  <c r="AV1732" i="2"/>
  <c r="AV1733" i="2"/>
  <c r="AV1734" i="2"/>
  <c r="AV1735" i="2"/>
  <c r="AV1736" i="2"/>
  <c r="AV1737" i="2"/>
  <c r="AV1738" i="2"/>
  <c r="AV1739" i="2"/>
  <c r="AV1740" i="2"/>
  <c r="AV1741" i="2"/>
  <c r="AV1742" i="2"/>
  <c r="AV1743" i="2"/>
  <c r="AV1744" i="2"/>
  <c r="AV1745" i="2"/>
  <c r="AV1746" i="2"/>
  <c r="AV1747" i="2"/>
  <c r="AV1748" i="2"/>
  <c r="AV1749" i="2"/>
  <c r="AV1750" i="2"/>
  <c r="AV1751" i="2"/>
  <c r="AV1752" i="2"/>
  <c r="AV1753" i="2"/>
  <c r="AV1754" i="2"/>
  <c r="AV1755" i="2"/>
  <c r="AV1756" i="2"/>
  <c r="AV1757" i="2"/>
  <c r="AV1758" i="2"/>
  <c r="AV1759" i="2"/>
  <c r="AV1760" i="2"/>
  <c r="AV1761" i="2"/>
  <c r="AV1762" i="2"/>
  <c r="AV1763" i="2"/>
  <c r="AV1764" i="2"/>
  <c r="AV1765" i="2"/>
  <c r="AV1766" i="2"/>
  <c r="AV1767" i="2"/>
  <c r="AV1768" i="2"/>
  <c r="AV1769" i="2"/>
  <c r="AV1770" i="2"/>
  <c r="AV1771" i="2"/>
  <c r="AV1772" i="2"/>
  <c r="AV1773" i="2"/>
  <c r="AV1774" i="2"/>
  <c r="AV1775" i="2"/>
  <c r="AV1776" i="2"/>
  <c r="AV1777" i="2"/>
  <c r="AV1778" i="2"/>
  <c r="AV1779" i="2"/>
  <c r="AV1780" i="2"/>
  <c r="AV1781" i="2"/>
  <c r="AV1782" i="2"/>
  <c r="AM1782" i="2"/>
  <c r="G1782" i="2"/>
  <c r="AX1781" i="2"/>
  <c r="AU1781" i="2"/>
  <c r="AS1781" i="2"/>
  <c r="AR1781" i="2"/>
  <c r="AQ1781" i="2"/>
  <c r="AP1781" i="2"/>
  <c r="S1781" i="2"/>
  <c r="AT1781" i="2"/>
  <c r="AX1780" i="2"/>
  <c r="AW1780" i="2"/>
  <c r="AU1780" i="2"/>
  <c r="AT1780" i="2"/>
  <c r="AS1780" i="2"/>
  <c r="AR1780" i="2"/>
  <c r="AQ1780" i="2"/>
  <c r="AP1780" i="2"/>
  <c r="AO1780" i="2"/>
  <c r="R1780" i="2"/>
  <c r="AX1779" i="2"/>
  <c r="AW1779" i="2"/>
  <c r="AU1779" i="2"/>
  <c r="AT1779" i="2"/>
  <c r="AS1779" i="2"/>
  <c r="AR1779" i="2"/>
  <c r="AQ1779" i="2"/>
  <c r="AP1779" i="2"/>
  <c r="AO1779" i="2"/>
  <c r="R1779" i="2"/>
  <c r="AX1778" i="2"/>
  <c r="AW1778" i="2"/>
  <c r="AU1778" i="2"/>
  <c r="AT1778" i="2"/>
  <c r="AS1778" i="2"/>
  <c r="AR1778" i="2"/>
  <c r="AQ1778" i="2"/>
  <c r="AP1778" i="2"/>
  <c r="AO1778" i="2"/>
  <c r="R1778" i="2"/>
  <c r="AX1777" i="2"/>
  <c r="AW1777" i="2"/>
  <c r="AU1777" i="2"/>
  <c r="AT1777" i="2"/>
  <c r="AS1777" i="2"/>
  <c r="AR1777" i="2"/>
  <c r="AQ1777" i="2"/>
  <c r="AP1777" i="2"/>
  <c r="AO1777" i="2"/>
  <c r="R1777" i="2"/>
  <c r="AX1776" i="2"/>
  <c r="AW1776" i="2"/>
  <c r="AU1776" i="2"/>
  <c r="AT1776" i="2"/>
  <c r="AS1776" i="2"/>
  <c r="AR1776" i="2"/>
  <c r="AQ1776" i="2"/>
  <c r="AP1776" i="2"/>
  <c r="AO1776" i="2"/>
  <c r="R1776" i="2"/>
  <c r="AX1775" i="2"/>
  <c r="AW1775" i="2"/>
  <c r="AU1775" i="2"/>
  <c r="AT1775" i="2"/>
  <c r="AS1775" i="2"/>
  <c r="AR1775" i="2"/>
  <c r="AQ1775" i="2"/>
  <c r="AP1775" i="2"/>
  <c r="AO1775" i="2"/>
  <c r="R1775" i="2"/>
  <c r="AX1774" i="2"/>
  <c r="AW1774" i="2"/>
  <c r="AU1774" i="2"/>
  <c r="AT1774" i="2"/>
  <c r="AS1774" i="2"/>
  <c r="AR1774" i="2"/>
  <c r="AQ1774" i="2"/>
  <c r="AP1774" i="2"/>
  <c r="AO1774" i="2"/>
  <c r="R1774" i="2"/>
  <c r="AX1773" i="2"/>
  <c r="AW1773" i="2"/>
  <c r="AU1773" i="2"/>
  <c r="AT1773" i="2"/>
  <c r="AS1773" i="2"/>
  <c r="AR1773" i="2"/>
  <c r="AQ1773" i="2"/>
  <c r="AP1773" i="2"/>
  <c r="AO1773" i="2"/>
  <c r="R1773" i="2"/>
  <c r="AX1772" i="2"/>
  <c r="AW1772" i="2"/>
  <c r="AU1772" i="2"/>
  <c r="AT1772" i="2"/>
  <c r="AS1772" i="2"/>
  <c r="AR1772" i="2"/>
  <c r="AQ1772" i="2"/>
  <c r="AP1772" i="2"/>
  <c r="AO1772" i="2"/>
  <c r="R1772" i="2"/>
  <c r="AX1771" i="2"/>
  <c r="AW1771" i="2"/>
  <c r="AU1771" i="2"/>
  <c r="AT1771" i="2"/>
  <c r="AS1771" i="2"/>
  <c r="AR1771" i="2"/>
  <c r="AQ1771" i="2"/>
  <c r="AP1771" i="2"/>
  <c r="AO1771" i="2"/>
  <c r="R1771" i="2"/>
  <c r="AX1770" i="2"/>
  <c r="AW1770" i="2"/>
  <c r="AU1770" i="2"/>
  <c r="AT1770" i="2"/>
  <c r="AS1770" i="2"/>
  <c r="AR1770" i="2"/>
  <c r="AQ1770" i="2"/>
  <c r="AP1770" i="2"/>
  <c r="AO1770" i="2"/>
  <c r="R1770" i="2"/>
  <c r="AX1769" i="2"/>
  <c r="AW1769" i="2"/>
  <c r="AU1769" i="2"/>
  <c r="AT1769" i="2"/>
  <c r="AS1769" i="2"/>
  <c r="AR1769" i="2"/>
  <c r="AQ1769" i="2"/>
  <c r="AP1769" i="2"/>
  <c r="AO1769" i="2"/>
  <c r="R1769" i="2"/>
  <c r="AX1768" i="2"/>
  <c r="AW1768" i="2"/>
  <c r="AU1768" i="2"/>
  <c r="AT1768" i="2"/>
  <c r="AS1768" i="2"/>
  <c r="AR1768" i="2"/>
  <c r="AQ1768" i="2"/>
  <c r="AP1768" i="2"/>
  <c r="AO1768" i="2"/>
  <c r="R1768" i="2"/>
  <c r="AX1767" i="2"/>
  <c r="AW1767" i="2"/>
  <c r="AU1767" i="2"/>
  <c r="AT1767" i="2"/>
  <c r="AS1767" i="2"/>
  <c r="AR1767" i="2"/>
  <c r="AQ1767" i="2"/>
  <c r="AP1767" i="2"/>
  <c r="AO1767" i="2"/>
  <c r="R1767" i="2"/>
  <c r="AX1766" i="2"/>
  <c r="AW1766" i="2"/>
  <c r="AU1766" i="2"/>
  <c r="AT1766" i="2"/>
  <c r="AS1766" i="2"/>
  <c r="AR1766" i="2"/>
  <c r="AQ1766" i="2"/>
  <c r="AP1766" i="2"/>
  <c r="AO1766" i="2"/>
  <c r="R1766" i="2"/>
  <c r="AX1765" i="2"/>
  <c r="AW1765" i="2"/>
  <c r="AU1765" i="2"/>
  <c r="AT1765" i="2"/>
  <c r="AS1765" i="2"/>
  <c r="AR1765" i="2"/>
  <c r="AQ1765" i="2"/>
  <c r="AP1765" i="2"/>
  <c r="AO1765" i="2"/>
  <c r="R1765" i="2"/>
  <c r="AX1764" i="2"/>
  <c r="AW1764" i="2"/>
  <c r="AU1764" i="2"/>
  <c r="AT1764" i="2"/>
  <c r="AS1764" i="2"/>
  <c r="AR1764" i="2"/>
  <c r="AQ1764" i="2"/>
  <c r="AP1764" i="2"/>
  <c r="AO1764" i="2"/>
  <c r="R1764" i="2"/>
  <c r="AX1763" i="2"/>
  <c r="AW1763" i="2"/>
  <c r="AU1763" i="2"/>
  <c r="AT1763" i="2"/>
  <c r="AS1763" i="2"/>
  <c r="AR1763" i="2"/>
  <c r="AQ1763" i="2"/>
  <c r="AP1763" i="2"/>
  <c r="AO1763" i="2"/>
  <c r="R1763" i="2"/>
  <c r="AX1762" i="2"/>
  <c r="AW1762" i="2"/>
  <c r="AU1762" i="2"/>
  <c r="AT1762" i="2"/>
  <c r="AS1762" i="2"/>
  <c r="AR1762" i="2"/>
  <c r="AQ1762" i="2"/>
  <c r="AP1762" i="2"/>
  <c r="AO1762" i="2"/>
  <c r="R1762" i="2"/>
  <c r="AX1761" i="2"/>
  <c r="AW1761" i="2"/>
  <c r="AU1761" i="2"/>
  <c r="AT1761" i="2"/>
  <c r="AS1761" i="2"/>
  <c r="AR1761" i="2"/>
  <c r="AQ1761" i="2"/>
  <c r="AP1761" i="2"/>
  <c r="AO1761" i="2"/>
  <c r="R1761" i="2"/>
  <c r="AX1760" i="2"/>
  <c r="AW1760" i="2"/>
  <c r="AU1760" i="2"/>
  <c r="AT1760" i="2"/>
  <c r="AS1760" i="2"/>
  <c r="AR1760" i="2"/>
  <c r="AQ1760" i="2"/>
  <c r="AP1760" i="2"/>
  <c r="AO1760" i="2"/>
  <c r="R1760" i="2"/>
  <c r="AX1759" i="2"/>
  <c r="AW1759" i="2"/>
  <c r="AU1759" i="2"/>
  <c r="AT1759" i="2"/>
  <c r="AS1759" i="2"/>
  <c r="AR1759" i="2"/>
  <c r="AQ1759" i="2"/>
  <c r="AP1759" i="2"/>
  <c r="AO1759" i="2"/>
  <c r="R1759" i="2"/>
  <c r="AX1758" i="2"/>
  <c r="AW1758" i="2"/>
  <c r="AU1758" i="2"/>
  <c r="AT1758" i="2"/>
  <c r="AS1758" i="2"/>
  <c r="AR1758" i="2"/>
  <c r="AQ1758" i="2"/>
  <c r="AP1758" i="2"/>
  <c r="AO1758" i="2"/>
  <c r="R1758" i="2"/>
  <c r="AX1757" i="2"/>
  <c r="AW1757" i="2"/>
  <c r="AU1757" i="2"/>
  <c r="AT1757" i="2"/>
  <c r="AS1757" i="2"/>
  <c r="AR1757" i="2"/>
  <c r="AQ1757" i="2"/>
  <c r="AP1757" i="2"/>
  <c r="AO1757" i="2"/>
  <c r="R1757" i="2"/>
  <c r="AX1756" i="2"/>
  <c r="AW1756" i="2"/>
  <c r="AU1756" i="2"/>
  <c r="AT1756" i="2"/>
  <c r="AS1756" i="2"/>
  <c r="AR1756" i="2"/>
  <c r="AQ1756" i="2"/>
  <c r="AP1756" i="2"/>
  <c r="AO1756" i="2"/>
  <c r="R1756" i="2"/>
  <c r="AX1755" i="2"/>
  <c r="AW1755" i="2"/>
  <c r="AU1755" i="2"/>
  <c r="AT1755" i="2"/>
  <c r="AS1755" i="2"/>
  <c r="AR1755" i="2"/>
  <c r="AQ1755" i="2"/>
  <c r="AP1755" i="2"/>
  <c r="AO1755" i="2"/>
  <c r="R1755" i="2"/>
  <c r="AX1754" i="2"/>
  <c r="AW1754" i="2"/>
  <c r="AU1754" i="2"/>
  <c r="AT1754" i="2"/>
  <c r="AS1754" i="2"/>
  <c r="AR1754" i="2"/>
  <c r="AQ1754" i="2"/>
  <c r="AP1754" i="2"/>
  <c r="AO1754" i="2"/>
  <c r="R1754" i="2"/>
  <c r="AX1753" i="2"/>
  <c r="AW1753" i="2"/>
  <c r="AU1753" i="2"/>
  <c r="AT1753" i="2"/>
  <c r="AS1753" i="2"/>
  <c r="AR1753" i="2"/>
  <c r="AQ1753" i="2"/>
  <c r="AP1753" i="2"/>
  <c r="AO1753" i="2"/>
  <c r="R1753" i="2"/>
  <c r="AX1752" i="2"/>
  <c r="AW1752" i="2"/>
  <c r="AU1752" i="2"/>
  <c r="AT1752" i="2"/>
  <c r="AS1752" i="2"/>
  <c r="AR1752" i="2"/>
  <c r="AQ1752" i="2"/>
  <c r="AP1752" i="2"/>
  <c r="AO1752" i="2"/>
  <c r="R1752" i="2"/>
  <c r="AX1751" i="2"/>
  <c r="AW1751" i="2"/>
  <c r="AU1751" i="2"/>
  <c r="AT1751" i="2"/>
  <c r="AS1751" i="2"/>
  <c r="AR1751" i="2"/>
  <c r="AQ1751" i="2"/>
  <c r="AP1751" i="2"/>
  <c r="AO1751" i="2"/>
  <c r="R1751" i="2"/>
  <c r="AX1750" i="2"/>
  <c r="AW1750" i="2"/>
  <c r="AU1750" i="2"/>
  <c r="AT1750" i="2"/>
  <c r="AS1750" i="2"/>
  <c r="AR1750" i="2"/>
  <c r="AQ1750" i="2"/>
  <c r="AP1750" i="2"/>
  <c r="AO1750" i="2"/>
  <c r="R1750" i="2"/>
  <c r="AX1749" i="2"/>
  <c r="AW1749" i="2"/>
  <c r="AU1749" i="2"/>
  <c r="AT1749" i="2"/>
  <c r="AS1749" i="2"/>
  <c r="AR1749" i="2"/>
  <c r="AQ1749" i="2"/>
  <c r="AP1749" i="2"/>
  <c r="AO1749" i="2"/>
  <c r="R1749" i="2"/>
  <c r="AX1748" i="2"/>
  <c r="AW1748" i="2"/>
  <c r="AU1748" i="2"/>
  <c r="AT1748" i="2"/>
  <c r="AS1748" i="2"/>
  <c r="AR1748" i="2"/>
  <c r="AQ1748" i="2"/>
  <c r="AP1748" i="2"/>
  <c r="AO1748" i="2"/>
  <c r="R1748" i="2"/>
  <c r="AX1747" i="2"/>
  <c r="AW1747" i="2"/>
  <c r="AU1747" i="2"/>
  <c r="AT1747" i="2"/>
  <c r="AS1747" i="2"/>
  <c r="AR1747" i="2"/>
  <c r="AQ1747" i="2"/>
  <c r="AP1747" i="2"/>
  <c r="AO1747" i="2"/>
  <c r="R1747" i="2"/>
  <c r="AX1746" i="2"/>
  <c r="AW1746" i="2"/>
  <c r="AU1746" i="2"/>
  <c r="AT1746" i="2"/>
  <c r="AS1746" i="2"/>
  <c r="AR1746" i="2"/>
  <c r="AQ1746" i="2"/>
  <c r="AP1746" i="2"/>
  <c r="AO1746" i="2"/>
  <c r="R1746" i="2"/>
  <c r="AX1745" i="2"/>
  <c r="AW1745" i="2"/>
  <c r="AU1745" i="2"/>
  <c r="AT1745" i="2"/>
  <c r="AS1745" i="2"/>
  <c r="AR1745" i="2"/>
  <c r="AQ1745" i="2"/>
  <c r="AP1745" i="2"/>
  <c r="AO1745" i="2"/>
  <c r="R1745" i="2"/>
  <c r="AX1744" i="2"/>
  <c r="AW1744" i="2"/>
  <c r="AU1744" i="2"/>
  <c r="AT1744" i="2"/>
  <c r="AS1744" i="2"/>
  <c r="AR1744" i="2"/>
  <c r="AQ1744" i="2"/>
  <c r="AP1744" i="2"/>
  <c r="AO1744" i="2"/>
  <c r="R1744" i="2"/>
  <c r="AX1743" i="2"/>
  <c r="AW1743" i="2"/>
  <c r="AU1743" i="2"/>
  <c r="AT1743" i="2"/>
  <c r="AS1743" i="2"/>
  <c r="AR1743" i="2"/>
  <c r="AQ1743" i="2"/>
  <c r="AP1743" i="2"/>
  <c r="AO1743" i="2"/>
  <c r="R1743" i="2"/>
  <c r="AX1742" i="2"/>
  <c r="AW1742" i="2"/>
  <c r="AU1742" i="2"/>
  <c r="AT1742" i="2"/>
  <c r="AS1742" i="2"/>
  <c r="AR1742" i="2"/>
  <c r="AQ1742" i="2"/>
  <c r="AP1742" i="2"/>
  <c r="AO1742" i="2"/>
  <c r="R1742" i="2"/>
  <c r="AX1741" i="2"/>
  <c r="AW1741" i="2"/>
  <c r="AU1741" i="2"/>
  <c r="AT1741" i="2"/>
  <c r="AS1741" i="2"/>
  <c r="AR1741" i="2"/>
  <c r="AQ1741" i="2"/>
  <c r="AP1741" i="2"/>
  <c r="AO1741" i="2"/>
  <c r="R1741" i="2"/>
  <c r="AX1740" i="2"/>
  <c r="AW1740" i="2"/>
  <c r="AU1740" i="2"/>
  <c r="AT1740" i="2"/>
  <c r="AS1740" i="2"/>
  <c r="AR1740" i="2"/>
  <c r="AQ1740" i="2"/>
  <c r="AP1740" i="2"/>
  <c r="AO1740" i="2"/>
  <c r="R1740" i="2"/>
  <c r="AX1739" i="2"/>
  <c r="AW1739" i="2"/>
  <c r="AU1739" i="2"/>
  <c r="AT1739" i="2"/>
  <c r="AS1739" i="2"/>
  <c r="AR1739" i="2"/>
  <c r="AQ1739" i="2"/>
  <c r="AP1739" i="2"/>
  <c r="AO1739" i="2"/>
  <c r="R1739" i="2"/>
  <c r="AX1738" i="2"/>
  <c r="AW1738" i="2"/>
  <c r="AU1738" i="2"/>
  <c r="AT1738" i="2"/>
  <c r="AS1738" i="2"/>
  <c r="AR1738" i="2"/>
  <c r="AQ1738" i="2"/>
  <c r="AP1738" i="2"/>
  <c r="AO1738" i="2"/>
  <c r="R1738" i="2"/>
  <c r="AX1737" i="2"/>
  <c r="AW1737" i="2"/>
  <c r="AU1737" i="2"/>
  <c r="AT1737" i="2"/>
  <c r="AS1737" i="2"/>
  <c r="AR1737" i="2"/>
  <c r="AQ1737" i="2"/>
  <c r="AP1737" i="2"/>
  <c r="AO1737" i="2"/>
  <c r="R1737" i="2"/>
  <c r="AX1736" i="2"/>
  <c r="AW1736" i="2"/>
  <c r="AU1736" i="2"/>
  <c r="AT1736" i="2"/>
  <c r="AS1736" i="2"/>
  <c r="AR1736" i="2"/>
  <c r="AQ1736" i="2"/>
  <c r="AP1736" i="2"/>
  <c r="AO1736" i="2"/>
  <c r="R1736" i="2"/>
  <c r="AX1735" i="2"/>
  <c r="AW1735" i="2"/>
  <c r="AU1735" i="2"/>
  <c r="AT1735" i="2"/>
  <c r="AS1735" i="2"/>
  <c r="AR1735" i="2"/>
  <c r="AQ1735" i="2"/>
  <c r="AP1735" i="2"/>
  <c r="AO1735" i="2"/>
  <c r="R1735" i="2"/>
  <c r="AX1734" i="2"/>
  <c r="AW1734" i="2"/>
  <c r="AU1734" i="2"/>
  <c r="AT1734" i="2"/>
  <c r="AS1734" i="2"/>
  <c r="AR1734" i="2"/>
  <c r="AQ1734" i="2"/>
  <c r="AP1734" i="2"/>
  <c r="AO1734" i="2"/>
  <c r="R1734" i="2"/>
  <c r="AX1733" i="2"/>
  <c r="AW1733" i="2"/>
  <c r="AU1733" i="2"/>
  <c r="AT1733" i="2"/>
  <c r="AS1733" i="2"/>
  <c r="AR1733" i="2"/>
  <c r="AQ1733" i="2"/>
  <c r="AP1733" i="2"/>
  <c r="AO1733" i="2"/>
  <c r="R1733" i="2"/>
  <c r="AX1732" i="2"/>
  <c r="AW1732" i="2"/>
  <c r="AU1732" i="2"/>
  <c r="AT1732" i="2"/>
  <c r="AS1732" i="2"/>
  <c r="AR1732" i="2"/>
  <c r="AQ1732" i="2"/>
  <c r="AP1732" i="2"/>
  <c r="AO1732" i="2"/>
  <c r="R1732" i="2"/>
  <c r="AX1731" i="2"/>
  <c r="AW1731" i="2"/>
  <c r="AU1731" i="2"/>
  <c r="AT1731" i="2"/>
  <c r="AS1731" i="2"/>
  <c r="AR1731" i="2"/>
  <c r="AQ1731" i="2"/>
  <c r="AP1731" i="2"/>
  <c r="AO1731" i="2"/>
  <c r="R1731" i="2"/>
  <c r="AX1730" i="2"/>
  <c r="AW1730" i="2"/>
  <c r="AU1730" i="2"/>
  <c r="AT1730" i="2"/>
  <c r="AS1730" i="2"/>
  <c r="AR1730" i="2"/>
  <c r="AQ1730" i="2"/>
  <c r="AP1730" i="2"/>
  <c r="AO1730" i="2"/>
  <c r="R1730" i="2"/>
  <c r="AX1729" i="2"/>
  <c r="AW1729" i="2"/>
  <c r="AU1729" i="2"/>
  <c r="AT1729" i="2"/>
  <c r="AS1729" i="2"/>
  <c r="AR1729" i="2"/>
  <c r="AQ1729" i="2"/>
  <c r="AP1729" i="2"/>
  <c r="AO1729" i="2"/>
  <c r="R1729" i="2"/>
  <c r="AX1728" i="2"/>
  <c r="AW1728" i="2"/>
  <c r="AU1728" i="2"/>
  <c r="AT1728" i="2"/>
  <c r="AS1728" i="2"/>
  <c r="AR1728" i="2"/>
  <c r="AQ1728" i="2"/>
  <c r="AP1728" i="2"/>
  <c r="AO1728" i="2"/>
  <c r="R1728" i="2"/>
  <c r="AX1727" i="2"/>
  <c r="AW1727" i="2"/>
  <c r="AU1727" i="2"/>
  <c r="AT1727" i="2"/>
  <c r="AS1727" i="2"/>
  <c r="AR1727" i="2"/>
  <c r="AQ1727" i="2"/>
  <c r="AP1727" i="2"/>
  <c r="AO1727" i="2"/>
  <c r="R1727" i="2"/>
  <c r="AX1726" i="2"/>
  <c r="AW1726" i="2"/>
  <c r="AU1726" i="2"/>
  <c r="AT1726" i="2"/>
  <c r="AS1726" i="2"/>
  <c r="AR1726" i="2"/>
  <c r="AQ1726" i="2"/>
  <c r="AP1726" i="2"/>
  <c r="AO1726" i="2"/>
  <c r="R1726" i="2"/>
  <c r="AX1725" i="2"/>
  <c r="AW1725" i="2"/>
  <c r="AU1725" i="2"/>
  <c r="AT1725" i="2"/>
  <c r="AS1725" i="2"/>
  <c r="AR1725" i="2"/>
  <c r="AQ1725" i="2"/>
  <c r="AP1725" i="2"/>
  <c r="AO1725" i="2"/>
  <c r="R1725" i="2"/>
  <c r="AX1724" i="2"/>
  <c r="AW1724" i="2"/>
  <c r="AU1724" i="2"/>
  <c r="AT1724" i="2"/>
  <c r="AS1724" i="2"/>
  <c r="AR1724" i="2"/>
  <c r="AQ1724" i="2"/>
  <c r="AP1724" i="2"/>
  <c r="AO1724" i="2"/>
  <c r="R1724" i="2"/>
  <c r="AX1723" i="2"/>
  <c r="AW1723" i="2"/>
  <c r="AU1723" i="2"/>
  <c r="AT1723" i="2"/>
  <c r="AS1723" i="2"/>
  <c r="AR1723" i="2"/>
  <c r="AQ1723" i="2"/>
  <c r="AP1723" i="2"/>
  <c r="AO1723" i="2"/>
  <c r="R1723" i="2"/>
  <c r="AX1722" i="2"/>
  <c r="AW1722" i="2"/>
  <c r="AU1722" i="2"/>
  <c r="AT1722" i="2"/>
  <c r="AS1722" i="2"/>
  <c r="AR1722" i="2"/>
  <c r="AQ1722" i="2"/>
  <c r="AP1722" i="2"/>
  <c r="AO1722" i="2"/>
  <c r="R1722" i="2"/>
  <c r="AX1721" i="2"/>
  <c r="AW1721" i="2"/>
  <c r="AU1721" i="2"/>
  <c r="AT1721" i="2"/>
  <c r="AS1721" i="2"/>
  <c r="AR1721" i="2"/>
  <c r="AQ1721" i="2"/>
  <c r="AP1721" i="2"/>
  <c r="AO1721" i="2"/>
  <c r="R1721" i="2"/>
  <c r="AX1720" i="2"/>
  <c r="AW1720" i="2"/>
  <c r="AU1720" i="2"/>
  <c r="AT1720" i="2"/>
  <c r="AS1720" i="2"/>
  <c r="AR1720" i="2"/>
  <c r="AQ1720" i="2"/>
  <c r="AP1720" i="2"/>
  <c r="AO1720" i="2"/>
  <c r="R1720" i="2"/>
  <c r="AX1719" i="2"/>
  <c r="AW1719" i="2"/>
  <c r="AU1719" i="2"/>
  <c r="AT1719" i="2"/>
  <c r="AS1719" i="2"/>
  <c r="AR1719" i="2"/>
  <c r="AQ1719" i="2"/>
  <c r="AP1719" i="2"/>
  <c r="AO1719" i="2"/>
  <c r="R1719" i="2"/>
  <c r="AX1718" i="2"/>
  <c r="AW1718" i="2"/>
  <c r="AU1718" i="2"/>
  <c r="AT1718" i="2"/>
  <c r="AS1718" i="2"/>
  <c r="AR1718" i="2"/>
  <c r="AQ1718" i="2"/>
  <c r="AP1718" i="2"/>
  <c r="AO1718" i="2"/>
  <c r="R1718" i="2"/>
  <c r="AX1717" i="2"/>
  <c r="AW1717" i="2"/>
  <c r="AU1717" i="2"/>
  <c r="AT1717" i="2"/>
  <c r="AS1717" i="2"/>
  <c r="AR1717" i="2"/>
  <c r="AQ1717" i="2"/>
  <c r="AP1717" i="2"/>
  <c r="AO1717" i="2"/>
  <c r="R1717" i="2"/>
  <c r="AX1716" i="2"/>
  <c r="AW1716" i="2"/>
  <c r="AU1716" i="2"/>
  <c r="AT1716" i="2"/>
  <c r="AS1716" i="2"/>
  <c r="AR1716" i="2"/>
  <c r="AQ1716" i="2"/>
  <c r="AP1716" i="2"/>
  <c r="AO1716" i="2"/>
  <c r="R1716" i="2"/>
  <c r="AX1715" i="2"/>
  <c r="AX1713" i="2"/>
  <c r="AX1714" i="2"/>
  <c r="AX1782" i="2"/>
  <c r="E1782" i="2"/>
  <c r="AW1715" i="2"/>
  <c r="AU1715" i="2"/>
  <c r="AT1715" i="2"/>
  <c r="AS1715" i="2"/>
  <c r="AR1715" i="2"/>
  <c r="AQ1715" i="2"/>
  <c r="AP1715" i="2"/>
  <c r="AP1713" i="2"/>
  <c r="AP1714" i="2"/>
  <c r="AP1782" i="2"/>
  <c r="AO1715" i="2"/>
  <c r="R1715" i="2"/>
  <c r="AW1714" i="2"/>
  <c r="AU1714" i="2"/>
  <c r="AT1714" i="2"/>
  <c r="AS1714" i="2"/>
  <c r="AR1714" i="2"/>
  <c r="AQ1714" i="2"/>
  <c r="AO1714" i="2"/>
  <c r="R1714" i="2"/>
  <c r="AW1713" i="2"/>
  <c r="AU1713" i="2"/>
  <c r="AT1713" i="2"/>
  <c r="AS1713" i="2"/>
  <c r="AR1713" i="2"/>
  <c r="AQ1713" i="2"/>
  <c r="AO1713" i="2"/>
  <c r="R1713" i="2"/>
  <c r="S1705" i="2"/>
  <c r="S1707" i="2"/>
  <c r="S1708" i="2"/>
  <c r="S1710" i="2"/>
  <c r="G1708" i="2"/>
  <c r="AW1708" i="2"/>
  <c r="AV1708" i="2"/>
  <c r="AT1708" i="2"/>
  <c r="AS1708" i="2"/>
  <c r="AR1708" i="2"/>
  <c r="AM1708" i="2"/>
  <c r="U1708" i="2"/>
  <c r="J1708" i="2"/>
  <c r="AQ1708" i="2"/>
  <c r="T1708" i="2"/>
  <c r="H1708" i="2"/>
  <c r="AO1708" i="2"/>
  <c r="R1708" i="2"/>
  <c r="I1708" i="2"/>
  <c r="AU1708" i="2"/>
  <c r="AM1707" i="2"/>
  <c r="U1707" i="2"/>
  <c r="T1707" i="2"/>
  <c r="T1705" i="2"/>
  <c r="T1706" i="2"/>
  <c r="T1709" i="2"/>
  <c r="R1707" i="2"/>
  <c r="G1707" i="2"/>
  <c r="G1706" i="2"/>
  <c r="AW1706" i="2"/>
  <c r="AR1706" i="2"/>
  <c r="J1706" i="2"/>
  <c r="AQ1706" i="2"/>
  <c r="H1706" i="2"/>
  <c r="AO1706" i="2"/>
  <c r="AM1706" i="2"/>
  <c r="U1706" i="2"/>
  <c r="T1711" i="2"/>
  <c r="R1706" i="2"/>
  <c r="R1705" i="2"/>
  <c r="R1710" i="2"/>
  <c r="AV1706" i="2"/>
  <c r="AM1705" i="2"/>
  <c r="G1705" i="2"/>
  <c r="AH1705" i="2"/>
  <c r="U1705" i="2"/>
  <c r="AR1705" i="2"/>
  <c r="AX1704" i="2"/>
  <c r="AW1704" i="2"/>
  <c r="AV1704" i="2"/>
  <c r="AU1704" i="2"/>
  <c r="AT1704" i="2"/>
  <c r="AS1704" i="2"/>
  <c r="AR1704" i="2"/>
  <c r="AQ1704" i="2"/>
  <c r="AP1704" i="2"/>
  <c r="AO1704" i="2"/>
  <c r="AM1704" i="2"/>
  <c r="I1702" i="2"/>
  <c r="G1702" i="2"/>
  <c r="I1701" i="2"/>
  <c r="G1701" i="2"/>
  <c r="AQ1670" i="2"/>
  <c r="AQ1671" i="2"/>
  <c r="AQ1672" i="2"/>
  <c r="AQ1673" i="2"/>
  <c r="AQ1674" i="2"/>
  <c r="AQ1675" i="2"/>
  <c r="AQ1676" i="2"/>
  <c r="AQ1677" i="2"/>
  <c r="AQ1678" i="2"/>
  <c r="AQ1679" i="2"/>
  <c r="AQ1680" i="2"/>
  <c r="AQ1681" i="2"/>
  <c r="AQ1682" i="2"/>
  <c r="AQ1683" i="2"/>
  <c r="AQ1684" i="2"/>
  <c r="AQ1685" i="2"/>
  <c r="AQ1686" i="2"/>
  <c r="AQ1687" i="2"/>
  <c r="AQ1688" i="2"/>
  <c r="AQ1689" i="2"/>
  <c r="AQ1690" i="2"/>
  <c r="AQ1691" i="2"/>
  <c r="AQ1692" i="2"/>
  <c r="AQ1693" i="2"/>
  <c r="AQ1694" i="2"/>
  <c r="AQ1695" i="2"/>
  <c r="AQ1696" i="2"/>
  <c r="AQ1697" i="2"/>
  <c r="AQ1698" i="2"/>
  <c r="AQ1699" i="2"/>
  <c r="AQ1700" i="2"/>
  <c r="G1700" i="2"/>
  <c r="AX1699" i="2"/>
  <c r="AW1699" i="2"/>
  <c r="AV1699" i="2"/>
  <c r="AU1699" i="2"/>
  <c r="AT1699" i="2"/>
  <c r="AS1699" i="2"/>
  <c r="AR1699" i="2"/>
  <c r="AP1699" i="2"/>
  <c r="AO1699" i="2"/>
  <c r="T1699" i="2"/>
  <c r="AX1698" i="2"/>
  <c r="AW1698" i="2"/>
  <c r="AV1698" i="2"/>
  <c r="AU1698" i="2"/>
  <c r="AT1698" i="2"/>
  <c r="AS1698" i="2"/>
  <c r="AR1698" i="2"/>
  <c r="AP1698" i="2"/>
  <c r="AO1698" i="2"/>
  <c r="T1698" i="2"/>
  <c r="AX1697" i="2"/>
  <c r="AW1697" i="2"/>
  <c r="AV1697" i="2"/>
  <c r="AU1697" i="2"/>
  <c r="AT1697" i="2"/>
  <c r="AS1697" i="2"/>
  <c r="AR1697" i="2"/>
  <c r="AP1697" i="2"/>
  <c r="AO1697" i="2"/>
  <c r="T1697" i="2"/>
  <c r="AX1696" i="2"/>
  <c r="AW1696" i="2"/>
  <c r="AV1696" i="2"/>
  <c r="AU1696" i="2"/>
  <c r="AT1696" i="2"/>
  <c r="AS1696" i="2"/>
  <c r="AR1696" i="2"/>
  <c r="AP1696" i="2"/>
  <c r="AO1696" i="2"/>
  <c r="T1696" i="2"/>
  <c r="AX1695" i="2"/>
  <c r="AW1695" i="2"/>
  <c r="AV1695" i="2"/>
  <c r="AU1695" i="2"/>
  <c r="AT1695" i="2"/>
  <c r="AS1695" i="2"/>
  <c r="AR1695" i="2"/>
  <c r="AP1695" i="2"/>
  <c r="AO1695" i="2"/>
  <c r="T1695" i="2"/>
  <c r="AX1694" i="2"/>
  <c r="AW1694" i="2"/>
  <c r="AV1694" i="2"/>
  <c r="AU1694" i="2"/>
  <c r="AT1694" i="2"/>
  <c r="AS1694" i="2"/>
  <c r="AR1694" i="2"/>
  <c r="AP1694" i="2"/>
  <c r="AO1694" i="2"/>
  <c r="T1694" i="2"/>
  <c r="AX1693" i="2"/>
  <c r="AW1693" i="2"/>
  <c r="AV1693" i="2"/>
  <c r="AU1693" i="2"/>
  <c r="AT1693" i="2"/>
  <c r="AS1693" i="2"/>
  <c r="AR1693" i="2"/>
  <c r="AP1693" i="2"/>
  <c r="AO1693" i="2"/>
  <c r="T1693" i="2"/>
  <c r="AX1692" i="2"/>
  <c r="AW1692" i="2"/>
  <c r="AV1692" i="2"/>
  <c r="AU1692" i="2"/>
  <c r="AT1692" i="2"/>
  <c r="AS1692" i="2"/>
  <c r="AR1692" i="2"/>
  <c r="AP1692" i="2"/>
  <c r="AO1692" i="2"/>
  <c r="T1692" i="2"/>
  <c r="AX1691" i="2"/>
  <c r="AW1691" i="2"/>
  <c r="AV1691" i="2"/>
  <c r="AU1691" i="2"/>
  <c r="AT1691" i="2"/>
  <c r="AS1691" i="2"/>
  <c r="AR1691" i="2"/>
  <c r="AP1691" i="2"/>
  <c r="AO1691" i="2"/>
  <c r="T1691" i="2"/>
  <c r="AX1690" i="2"/>
  <c r="AW1690" i="2"/>
  <c r="AV1690" i="2"/>
  <c r="AU1690" i="2"/>
  <c r="AT1690" i="2"/>
  <c r="AS1690" i="2"/>
  <c r="AR1690" i="2"/>
  <c r="AP1690" i="2"/>
  <c r="AO1690" i="2"/>
  <c r="T1690" i="2"/>
  <c r="AX1689" i="2"/>
  <c r="AW1689" i="2"/>
  <c r="AV1689" i="2"/>
  <c r="AU1689" i="2"/>
  <c r="AT1689" i="2"/>
  <c r="AS1689" i="2"/>
  <c r="AR1689" i="2"/>
  <c r="AP1689" i="2"/>
  <c r="AO1689" i="2"/>
  <c r="T1689" i="2"/>
  <c r="AX1688" i="2"/>
  <c r="AW1688" i="2"/>
  <c r="AV1688" i="2"/>
  <c r="AU1688" i="2"/>
  <c r="AT1688" i="2"/>
  <c r="AS1688" i="2"/>
  <c r="AR1688" i="2"/>
  <c r="AP1688" i="2"/>
  <c r="AO1688" i="2"/>
  <c r="T1688" i="2"/>
  <c r="AX1687" i="2"/>
  <c r="AW1687" i="2"/>
  <c r="AV1687" i="2"/>
  <c r="AU1687" i="2"/>
  <c r="AT1687" i="2"/>
  <c r="AS1687" i="2"/>
  <c r="AR1687" i="2"/>
  <c r="AP1687" i="2"/>
  <c r="AO1687" i="2"/>
  <c r="T1687" i="2"/>
  <c r="AX1686" i="2"/>
  <c r="AW1686" i="2"/>
  <c r="AV1686" i="2"/>
  <c r="AU1686" i="2"/>
  <c r="AT1686" i="2"/>
  <c r="AS1686" i="2"/>
  <c r="AR1686" i="2"/>
  <c r="AP1686" i="2"/>
  <c r="AO1686" i="2"/>
  <c r="T1686" i="2"/>
  <c r="AX1685" i="2"/>
  <c r="AW1685" i="2"/>
  <c r="AV1685" i="2"/>
  <c r="AU1685" i="2"/>
  <c r="AT1685" i="2"/>
  <c r="AS1685" i="2"/>
  <c r="AR1685" i="2"/>
  <c r="AP1685" i="2"/>
  <c r="AO1685" i="2"/>
  <c r="T1685" i="2"/>
  <c r="AX1684" i="2"/>
  <c r="AW1684" i="2"/>
  <c r="AV1684" i="2"/>
  <c r="AU1684" i="2"/>
  <c r="AT1684" i="2"/>
  <c r="AS1684" i="2"/>
  <c r="AR1684" i="2"/>
  <c r="AP1684" i="2"/>
  <c r="AO1684" i="2"/>
  <c r="T1684" i="2"/>
  <c r="AX1683" i="2"/>
  <c r="AW1683" i="2"/>
  <c r="AV1683" i="2"/>
  <c r="AU1683" i="2"/>
  <c r="AT1683" i="2"/>
  <c r="AS1683" i="2"/>
  <c r="AR1683" i="2"/>
  <c r="AP1683" i="2"/>
  <c r="AO1683" i="2"/>
  <c r="T1683" i="2"/>
  <c r="AX1682" i="2"/>
  <c r="AW1682" i="2"/>
  <c r="AV1682" i="2"/>
  <c r="AU1682" i="2"/>
  <c r="AT1682" i="2"/>
  <c r="AS1682" i="2"/>
  <c r="AR1682" i="2"/>
  <c r="AP1682" i="2"/>
  <c r="AO1682" i="2"/>
  <c r="T1682" i="2"/>
  <c r="AX1681" i="2"/>
  <c r="AW1681" i="2"/>
  <c r="AV1681" i="2"/>
  <c r="AU1681" i="2"/>
  <c r="AT1681" i="2"/>
  <c r="AS1681" i="2"/>
  <c r="AR1681" i="2"/>
  <c r="AP1681" i="2"/>
  <c r="AO1681" i="2"/>
  <c r="T1681" i="2"/>
  <c r="AX1680" i="2"/>
  <c r="AW1680" i="2"/>
  <c r="AV1680" i="2"/>
  <c r="AU1680" i="2"/>
  <c r="AT1680" i="2"/>
  <c r="AS1680" i="2"/>
  <c r="AR1680" i="2"/>
  <c r="AP1680" i="2"/>
  <c r="AO1680" i="2"/>
  <c r="T1680" i="2"/>
  <c r="AX1679" i="2"/>
  <c r="AW1679" i="2"/>
  <c r="AV1679" i="2"/>
  <c r="AU1679" i="2"/>
  <c r="AT1679" i="2"/>
  <c r="AS1679" i="2"/>
  <c r="AR1679" i="2"/>
  <c r="AP1679" i="2"/>
  <c r="AO1679" i="2"/>
  <c r="T1679" i="2"/>
  <c r="AX1678" i="2"/>
  <c r="AW1678" i="2"/>
  <c r="AV1678" i="2"/>
  <c r="AU1678" i="2"/>
  <c r="AT1678" i="2"/>
  <c r="AS1678" i="2"/>
  <c r="AR1678" i="2"/>
  <c r="AP1678" i="2"/>
  <c r="AO1678" i="2"/>
  <c r="T1678" i="2"/>
  <c r="AX1677" i="2"/>
  <c r="AW1677" i="2"/>
  <c r="AV1677" i="2"/>
  <c r="AU1677" i="2"/>
  <c r="AT1677" i="2"/>
  <c r="AS1677" i="2"/>
  <c r="AR1677" i="2"/>
  <c r="AP1677" i="2"/>
  <c r="AO1677" i="2"/>
  <c r="T1677" i="2"/>
  <c r="AX1676" i="2"/>
  <c r="AW1676" i="2"/>
  <c r="AV1676" i="2"/>
  <c r="AU1676" i="2"/>
  <c r="AT1676" i="2"/>
  <c r="AS1676" i="2"/>
  <c r="AR1676" i="2"/>
  <c r="AP1676" i="2"/>
  <c r="AO1676" i="2"/>
  <c r="T1676" i="2"/>
  <c r="AX1675" i="2"/>
  <c r="AW1675" i="2"/>
  <c r="AV1675" i="2"/>
  <c r="AU1675" i="2"/>
  <c r="AT1675" i="2"/>
  <c r="AS1675" i="2"/>
  <c r="AR1675" i="2"/>
  <c r="AP1675" i="2"/>
  <c r="AO1675" i="2"/>
  <c r="T1675" i="2"/>
  <c r="AX1674" i="2"/>
  <c r="AW1674" i="2"/>
  <c r="AV1674" i="2"/>
  <c r="AU1674" i="2"/>
  <c r="AT1674" i="2"/>
  <c r="AS1674" i="2"/>
  <c r="AR1674" i="2"/>
  <c r="AP1674" i="2"/>
  <c r="AO1674" i="2"/>
  <c r="T1674" i="2"/>
  <c r="AX1673" i="2"/>
  <c r="AW1673" i="2"/>
  <c r="AV1673" i="2"/>
  <c r="AU1673" i="2"/>
  <c r="AT1673" i="2"/>
  <c r="AS1673" i="2"/>
  <c r="AR1673" i="2"/>
  <c r="AP1673" i="2"/>
  <c r="AO1673" i="2"/>
  <c r="T1673" i="2"/>
  <c r="AX1672" i="2"/>
  <c r="AW1672" i="2"/>
  <c r="AV1672" i="2"/>
  <c r="AU1672" i="2"/>
  <c r="AT1672" i="2"/>
  <c r="AS1672" i="2"/>
  <c r="AR1672" i="2"/>
  <c r="AP1672" i="2"/>
  <c r="AO1672" i="2"/>
  <c r="T1672" i="2"/>
  <c r="AX1671" i="2"/>
  <c r="AW1671" i="2"/>
  <c r="AW1670" i="2"/>
  <c r="AW1700" i="2"/>
  <c r="AV1671" i="2"/>
  <c r="AU1671" i="2"/>
  <c r="AT1671" i="2"/>
  <c r="AS1671" i="2"/>
  <c r="AR1671" i="2"/>
  <c r="AP1671" i="2"/>
  <c r="AO1671" i="2"/>
  <c r="AO1670" i="2"/>
  <c r="AO1700" i="2"/>
  <c r="T1671" i="2"/>
  <c r="AX1670" i="2"/>
  <c r="AV1670" i="2"/>
  <c r="AU1670" i="2"/>
  <c r="AU1700" i="2"/>
  <c r="AT1670" i="2"/>
  <c r="AS1670" i="2"/>
  <c r="AR1670" i="2"/>
  <c r="AR1700" i="2"/>
  <c r="AP1670" i="2"/>
  <c r="T1670" i="2"/>
  <c r="AM1665" i="2"/>
  <c r="AM1668" i="2"/>
  <c r="G1665" i="2"/>
  <c r="U1665" i="2"/>
  <c r="U1668" i="2"/>
  <c r="J1668" i="2"/>
  <c r="H1668" i="2"/>
  <c r="G1668" i="2"/>
  <c r="AM1667" i="2"/>
  <c r="U1667" i="2"/>
  <c r="S1665" i="2"/>
  <c r="S1667" i="2"/>
  <c r="J1667" i="2"/>
  <c r="H1667" i="2"/>
  <c r="G1667" i="2"/>
  <c r="AX1659" i="2"/>
  <c r="AX1660" i="2"/>
  <c r="AX1661" i="2"/>
  <c r="AX1662" i="2"/>
  <c r="AX1663" i="2"/>
  <c r="AX1664" i="2"/>
  <c r="AX1665" i="2"/>
  <c r="AX1666" i="2"/>
  <c r="AU1659" i="2"/>
  <c r="AU1660" i="2"/>
  <c r="AU1661" i="2"/>
  <c r="AU1662" i="2"/>
  <c r="AU1663" i="2"/>
  <c r="AU1664" i="2"/>
  <c r="AU1665" i="2"/>
  <c r="AU1666" i="2"/>
  <c r="AM1666" i="2"/>
  <c r="AH1665" i="2"/>
  <c r="AH1666" i="2"/>
  <c r="AO1659" i="2"/>
  <c r="AO1660" i="2"/>
  <c r="AO1661" i="2"/>
  <c r="AO1662" i="2"/>
  <c r="AO1663" i="2"/>
  <c r="AO1664" i="2"/>
  <c r="AO1665" i="2"/>
  <c r="AO1666" i="2"/>
  <c r="H1666" i="2"/>
  <c r="AW1665" i="2"/>
  <c r="AV1665" i="2"/>
  <c r="AT1665" i="2"/>
  <c r="AS1665" i="2"/>
  <c r="AR1665" i="2"/>
  <c r="AP1665" i="2"/>
  <c r="AH1668" i="2"/>
  <c r="U1666" i="2"/>
  <c r="S1666" i="2"/>
  <c r="G1666" i="2"/>
  <c r="AW1664" i="2"/>
  <c r="AV1664" i="2"/>
  <c r="AT1664" i="2"/>
  <c r="AS1664" i="2"/>
  <c r="AR1664" i="2"/>
  <c r="AQ1664" i="2"/>
  <c r="AP1664" i="2"/>
  <c r="R1664" i="2"/>
  <c r="AW1663" i="2"/>
  <c r="AV1663" i="2"/>
  <c r="AT1663" i="2"/>
  <c r="AS1663" i="2"/>
  <c r="AR1663" i="2"/>
  <c r="AQ1663" i="2"/>
  <c r="AP1663" i="2"/>
  <c r="R1663" i="2"/>
  <c r="AW1662" i="2"/>
  <c r="AV1662" i="2"/>
  <c r="AT1662" i="2"/>
  <c r="AS1662" i="2"/>
  <c r="AR1662" i="2"/>
  <c r="AQ1662" i="2"/>
  <c r="AP1662" i="2"/>
  <c r="R1662" i="2"/>
  <c r="AW1661" i="2"/>
  <c r="AV1661" i="2"/>
  <c r="AT1661" i="2"/>
  <c r="AS1661" i="2"/>
  <c r="AR1661" i="2"/>
  <c r="AQ1661" i="2"/>
  <c r="AP1661" i="2"/>
  <c r="R1661" i="2"/>
  <c r="AW1660" i="2"/>
  <c r="AV1660" i="2"/>
  <c r="AT1660" i="2"/>
  <c r="AS1660" i="2"/>
  <c r="AR1660" i="2"/>
  <c r="AQ1660" i="2"/>
  <c r="AP1660" i="2"/>
  <c r="AW1659" i="2"/>
  <c r="AW1666" i="2"/>
  <c r="AV1659" i="2"/>
  <c r="AV1666" i="2"/>
  <c r="AT1659" i="2"/>
  <c r="AS1659" i="2"/>
  <c r="AR1659" i="2"/>
  <c r="AQ1659" i="2"/>
  <c r="AP1659" i="2"/>
  <c r="AM1657" i="2"/>
  <c r="U1657" i="2"/>
  <c r="T1657" i="2"/>
  <c r="S1657" i="2"/>
  <c r="J1657" i="2"/>
  <c r="I1657" i="2"/>
  <c r="H1657" i="2"/>
  <c r="G1657" i="2"/>
  <c r="AM1656" i="2"/>
  <c r="U1656" i="2"/>
  <c r="T1656" i="2"/>
  <c r="S1656" i="2"/>
  <c r="J1656" i="2"/>
  <c r="I1656" i="2"/>
  <c r="H1656" i="2"/>
  <c r="G1656" i="2"/>
  <c r="AO1648" i="2"/>
  <c r="AO1649" i="2"/>
  <c r="AO1650" i="2"/>
  <c r="AO1651" i="2"/>
  <c r="AO1652" i="2"/>
  <c r="AO1653" i="2"/>
  <c r="AO1654" i="2"/>
  <c r="AO1655" i="2"/>
  <c r="G1655" i="2"/>
  <c r="H1655" i="2"/>
  <c r="AM1655" i="2"/>
  <c r="U1655" i="2"/>
  <c r="T1655" i="2"/>
  <c r="S1655" i="2"/>
  <c r="AX1654" i="2"/>
  <c r="AW1654" i="2"/>
  <c r="AV1654" i="2"/>
  <c r="AU1654" i="2"/>
  <c r="AT1654" i="2"/>
  <c r="AS1654" i="2"/>
  <c r="AS1648" i="2"/>
  <c r="AS1649" i="2"/>
  <c r="AS1650" i="2"/>
  <c r="AS1651" i="2"/>
  <c r="AS1652" i="2"/>
  <c r="AS1653" i="2"/>
  <c r="AS1655" i="2"/>
  <c r="AR1654" i="2"/>
  <c r="AQ1654" i="2"/>
  <c r="AP1654" i="2"/>
  <c r="R1654" i="2"/>
  <c r="AH1654" i="2"/>
  <c r="AX1653" i="2"/>
  <c r="AW1653" i="2"/>
  <c r="AV1653" i="2"/>
  <c r="AU1653" i="2"/>
  <c r="AT1653" i="2"/>
  <c r="AT1648" i="2"/>
  <c r="AT1649" i="2"/>
  <c r="AT1650" i="2"/>
  <c r="AT1651" i="2"/>
  <c r="AT1652" i="2"/>
  <c r="AT1655" i="2"/>
  <c r="AR1653" i="2"/>
  <c r="AQ1653" i="2"/>
  <c r="AP1653" i="2"/>
  <c r="R1653" i="2"/>
  <c r="AH1653" i="2"/>
  <c r="AX1652" i="2"/>
  <c r="AW1652" i="2"/>
  <c r="AV1652" i="2"/>
  <c r="AU1652" i="2"/>
  <c r="AR1652" i="2"/>
  <c r="AQ1652" i="2"/>
  <c r="AP1652" i="2"/>
  <c r="R1652" i="2"/>
  <c r="AH1652" i="2"/>
  <c r="AX1651" i="2"/>
  <c r="AW1651" i="2"/>
  <c r="AV1651" i="2"/>
  <c r="AU1651" i="2"/>
  <c r="AR1651" i="2"/>
  <c r="AQ1651" i="2"/>
  <c r="AP1651" i="2"/>
  <c r="R1651" i="2"/>
  <c r="AH1651" i="2"/>
  <c r="AX1650" i="2"/>
  <c r="AW1650" i="2"/>
  <c r="AV1650" i="2"/>
  <c r="AU1650" i="2"/>
  <c r="AR1650" i="2"/>
  <c r="AQ1650" i="2"/>
  <c r="AP1650" i="2"/>
  <c r="R1650" i="2"/>
  <c r="AH1650" i="2"/>
  <c r="AX1649" i="2"/>
  <c r="AW1649" i="2"/>
  <c r="AW1648" i="2"/>
  <c r="AW1655" i="2"/>
  <c r="AV1649" i="2"/>
  <c r="AV1648" i="2"/>
  <c r="AV1655" i="2"/>
  <c r="AU1649" i="2"/>
  <c r="AR1649" i="2"/>
  <c r="AQ1649" i="2"/>
  <c r="AQ1648" i="2"/>
  <c r="AQ1655" i="2"/>
  <c r="J1655" i="2"/>
  <c r="AP1649" i="2"/>
  <c r="R1649" i="2"/>
  <c r="AH1649" i="2"/>
  <c r="AX1648" i="2"/>
  <c r="AU1648" i="2"/>
  <c r="AR1648" i="2"/>
  <c r="AP1648" i="2"/>
  <c r="R1648" i="2"/>
  <c r="AM1646" i="2"/>
  <c r="AL1646" i="2"/>
  <c r="AJ1646" i="2"/>
  <c r="AI1646" i="2"/>
  <c r="AM1645" i="2"/>
  <c r="AL1645" i="2"/>
  <c r="AJ1645" i="2"/>
  <c r="AI1645" i="2"/>
  <c r="AM1644" i="2"/>
  <c r="AL1644" i="2"/>
  <c r="AI1644" i="2"/>
  <c r="AO1643" i="2"/>
  <c r="AO1642" i="2"/>
  <c r="AO1641" i="2"/>
  <c r="AO1640" i="2"/>
  <c r="AO1639" i="2"/>
  <c r="AO1638" i="2"/>
  <c r="AO1637" i="2"/>
  <c r="AO1636" i="2"/>
  <c r="AO1635" i="2"/>
  <c r="AO1634" i="2"/>
  <c r="AO1633" i="2"/>
  <c r="AO1632" i="2"/>
  <c r="AO1631" i="2"/>
  <c r="AO1630" i="2"/>
  <c r="AO1629" i="2"/>
  <c r="AO1628" i="2"/>
  <c r="AO1627" i="2"/>
  <c r="AO1626" i="2"/>
  <c r="AO1625" i="2"/>
  <c r="AO1624" i="2"/>
  <c r="AO1623" i="2"/>
  <c r="AO1622" i="2"/>
  <c r="AO1621" i="2"/>
  <c r="AM1619" i="2"/>
  <c r="AA1619" i="2"/>
  <c r="Z1619" i="2"/>
  <c r="Y1619" i="2"/>
  <c r="U1619" i="2"/>
  <c r="M1619" i="2"/>
  <c r="L1619" i="2"/>
  <c r="AM1618" i="2"/>
  <c r="AA1618" i="2"/>
  <c r="Z1618" i="2"/>
  <c r="Y1618" i="2"/>
  <c r="U1618" i="2"/>
  <c r="M1618" i="2"/>
  <c r="L1618" i="2"/>
  <c r="AM1617" i="2"/>
  <c r="AA1617" i="2"/>
  <c r="Z1617" i="2"/>
  <c r="Y1617" i="2"/>
  <c r="U1617" i="2"/>
  <c r="G1616" i="2"/>
  <c r="AV1616" i="2"/>
  <c r="AU1616" i="2"/>
  <c r="AS1616" i="2"/>
  <c r="AQ1616" i="2"/>
  <c r="AP1616" i="2"/>
  <c r="AH1616" i="2"/>
  <c r="G1615" i="2"/>
  <c r="G1614" i="2"/>
  <c r="AX1614" i="2"/>
  <c r="AS1614" i="2"/>
  <c r="AH1614" i="2"/>
  <c r="G1613" i="2"/>
  <c r="AW1613" i="2"/>
  <c r="AU1613" i="2"/>
  <c r="AT1613" i="2"/>
  <c r="AR1613" i="2"/>
  <c r="AQ1613" i="2"/>
  <c r="AP1613" i="2"/>
  <c r="AO1613" i="2"/>
  <c r="AX1612" i="2"/>
  <c r="AW1612" i="2"/>
  <c r="AV1612" i="2"/>
  <c r="AU1612" i="2"/>
  <c r="AT1612" i="2"/>
  <c r="AS1612" i="2"/>
  <c r="AR1612" i="2"/>
  <c r="AP1612" i="2"/>
  <c r="AO1612" i="2"/>
  <c r="AH1612" i="2"/>
  <c r="J1612" i="2"/>
  <c r="AQ1612" i="2"/>
  <c r="AX1611" i="2"/>
  <c r="AW1611" i="2"/>
  <c r="AV1611" i="2"/>
  <c r="AU1611" i="2"/>
  <c r="AT1611" i="2"/>
  <c r="AS1611" i="2"/>
  <c r="AR1611" i="2"/>
  <c r="J1611" i="2"/>
  <c r="AQ1611" i="2"/>
  <c r="AP1611" i="2"/>
  <c r="AO1611" i="2"/>
  <c r="AH1611" i="2"/>
  <c r="AX1610" i="2"/>
  <c r="AW1610" i="2"/>
  <c r="AV1610" i="2"/>
  <c r="AU1610" i="2"/>
  <c r="AT1610" i="2"/>
  <c r="AS1610" i="2"/>
  <c r="AR1610" i="2"/>
  <c r="AP1610" i="2"/>
  <c r="AO1610" i="2"/>
  <c r="AH1610" i="2"/>
  <c r="J1610" i="2"/>
  <c r="AQ1610" i="2"/>
  <c r="AX1609" i="2"/>
  <c r="AW1609" i="2"/>
  <c r="AV1609" i="2"/>
  <c r="AU1609" i="2"/>
  <c r="AT1609" i="2"/>
  <c r="AS1609" i="2"/>
  <c r="AR1609" i="2"/>
  <c r="J1609" i="2"/>
  <c r="AQ1609" i="2"/>
  <c r="AP1609" i="2"/>
  <c r="AO1609" i="2"/>
  <c r="AH1609" i="2"/>
  <c r="AX1608" i="2"/>
  <c r="AW1608" i="2"/>
  <c r="AV1608" i="2"/>
  <c r="AU1608" i="2"/>
  <c r="AT1608" i="2"/>
  <c r="AS1608" i="2"/>
  <c r="AR1608" i="2"/>
  <c r="AP1608" i="2"/>
  <c r="AO1608" i="2"/>
  <c r="AH1608" i="2"/>
  <c r="J1608" i="2"/>
  <c r="AQ1608" i="2"/>
  <c r="AX1607" i="2"/>
  <c r="AW1607" i="2"/>
  <c r="AV1607" i="2"/>
  <c r="AU1607" i="2"/>
  <c r="AT1607" i="2"/>
  <c r="AS1607" i="2"/>
  <c r="AR1607" i="2"/>
  <c r="J1607" i="2"/>
  <c r="AQ1607" i="2"/>
  <c r="AP1607" i="2"/>
  <c r="AO1607" i="2"/>
  <c r="AH1607" i="2"/>
  <c r="AX1606" i="2"/>
  <c r="AW1606" i="2"/>
  <c r="AV1606" i="2"/>
  <c r="AU1606" i="2"/>
  <c r="AT1606" i="2"/>
  <c r="AS1606" i="2"/>
  <c r="AR1606" i="2"/>
  <c r="AP1606" i="2"/>
  <c r="AO1606" i="2"/>
  <c r="AH1606" i="2"/>
  <c r="J1606" i="2"/>
  <c r="J1618" i="2"/>
  <c r="AX1605" i="2"/>
  <c r="AW1605" i="2"/>
  <c r="AV1605" i="2"/>
  <c r="AU1605" i="2"/>
  <c r="AT1605" i="2"/>
  <c r="AS1605" i="2"/>
  <c r="AR1605" i="2"/>
  <c r="AQ1605" i="2"/>
  <c r="AP1605" i="2"/>
  <c r="AO1605" i="2"/>
  <c r="AH1605" i="2"/>
  <c r="AX1604" i="2"/>
  <c r="AW1604" i="2"/>
  <c r="AV1604" i="2"/>
  <c r="AU1604" i="2"/>
  <c r="AT1604" i="2"/>
  <c r="AS1604" i="2"/>
  <c r="AR1604" i="2"/>
  <c r="AQ1604" i="2"/>
  <c r="AP1604" i="2"/>
  <c r="AO1604" i="2"/>
  <c r="AH1604" i="2"/>
  <c r="AX1603" i="2"/>
  <c r="AW1603" i="2"/>
  <c r="AV1603" i="2"/>
  <c r="AU1603" i="2"/>
  <c r="AT1603" i="2"/>
  <c r="AS1603" i="2"/>
  <c r="AR1603" i="2"/>
  <c r="AQ1603" i="2"/>
  <c r="AP1603" i="2"/>
  <c r="AO1603" i="2"/>
  <c r="AH1603" i="2"/>
  <c r="AX1602" i="2"/>
  <c r="AW1602" i="2"/>
  <c r="AV1602" i="2"/>
  <c r="AU1602" i="2"/>
  <c r="AT1602" i="2"/>
  <c r="AS1602" i="2"/>
  <c r="AR1602" i="2"/>
  <c r="AQ1602" i="2"/>
  <c r="AP1602" i="2"/>
  <c r="AO1602" i="2"/>
  <c r="AH1602" i="2"/>
  <c r="AX1601" i="2"/>
  <c r="AW1601" i="2"/>
  <c r="AV1601" i="2"/>
  <c r="AU1601" i="2"/>
  <c r="AT1601" i="2"/>
  <c r="AS1601" i="2"/>
  <c r="AR1601" i="2"/>
  <c r="AQ1601" i="2"/>
  <c r="AP1601" i="2"/>
  <c r="AO1601" i="2"/>
  <c r="AH1601" i="2"/>
  <c r="AX1600" i="2"/>
  <c r="AW1600" i="2"/>
  <c r="AV1600" i="2"/>
  <c r="AU1600" i="2"/>
  <c r="AT1600" i="2"/>
  <c r="AS1600" i="2"/>
  <c r="AR1600" i="2"/>
  <c r="AQ1600" i="2"/>
  <c r="AP1600" i="2"/>
  <c r="AO1600" i="2"/>
  <c r="AH1600" i="2"/>
  <c r="AX1599" i="2"/>
  <c r="AW1599" i="2"/>
  <c r="AV1599" i="2"/>
  <c r="AU1599" i="2"/>
  <c r="AT1599" i="2"/>
  <c r="AS1599" i="2"/>
  <c r="AR1599" i="2"/>
  <c r="AQ1599" i="2"/>
  <c r="AP1599" i="2"/>
  <c r="AO1599" i="2"/>
  <c r="AH1599" i="2"/>
  <c r="AX1598" i="2"/>
  <c r="AW1598" i="2"/>
  <c r="AV1598" i="2"/>
  <c r="AU1598" i="2"/>
  <c r="AT1598" i="2"/>
  <c r="AS1598" i="2"/>
  <c r="AR1598" i="2"/>
  <c r="AQ1598" i="2"/>
  <c r="AP1598" i="2"/>
  <c r="AO1598" i="2"/>
  <c r="AH1598" i="2"/>
  <c r="AX1597" i="2"/>
  <c r="AW1597" i="2"/>
  <c r="AV1597" i="2"/>
  <c r="AU1597" i="2"/>
  <c r="AT1597" i="2"/>
  <c r="AS1597" i="2"/>
  <c r="AR1597" i="2"/>
  <c r="AQ1597" i="2"/>
  <c r="AP1597" i="2"/>
  <c r="AO1597" i="2"/>
  <c r="AH1597" i="2"/>
  <c r="AX1596" i="2"/>
  <c r="AW1596" i="2"/>
  <c r="AV1596" i="2"/>
  <c r="AU1596" i="2"/>
  <c r="AT1596" i="2"/>
  <c r="AS1596" i="2"/>
  <c r="AR1596" i="2"/>
  <c r="AQ1596" i="2"/>
  <c r="AP1596" i="2"/>
  <c r="AO1596" i="2"/>
  <c r="AH1596" i="2"/>
  <c r="AX1595" i="2"/>
  <c r="AW1595" i="2"/>
  <c r="AV1595" i="2"/>
  <c r="AU1595" i="2"/>
  <c r="AT1595" i="2"/>
  <c r="AS1595" i="2"/>
  <c r="AR1595" i="2"/>
  <c r="AQ1595" i="2"/>
  <c r="AP1595" i="2"/>
  <c r="AO1595" i="2"/>
  <c r="AH1595" i="2"/>
  <c r="T1586" i="2"/>
  <c r="T1587" i="2"/>
  <c r="T1588" i="2"/>
  <c r="T1589" i="2"/>
  <c r="T1590" i="2"/>
  <c r="T1592" i="2"/>
  <c r="G1586" i="2"/>
  <c r="G1587" i="2"/>
  <c r="G1592" i="2"/>
  <c r="T1591" i="2"/>
  <c r="AX1590" i="2"/>
  <c r="AW1590" i="2"/>
  <c r="AV1590" i="2"/>
  <c r="AU1590" i="2"/>
  <c r="AT1590" i="2"/>
  <c r="AS1590" i="2"/>
  <c r="AR1590" i="2"/>
  <c r="AQ1590" i="2"/>
  <c r="AP1590" i="2"/>
  <c r="AO1590" i="2"/>
  <c r="AL1590" i="2"/>
  <c r="AX1589" i="2"/>
  <c r="AW1589" i="2"/>
  <c r="AV1589" i="2"/>
  <c r="AU1589" i="2"/>
  <c r="AT1589" i="2"/>
  <c r="AS1589" i="2"/>
  <c r="AR1589" i="2"/>
  <c r="AQ1589" i="2"/>
  <c r="AP1589" i="2"/>
  <c r="AO1589" i="2"/>
  <c r="AL1589" i="2"/>
  <c r="AX1588" i="2"/>
  <c r="AW1588" i="2"/>
  <c r="AV1588" i="2"/>
  <c r="AU1588" i="2"/>
  <c r="AT1588" i="2"/>
  <c r="AS1588" i="2"/>
  <c r="AR1588" i="2"/>
  <c r="AQ1588" i="2"/>
  <c r="AP1588" i="2"/>
  <c r="AO1588" i="2"/>
  <c r="AL1588" i="2"/>
  <c r="AU1587" i="2"/>
  <c r="I1587" i="2"/>
  <c r="I1586" i="2"/>
  <c r="I1592" i="2"/>
  <c r="AW1587" i="2"/>
  <c r="AV1586" i="2"/>
  <c r="AP1586" i="2"/>
  <c r="AU1586" i="2"/>
  <c r="AU1591" i="2"/>
  <c r="S1581" i="2"/>
  <c r="S1584" i="2"/>
  <c r="H1584" i="2"/>
  <c r="G1575" i="2"/>
  <c r="G1584" i="2"/>
  <c r="S1583" i="2"/>
  <c r="H1583" i="2"/>
  <c r="G1583" i="2"/>
  <c r="S1582" i="2"/>
  <c r="G1582" i="2"/>
  <c r="AX1581" i="2"/>
  <c r="AW1581" i="2"/>
  <c r="AV1581" i="2"/>
  <c r="AU1581" i="2"/>
  <c r="AT1581" i="2"/>
  <c r="AS1581" i="2"/>
  <c r="AR1581" i="2"/>
  <c r="AQ1581" i="2"/>
  <c r="AP1581" i="2"/>
  <c r="AO1581" i="2"/>
  <c r="U1581" i="2"/>
  <c r="T1581" i="2"/>
  <c r="R1581" i="2"/>
  <c r="AX1580" i="2"/>
  <c r="AW1580" i="2"/>
  <c r="AV1580" i="2"/>
  <c r="AU1580" i="2"/>
  <c r="AT1580" i="2"/>
  <c r="AS1580" i="2"/>
  <c r="AR1580" i="2"/>
  <c r="AP1580" i="2"/>
  <c r="AO1580" i="2"/>
  <c r="J1580" i="2"/>
  <c r="AQ1580" i="2"/>
  <c r="AX1579" i="2"/>
  <c r="AW1579" i="2"/>
  <c r="AV1579" i="2"/>
  <c r="AU1579" i="2"/>
  <c r="AT1579" i="2"/>
  <c r="AS1579" i="2"/>
  <c r="AR1579" i="2"/>
  <c r="AP1579" i="2"/>
  <c r="AO1579" i="2"/>
  <c r="J1579" i="2"/>
  <c r="AQ1579" i="2"/>
  <c r="AX1578" i="2"/>
  <c r="AW1578" i="2"/>
  <c r="AV1578" i="2"/>
  <c r="AU1578" i="2"/>
  <c r="AT1578" i="2"/>
  <c r="AS1578" i="2"/>
  <c r="AR1578" i="2"/>
  <c r="J1578" i="2"/>
  <c r="AQ1578" i="2"/>
  <c r="AP1578" i="2"/>
  <c r="AO1578" i="2"/>
  <c r="AX1577" i="2"/>
  <c r="AW1577" i="2"/>
  <c r="AV1577" i="2"/>
  <c r="AU1577" i="2"/>
  <c r="AT1577" i="2"/>
  <c r="AS1577" i="2"/>
  <c r="AR1577" i="2"/>
  <c r="J1577" i="2"/>
  <c r="AQ1577" i="2"/>
  <c r="AP1577" i="2"/>
  <c r="AO1577" i="2"/>
  <c r="AX1576" i="2"/>
  <c r="AW1576" i="2"/>
  <c r="AV1576" i="2"/>
  <c r="AU1576" i="2"/>
  <c r="AT1576" i="2"/>
  <c r="AS1576" i="2"/>
  <c r="AR1576" i="2"/>
  <c r="AP1576" i="2"/>
  <c r="AO1576" i="2"/>
  <c r="J1576" i="2"/>
  <c r="AQ1576" i="2"/>
  <c r="AX1575" i="2"/>
  <c r="AW1575" i="2"/>
  <c r="AV1575" i="2"/>
  <c r="AU1575" i="2"/>
  <c r="AS1575" i="2"/>
  <c r="AR1575" i="2"/>
  <c r="I1575" i="2"/>
  <c r="AP1575" i="2"/>
  <c r="AO1575" i="2"/>
  <c r="J1575" i="2"/>
  <c r="AQ1575" i="2"/>
  <c r="AT1575" i="2"/>
  <c r="AX1574" i="2"/>
  <c r="AW1574" i="2"/>
  <c r="AV1574" i="2"/>
  <c r="AU1574" i="2"/>
  <c r="AT1574" i="2"/>
  <c r="AS1574" i="2"/>
  <c r="AR1574" i="2"/>
  <c r="I1574" i="2"/>
  <c r="AP1574" i="2"/>
  <c r="AO1574" i="2"/>
  <c r="J1574" i="2"/>
  <c r="AQ1574" i="2"/>
  <c r="AX1573" i="2"/>
  <c r="AX1571" i="2"/>
  <c r="AX1572" i="2"/>
  <c r="AX1582" i="2"/>
  <c r="AW1573" i="2"/>
  <c r="AW1571" i="2"/>
  <c r="AW1572" i="2"/>
  <c r="AW1582" i="2"/>
  <c r="AV1573" i="2"/>
  <c r="AU1573" i="2"/>
  <c r="AT1573" i="2"/>
  <c r="AS1573" i="2"/>
  <c r="AR1573" i="2"/>
  <c r="J1573" i="2"/>
  <c r="AQ1573" i="2"/>
  <c r="I1573" i="2"/>
  <c r="AP1573" i="2"/>
  <c r="AO1573" i="2"/>
  <c r="AV1572" i="2"/>
  <c r="AU1572" i="2"/>
  <c r="AT1572" i="2"/>
  <c r="AS1572" i="2"/>
  <c r="AR1572" i="2"/>
  <c r="AO1572" i="2"/>
  <c r="J1572" i="2"/>
  <c r="AQ1572" i="2"/>
  <c r="I1572" i="2"/>
  <c r="AP1572" i="2"/>
  <c r="AV1571" i="2"/>
  <c r="AV1582" i="2"/>
  <c r="AU1571" i="2"/>
  <c r="AT1571" i="2"/>
  <c r="AS1571" i="2"/>
  <c r="AR1571" i="2"/>
  <c r="I1571" i="2"/>
  <c r="AP1571" i="2"/>
  <c r="AO1571" i="2"/>
  <c r="J1571" i="2"/>
  <c r="Y1569" i="2"/>
  <c r="L1569" i="2"/>
  <c r="G1569" i="2"/>
  <c r="Y1568" i="2"/>
  <c r="L1568" i="2"/>
  <c r="G1568" i="2"/>
  <c r="Y1567" i="2"/>
  <c r="AS1559" i="2"/>
  <c r="AS1560" i="2"/>
  <c r="AS1561" i="2"/>
  <c r="AS1562" i="2"/>
  <c r="AS1563" i="2"/>
  <c r="AS1564" i="2"/>
  <c r="AS1565" i="2"/>
  <c r="AS1566" i="2"/>
  <c r="AS1567" i="2"/>
  <c r="G1567" i="2"/>
  <c r="L1567" i="2"/>
  <c r="AX1566" i="2"/>
  <c r="AW1566" i="2"/>
  <c r="AV1566" i="2"/>
  <c r="AU1566" i="2"/>
  <c r="AT1566" i="2"/>
  <c r="AR1566" i="2"/>
  <c r="AQ1566" i="2"/>
  <c r="AP1566" i="2"/>
  <c r="AO1566" i="2"/>
  <c r="AX1565" i="2"/>
  <c r="AW1565" i="2"/>
  <c r="AV1565" i="2"/>
  <c r="AU1565" i="2"/>
  <c r="AT1565" i="2"/>
  <c r="AR1565" i="2"/>
  <c r="AQ1565" i="2"/>
  <c r="AP1565" i="2"/>
  <c r="AO1565" i="2"/>
  <c r="AX1564" i="2"/>
  <c r="AW1564" i="2"/>
  <c r="AV1564" i="2"/>
  <c r="AU1564" i="2"/>
  <c r="AT1564" i="2"/>
  <c r="AR1564" i="2"/>
  <c r="AQ1564" i="2"/>
  <c r="AP1564" i="2"/>
  <c r="AO1564" i="2"/>
  <c r="AX1563" i="2"/>
  <c r="AW1563" i="2"/>
  <c r="AV1563" i="2"/>
  <c r="AU1563" i="2"/>
  <c r="AT1563" i="2"/>
  <c r="AR1563" i="2"/>
  <c r="AQ1563" i="2"/>
  <c r="AP1563" i="2"/>
  <c r="AO1563" i="2"/>
  <c r="AX1562" i="2"/>
  <c r="AW1562" i="2"/>
  <c r="AV1562" i="2"/>
  <c r="AU1562" i="2"/>
  <c r="AT1562" i="2"/>
  <c r="AR1562" i="2"/>
  <c r="AQ1562" i="2"/>
  <c r="AP1562" i="2"/>
  <c r="AO1562" i="2"/>
  <c r="AX1561" i="2"/>
  <c r="AW1561" i="2"/>
  <c r="AV1561" i="2"/>
  <c r="AU1561" i="2"/>
  <c r="AT1561" i="2"/>
  <c r="AR1561" i="2"/>
  <c r="AQ1561" i="2"/>
  <c r="AP1561" i="2"/>
  <c r="AO1561" i="2"/>
  <c r="AX1560" i="2"/>
  <c r="AW1560" i="2"/>
  <c r="AV1560" i="2"/>
  <c r="AU1560" i="2"/>
  <c r="AT1560" i="2"/>
  <c r="AR1560" i="2"/>
  <c r="AQ1560" i="2"/>
  <c r="AP1560" i="2"/>
  <c r="AO1560" i="2"/>
  <c r="AX1559" i="2"/>
  <c r="AX1567" i="2"/>
  <c r="AW1559" i="2"/>
  <c r="AV1559" i="2"/>
  <c r="AU1559" i="2"/>
  <c r="AU1567" i="2"/>
  <c r="AT1559" i="2"/>
  <c r="AR1559" i="2"/>
  <c r="AQ1559" i="2"/>
  <c r="AQ1567" i="2"/>
  <c r="AP1559" i="2"/>
  <c r="AP1567" i="2"/>
  <c r="AO1559" i="2"/>
  <c r="AM1557" i="2"/>
  <c r="S1557" i="2"/>
  <c r="H1557" i="2"/>
  <c r="G1557" i="2"/>
  <c r="AM1556" i="2"/>
  <c r="S1556" i="2"/>
  <c r="H1556" i="2"/>
  <c r="G1556" i="2"/>
  <c r="AO1546" i="2"/>
  <c r="AO1547" i="2"/>
  <c r="AO1548" i="2"/>
  <c r="AO1549" i="2"/>
  <c r="AO1550" i="2"/>
  <c r="AO1551" i="2"/>
  <c r="AO1552" i="2"/>
  <c r="AO1555" i="2"/>
  <c r="G1555" i="2"/>
  <c r="H1555" i="2"/>
  <c r="AM1555" i="2"/>
  <c r="S1555" i="2"/>
  <c r="AX1554" i="2"/>
  <c r="AW1554" i="2"/>
  <c r="AV1554" i="2"/>
  <c r="AU1554" i="2"/>
  <c r="AT1554" i="2"/>
  <c r="AS1554" i="2"/>
  <c r="AR1554" i="2"/>
  <c r="AQ1554" i="2"/>
  <c r="AP1554" i="2"/>
  <c r="AO1554" i="2"/>
  <c r="R1554" i="2"/>
  <c r="AX1553" i="2"/>
  <c r="AW1553" i="2"/>
  <c r="AV1553" i="2"/>
  <c r="AU1553" i="2"/>
  <c r="AT1553" i="2"/>
  <c r="AS1553" i="2"/>
  <c r="AR1553" i="2"/>
  <c r="AQ1553" i="2"/>
  <c r="AP1553" i="2"/>
  <c r="AO1553" i="2"/>
  <c r="R1553" i="2"/>
  <c r="AX1552" i="2"/>
  <c r="AW1552" i="2"/>
  <c r="AV1552" i="2"/>
  <c r="AU1552" i="2"/>
  <c r="AU1546" i="2"/>
  <c r="AU1547" i="2"/>
  <c r="AU1548" i="2"/>
  <c r="AU1549" i="2"/>
  <c r="AU1550" i="2"/>
  <c r="AU1551" i="2"/>
  <c r="AU1555" i="2"/>
  <c r="AT1552" i="2"/>
  <c r="AS1552" i="2"/>
  <c r="AR1552" i="2"/>
  <c r="AQ1552" i="2"/>
  <c r="AQ1546" i="2"/>
  <c r="AQ1547" i="2"/>
  <c r="AQ1548" i="2"/>
  <c r="AQ1549" i="2"/>
  <c r="AQ1550" i="2"/>
  <c r="AQ1551" i="2"/>
  <c r="AQ1555" i="2"/>
  <c r="AP1552" i="2"/>
  <c r="R1552" i="2"/>
  <c r="R1546" i="2"/>
  <c r="R1547" i="2"/>
  <c r="R1548" i="2"/>
  <c r="R1549" i="2"/>
  <c r="R1550" i="2"/>
  <c r="R1551" i="2"/>
  <c r="R1555" i="2"/>
  <c r="AX1551" i="2"/>
  <c r="AW1551" i="2"/>
  <c r="AV1551" i="2"/>
  <c r="AT1551" i="2"/>
  <c r="AS1551" i="2"/>
  <c r="AR1551" i="2"/>
  <c r="AP1551" i="2"/>
  <c r="AX1550" i="2"/>
  <c r="AW1550" i="2"/>
  <c r="AV1550" i="2"/>
  <c r="AT1550" i="2"/>
  <c r="AS1550" i="2"/>
  <c r="AR1550" i="2"/>
  <c r="AP1550" i="2"/>
  <c r="AX1549" i="2"/>
  <c r="AW1549" i="2"/>
  <c r="AV1549" i="2"/>
  <c r="AT1549" i="2"/>
  <c r="AS1549" i="2"/>
  <c r="AR1549" i="2"/>
  <c r="AR1546" i="2"/>
  <c r="AR1547" i="2"/>
  <c r="AR1548" i="2"/>
  <c r="AR1555" i="2"/>
  <c r="AP1549" i="2"/>
  <c r="AX1548" i="2"/>
  <c r="AW1548" i="2"/>
  <c r="AV1548" i="2"/>
  <c r="AT1548" i="2"/>
  <c r="AS1548" i="2"/>
  <c r="AP1548" i="2"/>
  <c r="R1557" i="2"/>
  <c r="AX1547" i="2"/>
  <c r="AW1547" i="2"/>
  <c r="AV1547" i="2"/>
  <c r="AT1547" i="2"/>
  <c r="AS1547" i="2"/>
  <c r="AP1547" i="2"/>
  <c r="AX1546" i="2"/>
  <c r="AW1546" i="2"/>
  <c r="AW1555" i="2"/>
  <c r="AV1546" i="2"/>
  <c r="AT1546" i="2"/>
  <c r="AS1546" i="2"/>
  <c r="AS1555" i="2"/>
  <c r="AP1546" i="2"/>
  <c r="AM1544" i="2"/>
  <c r="AL1544" i="2"/>
  <c r="AJ1544" i="2"/>
  <c r="AI1544" i="2"/>
  <c r="AM1543" i="2"/>
  <c r="AL1543" i="2"/>
  <c r="AJ1543" i="2"/>
  <c r="AI1543" i="2"/>
  <c r="AM1542" i="2"/>
  <c r="AL1542" i="2"/>
  <c r="AI1542" i="2"/>
  <c r="AX1541" i="2"/>
  <c r="AO1541" i="2"/>
  <c r="AX1540" i="2"/>
  <c r="AO1540" i="2"/>
  <c r="AX1539" i="2"/>
  <c r="AO1539" i="2"/>
  <c r="AX1538" i="2"/>
  <c r="AO1538" i="2"/>
  <c r="AX1537" i="2"/>
  <c r="AO1537" i="2"/>
  <c r="AX1536" i="2"/>
  <c r="AO1536" i="2"/>
  <c r="AX1535" i="2"/>
  <c r="AO1535" i="2"/>
  <c r="AX1534" i="2"/>
  <c r="AO1534" i="2"/>
  <c r="AX1533" i="2"/>
  <c r="AO1533" i="2"/>
  <c r="AX1532" i="2"/>
  <c r="AO1532" i="2"/>
  <c r="AX1531" i="2"/>
  <c r="AO1531" i="2"/>
  <c r="AX1530" i="2"/>
  <c r="AO1530" i="2"/>
  <c r="AX1529" i="2"/>
  <c r="AO1529" i="2"/>
  <c r="AX1528" i="2"/>
  <c r="AO1528" i="2"/>
  <c r="AX1527" i="2"/>
  <c r="AO1527" i="2"/>
  <c r="AX1526" i="2"/>
  <c r="AO1526" i="2"/>
  <c r="AX1525" i="2"/>
  <c r="AO1525" i="2"/>
  <c r="AX1524" i="2"/>
  <c r="AO1524" i="2"/>
  <c r="AO1523" i="2"/>
  <c r="AO1542" i="2"/>
  <c r="AJ1542" i="2"/>
  <c r="AX1523" i="2"/>
  <c r="AA1521" i="2"/>
  <c r="Z1521" i="2"/>
  <c r="Y1521" i="2"/>
  <c r="X1521" i="2"/>
  <c r="M1521" i="2"/>
  <c r="L1521" i="2"/>
  <c r="G1521" i="2"/>
  <c r="AA1520" i="2"/>
  <c r="Z1520" i="2"/>
  <c r="Y1520" i="2"/>
  <c r="X1520" i="2"/>
  <c r="M1520" i="2"/>
  <c r="L1520" i="2"/>
  <c r="G1520" i="2"/>
  <c r="AV1502" i="2"/>
  <c r="AV1503" i="2"/>
  <c r="AV1504" i="2"/>
  <c r="AV1505" i="2"/>
  <c r="AV1506" i="2"/>
  <c r="AV1507" i="2"/>
  <c r="AV1508" i="2"/>
  <c r="AV1509" i="2"/>
  <c r="AV1510" i="2"/>
  <c r="AV1511" i="2"/>
  <c r="AV1512" i="2"/>
  <c r="AV1513" i="2"/>
  <c r="AV1514" i="2"/>
  <c r="AV1515" i="2"/>
  <c r="AV1516" i="2"/>
  <c r="AV1517" i="2"/>
  <c r="AV1518" i="2"/>
  <c r="AV1519" i="2"/>
  <c r="AA1519" i="2"/>
  <c r="Z1519" i="2"/>
  <c r="Y1519" i="2"/>
  <c r="X1519" i="2"/>
  <c r="G1519" i="2"/>
  <c r="AX1518" i="2"/>
  <c r="AW1518" i="2"/>
  <c r="AU1518" i="2"/>
  <c r="AT1518" i="2"/>
  <c r="AS1518" i="2"/>
  <c r="AR1518" i="2"/>
  <c r="AQ1518" i="2"/>
  <c r="AP1518" i="2"/>
  <c r="AO1518" i="2"/>
  <c r="AX1517" i="2"/>
  <c r="AW1517" i="2"/>
  <c r="AU1517" i="2"/>
  <c r="AT1517" i="2"/>
  <c r="AS1517" i="2"/>
  <c r="AR1517" i="2"/>
  <c r="AQ1517" i="2"/>
  <c r="AP1517" i="2"/>
  <c r="AO1517" i="2"/>
  <c r="AX1516" i="2"/>
  <c r="AW1516" i="2"/>
  <c r="AU1516" i="2"/>
  <c r="AT1516" i="2"/>
  <c r="AS1516" i="2"/>
  <c r="AR1516" i="2"/>
  <c r="AQ1516" i="2"/>
  <c r="AP1516" i="2"/>
  <c r="AO1516" i="2"/>
  <c r="AX1515" i="2"/>
  <c r="AW1515" i="2"/>
  <c r="AU1515" i="2"/>
  <c r="AT1515" i="2"/>
  <c r="AS1515" i="2"/>
  <c r="AR1515" i="2"/>
  <c r="AQ1515" i="2"/>
  <c r="AP1515" i="2"/>
  <c r="AO1515" i="2"/>
  <c r="AX1514" i="2"/>
  <c r="AW1514" i="2"/>
  <c r="AU1514" i="2"/>
  <c r="AT1514" i="2"/>
  <c r="AS1514" i="2"/>
  <c r="AR1514" i="2"/>
  <c r="AQ1514" i="2"/>
  <c r="AP1514" i="2"/>
  <c r="AO1514" i="2"/>
  <c r="AX1513" i="2"/>
  <c r="AW1513" i="2"/>
  <c r="AU1513" i="2"/>
  <c r="AT1513" i="2"/>
  <c r="AS1513" i="2"/>
  <c r="AR1513" i="2"/>
  <c r="AQ1513" i="2"/>
  <c r="AP1513" i="2"/>
  <c r="AO1513" i="2"/>
  <c r="AX1512" i="2"/>
  <c r="AW1512" i="2"/>
  <c r="AU1512" i="2"/>
  <c r="AT1512" i="2"/>
  <c r="AS1512" i="2"/>
  <c r="AR1512" i="2"/>
  <c r="AQ1512" i="2"/>
  <c r="AP1512" i="2"/>
  <c r="AO1512" i="2"/>
  <c r="AX1511" i="2"/>
  <c r="AW1511" i="2"/>
  <c r="AU1511" i="2"/>
  <c r="AT1511" i="2"/>
  <c r="AS1511" i="2"/>
  <c r="AR1511" i="2"/>
  <c r="AQ1511" i="2"/>
  <c r="AP1511" i="2"/>
  <c r="AO1511" i="2"/>
  <c r="AX1510" i="2"/>
  <c r="AW1510" i="2"/>
  <c r="AU1510" i="2"/>
  <c r="AT1510" i="2"/>
  <c r="AS1510" i="2"/>
  <c r="AR1510" i="2"/>
  <c r="AQ1510" i="2"/>
  <c r="AP1510" i="2"/>
  <c r="AO1510" i="2"/>
  <c r="AX1509" i="2"/>
  <c r="AW1509" i="2"/>
  <c r="AU1509" i="2"/>
  <c r="AT1509" i="2"/>
  <c r="AS1509" i="2"/>
  <c r="AR1509" i="2"/>
  <c r="AQ1509" i="2"/>
  <c r="AP1509" i="2"/>
  <c r="AO1509" i="2"/>
  <c r="AX1508" i="2"/>
  <c r="AW1508" i="2"/>
  <c r="AU1508" i="2"/>
  <c r="AT1508" i="2"/>
  <c r="AS1508" i="2"/>
  <c r="AR1508" i="2"/>
  <c r="AQ1508" i="2"/>
  <c r="AP1508" i="2"/>
  <c r="AO1508" i="2"/>
  <c r="AX1507" i="2"/>
  <c r="AW1507" i="2"/>
  <c r="AU1507" i="2"/>
  <c r="AT1507" i="2"/>
  <c r="AS1507" i="2"/>
  <c r="AR1507" i="2"/>
  <c r="AQ1507" i="2"/>
  <c r="AP1507" i="2"/>
  <c r="AO1507" i="2"/>
  <c r="AX1506" i="2"/>
  <c r="AW1506" i="2"/>
  <c r="AU1506" i="2"/>
  <c r="AT1506" i="2"/>
  <c r="AS1506" i="2"/>
  <c r="AR1506" i="2"/>
  <c r="AQ1506" i="2"/>
  <c r="AP1506" i="2"/>
  <c r="AO1506" i="2"/>
  <c r="AX1505" i="2"/>
  <c r="AW1505" i="2"/>
  <c r="AU1505" i="2"/>
  <c r="AT1505" i="2"/>
  <c r="AS1505" i="2"/>
  <c r="AR1505" i="2"/>
  <c r="AQ1505" i="2"/>
  <c r="AP1505" i="2"/>
  <c r="AO1505" i="2"/>
  <c r="AX1504" i="2"/>
  <c r="AX1502" i="2"/>
  <c r="AX1503" i="2"/>
  <c r="AX1519" i="2"/>
  <c r="AW1504" i="2"/>
  <c r="AU1504" i="2"/>
  <c r="AT1504" i="2"/>
  <c r="AS1504" i="2"/>
  <c r="AR1504" i="2"/>
  <c r="AQ1504" i="2"/>
  <c r="AP1504" i="2"/>
  <c r="AO1504" i="2"/>
  <c r="AW1503" i="2"/>
  <c r="AU1503" i="2"/>
  <c r="AT1503" i="2"/>
  <c r="AS1503" i="2"/>
  <c r="AS1502" i="2"/>
  <c r="AS1519" i="2"/>
  <c r="L1519" i="2"/>
  <c r="AR1503" i="2"/>
  <c r="AQ1503" i="2"/>
  <c r="AP1503" i="2"/>
  <c r="AO1503" i="2"/>
  <c r="AW1502" i="2"/>
  <c r="AU1502" i="2"/>
  <c r="AU1519" i="2"/>
  <c r="AT1502" i="2"/>
  <c r="AT1519" i="2"/>
  <c r="AR1502" i="2"/>
  <c r="AQ1502" i="2"/>
  <c r="AQ1519" i="2"/>
  <c r="AP1502" i="2"/>
  <c r="AO1502" i="2"/>
  <c r="AM1500" i="2"/>
  <c r="T1500" i="2"/>
  <c r="I1500" i="2"/>
  <c r="G1500" i="2"/>
  <c r="AM1499" i="2"/>
  <c r="T1499" i="2"/>
  <c r="I1499" i="2"/>
  <c r="G1499" i="2"/>
  <c r="AT1479" i="2"/>
  <c r="AT1480" i="2"/>
  <c r="AT1481" i="2"/>
  <c r="AT1482" i="2"/>
  <c r="AT1483" i="2"/>
  <c r="AT1484" i="2"/>
  <c r="AT1485" i="2"/>
  <c r="AT1486" i="2"/>
  <c r="AT1487" i="2"/>
  <c r="AT1488" i="2"/>
  <c r="AT1489" i="2"/>
  <c r="AT1490" i="2"/>
  <c r="AT1491" i="2"/>
  <c r="AT1492" i="2"/>
  <c r="AT1493" i="2"/>
  <c r="AT1494" i="2"/>
  <c r="AT1495" i="2"/>
  <c r="AT1496" i="2"/>
  <c r="AT1497" i="2"/>
  <c r="AT1498" i="2"/>
  <c r="AM1498" i="2"/>
  <c r="T1498" i="2"/>
  <c r="G1498" i="2"/>
  <c r="AX1497" i="2"/>
  <c r="AX1479" i="2"/>
  <c r="AX1480" i="2"/>
  <c r="AX1481" i="2"/>
  <c r="AX1482" i="2"/>
  <c r="AX1483" i="2"/>
  <c r="AX1484" i="2"/>
  <c r="AX1485" i="2"/>
  <c r="AX1486" i="2"/>
  <c r="AX1487" i="2"/>
  <c r="AX1488" i="2"/>
  <c r="AX1489" i="2"/>
  <c r="AX1490" i="2"/>
  <c r="AX1491" i="2"/>
  <c r="AX1492" i="2"/>
  <c r="AX1493" i="2"/>
  <c r="AX1494" i="2"/>
  <c r="AX1495" i="2"/>
  <c r="AX1496" i="2"/>
  <c r="AX1498" i="2"/>
  <c r="AW1497" i="2"/>
  <c r="AV1497" i="2"/>
  <c r="AU1497" i="2"/>
  <c r="AS1497" i="2"/>
  <c r="AR1497" i="2"/>
  <c r="AP1497" i="2"/>
  <c r="AO1497" i="2"/>
  <c r="U1497" i="2"/>
  <c r="J1497" i="2"/>
  <c r="AQ1497" i="2"/>
  <c r="AW1496" i="2"/>
  <c r="AV1496" i="2"/>
  <c r="AU1496" i="2"/>
  <c r="AS1496" i="2"/>
  <c r="AR1496" i="2"/>
  <c r="AP1496" i="2"/>
  <c r="AO1496" i="2"/>
  <c r="U1496" i="2"/>
  <c r="J1496" i="2"/>
  <c r="AQ1496" i="2"/>
  <c r="AW1495" i="2"/>
  <c r="AV1495" i="2"/>
  <c r="AU1495" i="2"/>
  <c r="AS1495" i="2"/>
  <c r="AR1495" i="2"/>
  <c r="AP1495" i="2"/>
  <c r="AO1495" i="2"/>
  <c r="U1495" i="2"/>
  <c r="J1495" i="2"/>
  <c r="AW1494" i="2"/>
  <c r="AV1494" i="2"/>
  <c r="AU1494" i="2"/>
  <c r="AS1494" i="2"/>
  <c r="AR1494" i="2"/>
  <c r="U1494" i="2"/>
  <c r="J1494" i="2"/>
  <c r="AQ1494" i="2"/>
  <c r="AP1494" i="2"/>
  <c r="AO1494" i="2"/>
  <c r="AW1493" i="2"/>
  <c r="AV1493" i="2"/>
  <c r="AU1493" i="2"/>
  <c r="AS1493" i="2"/>
  <c r="AR1493" i="2"/>
  <c r="AQ1493" i="2"/>
  <c r="AP1493" i="2"/>
  <c r="AO1493" i="2"/>
  <c r="U1493" i="2"/>
  <c r="AW1492" i="2"/>
  <c r="AV1492" i="2"/>
  <c r="AU1492" i="2"/>
  <c r="AS1492" i="2"/>
  <c r="AR1492" i="2"/>
  <c r="AQ1492" i="2"/>
  <c r="AP1492" i="2"/>
  <c r="AO1492" i="2"/>
  <c r="U1492" i="2"/>
  <c r="AW1491" i="2"/>
  <c r="AV1491" i="2"/>
  <c r="AU1491" i="2"/>
  <c r="AS1491" i="2"/>
  <c r="AR1491" i="2"/>
  <c r="AQ1491" i="2"/>
  <c r="AP1491" i="2"/>
  <c r="AO1491" i="2"/>
  <c r="U1491" i="2"/>
  <c r="AW1490" i="2"/>
  <c r="AV1490" i="2"/>
  <c r="AU1490" i="2"/>
  <c r="AS1490" i="2"/>
  <c r="AR1490" i="2"/>
  <c r="AQ1490" i="2"/>
  <c r="AP1490" i="2"/>
  <c r="AO1490" i="2"/>
  <c r="U1490" i="2"/>
  <c r="AW1489" i="2"/>
  <c r="AV1489" i="2"/>
  <c r="AU1489" i="2"/>
  <c r="AS1489" i="2"/>
  <c r="AR1489" i="2"/>
  <c r="AQ1489" i="2"/>
  <c r="AP1489" i="2"/>
  <c r="AO1489" i="2"/>
  <c r="U1489" i="2"/>
  <c r="AW1488" i="2"/>
  <c r="AV1488" i="2"/>
  <c r="AU1488" i="2"/>
  <c r="AS1488" i="2"/>
  <c r="AR1488" i="2"/>
  <c r="AQ1488" i="2"/>
  <c r="AP1488" i="2"/>
  <c r="AO1488" i="2"/>
  <c r="U1488" i="2"/>
  <c r="AW1487" i="2"/>
  <c r="AV1487" i="2"/>
  <c r="AU1487" i="2"/>
  <c r="AS1487" i="2"/>
  <c r="AR1487" i="2"/>
  <c r="AQ1487" i="2"/>
  <c r="AP1487" i="2"/>
  <c r="AO1487" i="2"/>
  <c r="U1487" i="2"/>
  <c r="AW1486" i="2"/>
  <c r="AV1486" i="2"/>
  <c r="AU1486" i="2"/>
  <c r="AS1486" i="2"/>
  <c r="AR1486" i="2"/>
  <c r="AQ1486" i="2"/>
  <c r="AP1486" i="2"/>
  <c r="AO1486" i="2"/>
  <c r="U1486" i="2"/>
  <c r="AW1485" i="2"/>
  <c r="AV1485" i="2"/>
  <c r="AU1485" i="2"/>
  <c r="AS1485" i="2"/>
  <c r="AR1485" i="2"/>
  <c r="AQ1485" i="2"/>
  <c r="AP1485" i="2"/>
  <c r="AO1485" i="2"/>
  <c r="U1485" i="2"/>
  <c r="AW1484" i="2"/>
  <c r="AV1484" i="2"/>
  <c r="AU1484" i="2"/>
  <c r="AS1484" i="2"/>
  <c r="AR1484" i="2"/>
  <c r="AQ1484" i="2"/>
  <c r="AP1484" i="2"/>
  <c r="AO1484" i="2"/>
  <c r="U1484" i="2"/>
  <c r="AW1483" i="2"/>
  <c r="AV1483" i="2"/>
  <c r="AU1483" i="2"/>
  <c r="AS1483" i="2"/>
  <c r="AR1483" i="2"/>
  <c r="AQ1483" i="2"/>
  <c r="AP1483" i="2"/>
  <c r="AO1483" i="2"/>
  <c r="U1483" i="2"/>
  <c r="AW1482" i="2"/>
  <c r="AV1482" i="2"/>
  <c r="AU1482" i="2"/>
  <c r="AU1479" i="2"/>
  <c r="AU1480" i="2"/>
  <c r="AU1481" i="2"/>
  <c r="AU1498" i="2"/>
  <c r="AS1482" i="2"/>
  <c r="AR1482" i="2"/>
  <c r="AQ1482" i="2"/>
  <c r="AP1482" i="2"/>
  <c r="AO1482" i="2"/>
  <c r="U1482" i="2"/>
  <c r="AW1481" i="2"/>
  <c r="AV1481" i="2"/>
  <c r="AS1481" i="2"/>
  <c r="AR1481" i="2"/>
  <c r="AQ1481" i="2"/>
  <c r="AP1481" i="2"/>
  <c r="AP1479" i="2"/>
  <c r="AP1480" i="2"/>
  <c r="AP1498" i="2"/>
  <c r="I1498" i="2"/>
  <c r="AO1481" i="2"/>
  <c r="U1481" i="2"/>
  <c r="AW1480" i="2"/>
  <c r="AV1480" i="2"/>
  <c r="AS1480" i="2"/>
  <c r="AR1480" i="2"/>
  <c r="AQ1480" i="2"/>
  <c r="AO1480" i="2"/>
  <c r="U1480" i="2"/>
  <c r="AW1479" i="2"/>
  <c r="AV1479" i="2"/>
  <c r="AV1498" i="2"/>
  <c r="AS1479" i="2"/>
  <c r="AR1479" i="2"/>
  <c r="AR1498" i="2"/>
  <c r="AQ1479" i="2"/>
  <c r="AO1479" i="2"/>
  <c r="U1479" i="2"/>
  <c r="T1473" i="2"/>
  <c r="T1474" i="2"/>
  <c r="T1477" i="2"/>
  <c r="T1476" i="2"/>
  <c r="I1473" i="2"/>
  <c r="I1474" i="2"/>
  <c r="I1476" i="2"/>
  <c r="T1475" i="2"/>
  <c r="G1474" i="2"/>
  <c r="AU1474" i="2"/>
  <c r="AR1474" i="2"/>
  <c r="I1477" i="2"/>
  <c r="AW1474" i="2"/>
  <c r="G1473" i="2"/>
  <c r="AU1473" i="2"/>
  <c r="AU1475" i="2"/>
  <c r="AQ1473" i="2"/>
  <c r="AT1473" i="2"/>
  <c r="S1470" i="2"/>
  <c r="H1470" i="2"/>
  <c r="G1470" i="2"/>
  <c r="S1469" i="2"/>
  <c r="H1469" i="2"/>
  <c r="G1469" i="2"/>
  <c r="S1468" i="2"/>
  <c r="G1468" i="2"/>
  <c r="AX1467" i="2"/>
  <c r="AW1467" i="2"/>
  <c r="AV1467" i="2"/>
  <c r="AU1467" i="2"/>
  <c r="AT1467" i="2"/>
  <c r="AS1467" i="2"/>
  <c r="AR1467" i="2"/>
  <c r="AQ1467" i="2"/>
  <c r="AP1467" i="2"/>
  <c r="AO1467" i="2"/>
  <c r="AX1466" i="2"/>
  <c r="AW1466" i="2"/>
  <c r="AV1466" i="2"/>
  <c r="AU1466" i="2"/>
  <c r="AT1466" i="2"/>
  <c r="AS1466" i="2"/>
  <c r="AR1466" i="2"/>
  <c r="AQ1466" i="2"/>
  <c r="AP1466" i="2"/>
  <c r="AO1466" i="2"/>
  <c r="AX1465" i="2"/>
  <c r="AW1465" i="2"/>
  <c r="AV1465" i="2"/>
  <c r="AU1465" i="2"/>
  <c r="AT1465" i="2"/>
  <c r="AS1465" i="2"/>
  <c r="AR1465" i="2"/>
  <c r="AQ1465" i="2"/>
  <c r="AP1465" i="2"/>
  <c r="AO1465" i="2"/>
  <c r="AX1464" i="2"/>
  <c r="AW1464" i="2"/>
  <c r="AV1464" i="2"/>
  <c r="AV1456" i="2"/>
  <c r="AV1457" i="2"/>
  <c r="AV1458" i="2"/>
  <c r="AV1459" i="2"/>
  <c r="AV1460" i="2"/>
  <c r="AV1461" i="2"/>
  <c r="AV1462" i="2"/>
  <c r="AV1463" i="2"/>
  <c r="AV1468" i="2"/>
  <c r="AU1464" i="2"/>
  <c r="AT1464" i="2"/>
  <c r="AS1464" i="2"/>
  <c r="AR1464" i="2"/>
  <c r="AQ1464" i="2"/>
  <c r="AP1464" i="2"/>
  <c r="AO1464" i="2"/>
  <c r="AX1463" i="2"/>
  <c r="AW1463" i="2"/>
  <c r="AU1463" i="2"/>
  <c r="AT1463" i="2"/>
  <c r="AS1463" i="2"/>
  <c r="AR1463" i="2"/>
  <c r="AQ1463" i="2"/>
  <c r="AP1463" i="2"/>
  <c r="AO1463" i="2"/>
  <c r="AX1462" i="2"/>
  <c r="AW1462" i="2"/>
  <c r="AU1462" i="2"/>
  <c r="AT1462" i="2"/>
  <c r="AS1462" i="2"/>
  <c r="AR1462" i="2"/>
  <c r="AQ1462" i="2"/>
  <c r="AP1462" i="2"/>
  <c r="AO1462" i="2"/>
  <c r="AX1461" i="2"/>
  <c r="AW1461" i="2"/>
  <c r="AU1461" i="2"/>
  <c r="AT1461" i="2"/>
  <c r="AS1461" i="2"/>
  <c r="AR1461" i="2"/>
  <c r="AQ1461" i="2"/>
  <c r="AP1461" i="2"/>
  <c r="AO1461" i="2"/>
  <c r="AM1460" i="2"/>
  <c r="AM1461" i="2"/>
  <c r="AX1460" i="2"/>
  <c r="AW1460" i="2"/>
  <c r="AU1460" i="2"/>
  <c r="AT1460" i="2"/>
  <c r="AS1460" i="2"/>
  <c r="AR1460" i="2"/>
  <c r="AQ1460" i="2"/>
  <c r="AP1460" i="2"/>
  <c r="AO1460" i="2"/>
  <c r="AX1459" i="2"/>
  <c r="AW1459" i="2"/>
  <c r="AU1459" i="2"/>
  <c r="AT1459" i="2"/>
  <c r="AS1459" i="2"/>
  <c r="AR1459" i="2"/>
  <c r="AR1456" i="2"/>
  <c r="AR1457" i="2"/>
  <c r="AR1458" i="2"/>
  <c r="AR1468" i="2"/>
  <c r="AQ1459" i="2"/>
  <c r="AP1459" i="2"/>
  <c r="AO1459" i="2"/>
  <c r="AM1459" i="2"/>
  <c r="AX1458" i="2"/>
  <c r="AW1458" i="2"/>
  <c r="AW1456" i="2"/>
  <c r="AW1457" i="2"/>
  <c r="AW1468" i="2"/>
  <c r="AU1458" i="2"/>
  <c r="AT1458" i="2"/>
  <c r="AS1458" i="2"/>
  <c r="AQ1458" i="2"/>
  <c r="AP1458" i="2"/>
  <c r="AO1458" i="2"/>
  <c r="AM1458" i="2"/>
  <c r="AX1457" i="2"/>
  <c r="AU1457" i="2"/>
  <c r="AT1457" i="2"/>
  <c r="AS1457" i="2"/>
  <c r="AQ1457" i="2"/>
  <c r="AP1457" i="2"/>
  <c r="AO1457" i="2"/>
  <c r="AM1457" i="2"/>
  <c r="AX1456" i="2"/>
  <c r="AU1456" i="2"/>
  <c r="AT1456" i="2"/>
  <c r="AS1456" i="2"/>
  <c r="AS1468" i="2"/>
  <c r="AQ1456" i="2"/>
  <c r="AQ1468" i="2"/>
  <c r="AP1456" i="2"/>
  <c r="AO1456" i="2"/>
  <c r="AM1456" i="2"/>
  <c r="G1440" i="2"/>
  <c r="G1441" i="2"/>
  <c r="G1442" i="2"/>
  <c r="G1443" i="2"/>
  <c r="G1444" i="2"/>
  <c r="G1445" i="2"/>
  <c r="G1446" i="2"/>
  <c r="G1447" i="2"/>
  <c r="G1454" i="2"/>
  <c r="AX1451" i="2"/>
  <c r="AW1451" i="2"/>
  <c r="AV1451" i="2"/>
  <c r="AU1451" i="2"/>
  <c r="AT1451" i="2"/>
  <c r="AS1451" i="2"/>
  <c r="AR1451" i="2"/>
  <c r="AQ1451" i="2"/>
  <c r="AP1451" i="2"/>
  <c r="AO1451" i="2"/>
  <c r="AM1451" i="2"/>
  <c r="T1451" i="2"/>
  <c r="AX1450" i="2"/>
  <c r="AW1450" i="2"/>
  <c r="AV1450" i="2"/>
  <c r="AU1450" i="2"/>
  <c r="AT1450" i="2"/>
  <c r="AS1450" i="2"/>
  <c r="AR1450" i="2"/>
  <c r="AQ1450" i="2"/>
  <c r="AP1450" i="2"/>
  <c r="AO1450" i="2"/>
  <c r="AM1450" i="2"/>
  <c r="T1450" i="2"/>
  <c r="AX1449" i="2"/>
  <c r="AW1449" i="2"/>
  <c r="AV1449" i="2"/>
  <c r="AU1449" i="2"/>
  <c r="AT1449" i="2"/>
  <c r="AS1449" i="2"/>
  <c r="AR1449" i="2"/>
  <c r="AQ1449" i="2"/>
  <c r="AP1449" i="2"/>
  <c r="AO1449" i="2"/>
  <c r="AM1449" i="2"/>
  <c r="T1449" i="2"/>
  <c r="AX1448" i="2"/>
  <c r="AW1448" i="2"/>
  <c r="AV1448" i="2"/>
  <c r="AU1448" i="2"/>
  <c r="AT1448" i="2"/>
  <c r="AS1448" i="2"/>
  <c r="AR1448" i="2"/>
  <c r="AQ1448" i="2"/>
  <c r="AP1448" i="2"/>
  <c r="AO1448" i="2"/>
  <c r="AM1448" i="2"/>
  <c r="T1448" i="2"/>
  <c r="AW1447" i="2"/>
  <c r="AV1447" i="2"/>
  <c r="AS1447" i="2"/>
  <c r="AM1447" i="2"/>
  <c r="T1447" i="2"/>
  <c r="I1447" i="2"/>
  <c r="AX1446" i="2"/>
  <c r="AW1446" i="2"/>
  <c r="AV1446" i="2"/>
  <c r="AU1446" i="2"/>
  <c r="AT1446" i="2"/>
  <c r="AR1446" i="2"/>
  <c r="AQ1446" i="2"/>
  <c r="I1446" i="2"/>
  <c r="AP1446" i="2"/>
  <c r="AO1446" i="2"/>
  <c r="AM1446" i="2"/>
  <c r="T1446" i="2"/>
  <c r="AS1446" i="2"/>
  <c r="AW1445" i="2"/>
  <c r="AU1445" i="2"/>
  <c r="AM1445" i="2"/>
  <c r="T1445" i="2"/>
  <c r="I1445" i="2"/>
  <c r="AT1444" i="2"/>
  <c r="AS1444" i="2"/>
  <c r="AQ1444" i="2"/>
  <c r="I1444" i="2"/>
  <c r="AP1444" i="2"/>
  <c r="AM1444" i="2"/>
  <c r="T1444" i="2"/>
  <c r="AM1443" i="2"/>
  <c r="T1443" i="2"/>
  <c r="I1443" i="2"/>
  <c r="AT1443" i="2"/>
  <c r="AX1442" i="2"/>
  <c r="AW1442" i="2"/>
  <c r="AV1442" i="2"/>
  <c r="AU1442" i="2"/>
  <c r="AT1442" i="2"/>
  <c r="AR1442" i="2"/>
  <c r="AQ1442" i="2"/>
  <c r="I1442" i="2"/>
  <c r="AP1442" i="2"/>
  <c r="AO1442" i="2"/>
  <c r="AM1442" i="2"/>
  <c r="T1442" i="2"/>
  <c r="AS1442" i="2"/>
  <c r="AX1441" i="2"/>
  <c r="AW1441" i="2"/>
  <c r="AV1441" i="2"/>
  <c r="AS1441" i="2"/>
  <c r="AM1441" i="2"/>
  <c r="T1441" i="2"/>
  <c r="I1441" i="2"/>
  <c r="AX1440" i="2"/>
  <c r="AV1440" i="2"/>
  <c r="AT1440" i="2"/>
  <c r="AS1440" i="2"/>
  <c r="AQ1440" i="2"/>
  <c r="I1440" i="2"/>
  <c r="AP1440" i="2"/>
  <c r="AM1440" i="2"/>
  <c r="T1440" i="2"/>
  <c r="AM1438" i="2"/>
  <c r="AL1438" i="2"/>
  <c r="AJ1438" i="2"/>
  <c r="AI1438" i="2"/>
  <c r="AM1437" i="2"/>
  <c r="AL1437" i="2"/>
  <c r="AJ1437" i="2"/>
  <c r="AI1437" i="2"/>
  <c r="AM1436" i="2"/>
  <c r="AL1436" i="2"/>
  <c r="AI1436" i="2"/>
  <c r="AO1435" i="2"/>
  <c r="AO1434" i="2"/>
  <c r="AO1433" i="2"/>
  <c r="AO1432" i="2"/>
  <c r="AO1431" i="2"/>
  <c r="AO1430" i="2"/>
  <c r="AO1429" i="2"/>
  <c r="AO1428" i="2"/>
  <c r="AO1427" i="2"/>
  <c r="S1425" i="2"/>
  <c r="R1425" i="2"/>
  <c r="H1425" i="2"/>
  <c r="G1425" i="2"/>
  <c r="S1424" i="2"/>
  <c r="R1424" i="2"/>
  <c r="H1424" i="2"/>
  <c r="G1424" i="2"/>
  <c r="S1423" i="2"/>
  <c r="R1423" i="2"/>
  <c r="G1423" i="2"/>
  <c r="AX1422" i="2"/>
  <c r="AW1422" i="2"/>
  <c r="AV1422" i="2"/>
  <c r="AU1422" i="2"/>
  <c r="AT1422" i="2"/>
  <c r="AS1422" i="2"/>
  <c r="AR1422" i="2"/>
  <c r="AQ1422" i="2"/>
  <c r="AP1422" i="2"/>
  <c r="AO1422" i="2"/>
  <c r="AX1421" i="2"/>
  <c r="AW1421" i="2"/>
  <c r="AV1421" i="2"/>
  <c r="AU1421" i="2"/>
  <c r="AT1421" i="2"/>
  <c r="AS1421" i="2"/>
  <c r="AR1421" i="2"/>
  <c r="AQ1421" i="2"/>
  <c r="AP1421" i="2"/>
  <c r="AO1421" i="2"/>
  <c r="AX1420" i="2"/>
  <c r="AW1420" i="2"/>
  <c r="AV1420" i="2"/>
  <c r="AU1420" i="2"/>
  <c r="AT1420" i="2"/>
  <c r="AS1420" i="2"/>
  <c r="AR1420" i="2"/>
  <c r="AQ1420" i="2"/>
  <c r="AP1420" i="2"/>
  <c r="AO1420" i="2"/>
  <c r="AX1419" i="2"/>
  <c r="AW1419" i="2"/>
  <c r="AV1419" i="2"/>
  <c r="AU1419" i="2"/>
  <c r="AT1419" i="2"/>
  <c r="AS1419" i="2"/>
  <c r="AR1419" i="2"/>
  <c r="AQ1419" i="2"/>
  <c r="AP1419" i="2"/>
  <c r="AO1419" i="2"/>
  <c r="AX1418" i="2"/>
  <c r="AW1418" i="2"/>
  <c r="AV1418" i="2"/>
  <c r="AU1418" i="2"/>
  <c r="AT1418" i="2"/>
  <c r="AS1418" i="2"/>
  <c r="AR1418" i="2"/>
  <c r="AQ1418" i="2"/>
  <c r="AP1418" i="2"/>
  <c r="AO1418" i="2"/>
  <c r="AX1417" i="2"/>
  <c r="AW1417" i="2"/>
  <c r="AV1417" i="2"/>
  <c r="AU1417" i="2"/>
  <c r="AT1417" i="2"/>
  <c r="AS1417" i="2"/>
  <c r="AR1417" i="2"/>
  <c r="AQ1417" i="2"/>
  <c r="AP1417" i="2"/>
  <c r="AO1417" i="2"/>
  <c r="AX1416" i="2"/>
  <c r="AW1416" i="2"/>
  <c r="AV1416" i="2"/>
  <c r="AU1416" i="2"/>
  <c r="AT1416" i="2"/>
  <c r="AS1416" i="2"/>
  <c r="AR1416" i="2"/>
  <c r="AQ1416" i="2"/>
  <c r="AP1416" i="2"/>
  <c r="AO1416" i="2"/>
  <c r="AO1413" i="2"/>
  <c r="AO1414" i="2"/>
  <c r="AO1415" i="2"/>
  <c r="AO1423" i="2"/>
  <c r="H1423" i="2"/>
  <c r="AX1415" i="2"/>
  <c r="AW1415" i="2"/>
  <c r="AV1415" i="2"/>
  <c r="AU1415" i="2"/>
  <c r="AT1415" i="2"/>
  <c r="AS1415" i="2"/>
  <c r="AR1415" i="2"/>
  <c r="AQ1415" i="2"/>
  <c r="AP1415" i="2"/>
  <c r="AX1414" i="2"/>
  <c r="AW1414" i="2"/>
  <c r="AV1414" i="2"/>
  <c r="AU1414" i="2"/>
  <c r="AT1414" i="2"/>
  <c r="AS1414" i="2"/>
  <c r="AR1414" i="2"/>
  <c r="AQ1414" i="2"/>
  <c r="AP1414" i="2"/>
  <c r="AX1413" i="2"/>
  <c r="AX1423" i="2"/>
  <c r="AW1413" i="2"/>
  <c r="AV1413" i="2"/>
  <c r="AU1413" i="2"/>
  <c r="AU1423" i="2"/>
  <c r="AT1413" i="2"/>
  <c r="AT1423" i="2"/>
  <c r="AS1413" i="2"/>
  <c r="AR1413" i="2"/>
  <c r="AR1423" i="2"/>
  <c r="AQ1413" i="2"/>
  <c r="AP1413" i="2"/>
  <c r="AP1423" i="2"/>
  <c r="AM1393" i="2"/>
  <c r="S1393" i="2"/>
  <c r="H1393" i="2"/>
  <c r="G1393" i="2"/>
  <c r="AM1392" i="2"/>
  <c r="S1392" i="2"/>
  <c r="H1392" i="2"/>
  <c r="G1392" i="2"/>
  <c r="AV1380" i="2"/>
  <c r="AV1381" i="2"/>
  <c r="AV1382" i="2"/>
  <c r="AV1383" i="2"/>
  <c r="AV1384" i="2"/>
  <c r="AV1385" i="2"/>
  <c r="AV1386" i="2"/>
  <c r="AV1387" i="2"/>
  <c r="AV1388" i="2"/>
  <c r="AV1389" i="2"/>
  <c r="AV1390" i="2"/>
  <c r="AV1391" i="2"/>
  <c r="AQ1380" i="2"/>
  <c r="AQ1381" i="2"/>
  <c r="AQ1382" i="2"/>
  <c r="AQ1383" i="2"/>
  <c r="AQ1384" i="2"/>
  <c r="AQ1385" i="2"/>
  <c r="AQ1386" i="2"/>
  <c r="AQ1387" i="2"/>
  <c r="AQ1388" i="2"/>
  <c r="AQ1389" i="2"/>
  <c r="AQ1390" i="2"/>
  <c r="AQ1391" i="2"/>
  <c r="AM1391" i="2"/>
  <c r="S1391" i="2"/>
  <c r="G1391" i="2"/>
  <c r="AX1390" i="2"/>
  <c r="AW1390" i="2"/>
  <c r="AU1390" i="2"/>
  <c r="AT1390" i="2"/>
  <c r="AS1390" i="2"/>
  <c r="AR1390" i="2"/>
  <c r="AP1390" i="2"/>
  <c r="AO1390" i="2"/>
  <c r="AX1389" i="2"/>
  <c r="AW1389" i="2"/>
  <c r="AU1389" i="2"/>
  <c r="AT1389" i="2"/>
  <c r="AS1389" i="2"/>
  <c r="AR1389" i="2"/>
  <c r="AP1389" i="2"/>
  <c r="AO1389" i="2"/>
  <c r="AX1388" i="2"/>
  <c r="AW1388" i="2"/>
  <c r="AU1388" i="2"/>
  <c r="AT1388" i="2"/>
  <c r="AS1388" i="2"/>
  <c r="AR1388" i="2"/>
  <c r="AP1388" i="2"/>
  <c r="AO1388" i="2"/>
  <c r="AX1387" i="2"/>
  <c r="AW1387" i="2"/>
  <c r="AU1387" i="2"/>
  <c r="AT1387" i="2"/>
  <c r="AS1387" i="2"/>
  <c r="AR1387" i="2"/>
  <c r="AP1387" i="2"/>
  <c r="AO1387" i="2"/>
  <c r="AX1386" i="2"/>
  <c r="AW1386" i="2"/>
  <c r="AU1386" i="2"/>
  <c r="AT1386" i="2"/>
  <c r="AS1386" i="2"/>
  <c r="AR1386" i="2"/>
  <c r="AP1386" i="2"/>
  <c r="AO1386" i="2"/>
  <c r="AX1385" i="2"/>
  <c r="AW1385" i="2"/>
  <c r="AU1385" i="2"/>
  <c r="AT1385" i="2"/>
  <c r="AS1385" i="2"/>
  <c r="AR1385" i="2"/>
  <c r="AP1385" i="2"/>
  <c r="AO1385" i="2"/>
  <c r="AX1384" i="2"/>
  <c r="AW1384" i="2"/>
  <c r="AU1384" i="2"/>
  <c r="AT1384" i="2"/>
  <c r="AS1384" i="2"/>
  <c r="AR1384" i="2"/>
  <c r="AP1384" i="2"/>
  <c r="AO1384" i="2"/>
  <c r="AX1383" i="2"/>
  <c r="AW1383" i="2"/>
  <c r="AU1383" i="2"/>
  <c r="AT1383" i="2"/>
  <c r="AS1383" i="2"/>
  <c r="AR1383" i="2"/>
  <c r="AP1383" i="2"/>
  <c r="AO1383" i="2"/>
  <c r="AX1382" i="2"/>
  <c r="AW1382" i="2"/>
  <c r="AU1382" i="2"/>
  <c r="AT1382" i="2"/>
  <c r="AS1382" i="2"/>
  <c r="AR1382" i="2"/>
  <c r="AP1382" i="2"/>
  <c r="AO1382" i="2"/>
  <c r="AX1381" i="2"/>
  <c r="AW1381" i="2"/>
  <c r="AW1380" i="2"/>
  <c r="AW1391" i="2"/>
  <c r="AU1381" i="2"/>
  <c r="AT1381" i="2"/>
  <c r="AS1381" i="2"/>
  <c r="AR1381" i="2"/>
  <c r="AP1381" i="2"/>
  <c r="AO1381" i="2"/>
  <c r="AO1380" i="2"/>
  <c r="AO1391" i="2"/>
  <c r="H1391" i="2"/>
  <c r="AX1380" i="2"/>
  <c r="AX1391" i="2"/>
  <c r="AU1380" i="2"/>
  <c r="AT1380" i="2"/>
  <c r="AS1380" i="2"/>
  <c r="AS1391" i="2"/>
  <c r="AR1380" i="2"/>
  <c r="AP1380" i="2"/>
  <c r="AP1391" i="2"/>
  <c r="AM1378" i="2"/>
  <c r="S1378" i="2"/>
  <c r="G1375" i="2"/>
  <c r="G1378" i="2"/>
  <c r="AM1377" i="2"/>
  <c r="S1377" i="2"/>
  <c r="AM1376" i="2"/>
  <c r="S1376" i="2"/>
  <c r="G1376" i="2"/>
  <c r="AT1375" i="2"/>
  <c r="AR1375" i="2"/>
  <c r="AQ1375" i="2"/>
  <c r="T1375" i="2"/>
  <c r="R1375" i="2"/>
  <c r="AX1374" i="2"/>
  <c r="AW1374" i="2"/>
  <c r="AV1374" i="2"/>
  <c r="AU1374" i="2"/>
  <c r="AT1374" i="2"/>
  <c r="AS1374" i="2"/>
  <c r="AR1374" i="2"/>
  <c r="AQ1374" i="2"/>
  <c r="I1374" i="2"/>
  <c r="AP1374" i="2"/>
  <c r="AO1374" i="2"/>
  <c r="R1374" i="2"/>
  <c r="AX1373" i="2"/>
  <c r="AW1373" i="2"/>
  <c r="AV1373" i="2"/>
  <c r="AU1373" i="2"/>
  <c r="AT1373" i="2"/>
  <c r="AS1373" i="2"/>
  <c r="AR1373" i="2"/>
  <c r="AQ1373" i="2"/>
  <c r="I1373" i="2"/>
  <c r="AP1373" i="2"/>
  <c r="AO1373" i="2"/>
  <c r="R1373" i="2"/>
  <c r="AX1372" i="2"/>
  <c r="AW1372" i="2"/>
  <c r="AV1372" i="2"/>
  <c r="AU1372" i="2"/>
  <c r="AT1372" i="2"/>
  <c r="AS1372" i="2"/>
  <c r="AR1372" i="2"/>
  <c r="AQ1372" i="2"/>
  <c r="I1372" i="2"/>
  <c r="AP1372" i="2"/>
  <c r="AO1372" i="2"/>
  <c r="R1372" i="2"/>
  <c r="AX1371" i="2"/>
  <c r="AW1371" i="2"/>
  <c r="AV1371" i="2"/>
  <c r="AU1371" i="2"/>
  <c r="AT1371" i="2"/>
  <c r="AS1371" i="2"/>
  <c r="AR1371" i="2"/>
  <c r="AQ1371" i="2"/>
  <c r="I1371" i="2"/>
  <c r="AP1371" i="2"/>
  <c r="AO1371" i="2"/>
  <c r="R1371" i="2"/>
  <c r="AX1370" i="2"/>
  <c r="AW1370" i="2"/>
  <c r="AV1370" i="2"/>
  <c r="AU1370" i="2"/>
  <c r="AT1370" i="2"/>
  <c r="AS1370" i="2"/>
  <c r="AR1370" i="2"/>
  <c r="AQ1370" i="2"/>
  <c r="I1370" i="2"/>
  <c r="AP1370" i="2"/>
  <c r="AO1370" i="2"/>
  <c r="R1370" i="2"/>
  <c r="AX1369" i="2"/>
  <c r="AW1369" i="2"/>
  <c r="AV1369" i="2"/>
  <c r="AU1369" i="2"/>
  <c r="AT1369" i="2"/>
  <c r="AS1369" i="2"/>
  <c r="AR1369" i="2"/>
  <c r="AQ1369" i="2"/>
  <c r="I1369" i="2"/>
  <c r="AP1369" i="2"/>
  <c r="AO1369" i="2"/>
  <c r="R1369" i="2"/>
  <c r="AX1368" i="2"/>
  <c r="AW1368" i="2"/>
  <c r="AV1368" i="2"/>
  <c r="AU1368" i="2"/>
  <c r="AT1368" i="2"/>
  <c r="AS1368" i="2"/>
  <c r="AR1368" i="2"/>
  <c r="AQ1368" i="2"/>
  <c r="I1368" i="2"/>
  <c r="AP1368" i="2"/>
  <c r="AO1368" i="2"/>
  <c r="R1368" i="2"/>
  <c r="AX1367" i="2"/>
  <c r="AW1367" i="2"/>
  <c r="AV1367" i="2"/>
  <c r="AU1367" i="2"/>
  <c r="AT1367" i="2"/>
  <c r="AS1367" i="2"/>
  <c r="AR1367" i="2"/>
  <c r="AQ1367" i="2"/>
  <c r="I1367" i="2"/>
  <c r="AP1367" i="2"/>
  <c r="AO1367" i="2"/>
  <c r="R1367" i="2"/>
  <c r="AX1366" i="2"/>
  <c r="AW1366" i="2"/>
  <c r="AV1366" i="2"/>
  <c r="AU1366" i="2"/>
  <c r="AT1366" i="2"/>
  <c r="AS1366" i="2"/>
  <c r="AR1366" i="2"/>
  <c r="AQ1366" i="2"/>
  <c r="I1366" i="2"/>
  <c r="AP1366" i="2"/>
  <c r="AO1366" i="2"/>
  <c r="R1366" i="2"/>
  <c r="AX1365" i="2"/>
  <c r="AW1365" i="2"/>
  <c r="AV1365" i="2"/>
  <c r="AU1365" i="2"/>
  <c r="AT1365" i="2"/>
  <c r="AS1365" i="2"/>
  <c r="AR1365" i="2"/>
  <c r="AQ1365" i="2"/>
  <c r="AP1365" i="2"/>
  <c r="AO1365" i="2"/>
  <c r="R1365" i="2"/>
  <c r="AX1364" i="2"/>
  <c r="AW1364" i="2"/>
  <c r="AV1364" i="2"/>
  <c r="AU1364" i="2"/>
  <c r="AT1364" i="2"/>
  <c r="AS1364" i="2"/>
  <c r="AR1364" i="2"/>
  <c r="AQ1364" i="2"/>
  <c r="AP1364" i="2"/>
  <c r="AO1364" i="2"/>
  <c r="R1364" i="2"/>
  <c r="AX1363" i="2"/>
  <c r="AW1363" i="2"/>
  <c r="AV1363" i="2"/>
  <c r="AU1363" i="2"/>
  <c r="AT1363" i="2"/>
  <c r="AS1363" i="2"/>
  <c r="AR1363" i="2"/>
  <c r="AQ1363" i="2"/>
  <c r="AP1363" i="2"/>
  <c r="AO1363" i="2"/>
  <c r="R1363" i="2"/>
  <c r="AM1361" i="2"/>
  <c r="S1361" i="2"/>
  <c r="J1361" i="2"/>
  <c r="I1361" i="2"/>
  <c r="H1361" i="2"/>
  <c r="G1361" i="2"/>
  <c r="AM1360" i="2"/>
  <c r="S1360" i="2"/>
  <c r="J1360" i="2"/>
  <c r="I1360" i="2"/>
  <c r="H1360" i="2"/>
  <c r="G1360" i="2"/>
  <c r="AM1359" i="2"/>
  <c r="S1359" i="2"/>
  <c r="G1359" i="2"/>
  <c r="AX1358" i="2"/>
  <c r="AW1358" i="2"/>
  <c r="AV1358" i="2"/>
  <c r="AU1358" i="2"/>
  <c r="AT1358" i="2"/>
  <c r="AS1358" i="2"/>
  <c r="AR1358" i="2"/>
  <c r="AQ1358" i="2"/>
  <c r="AP1358" i="2"/>
  <c r="AO1358" i="2"/>
  <c r="AX1357" i="2"/>
  <c r="AW1357" i="2"/>
  <c r="AV1357" i="2"/>
  <c r="AU1357" i="2"/>
  <c r="AT1357" i="2"/>
  <c r="AS1357" i="2"/>
  <c r="AR1357" i="2"/>
  <c r="AQ1357" i="2"/>
  <c r="AP1357" i="2"/>
  <c r="AO1357" i="2"/>
  <c r="AX1356" i="2"/>
  <c r="AW1356" i="2"/>
  <c r="AV1356" i="2"/>
  <c r="AU1356" i="2"/>
  <c r="AT1356" i="2"/>
  <c r="AS1356" i="2"/>
  <c r="AR1356" i="2"/>
  <c r="AQ1356" i="2"/>
  <c r="AP1356" i="2"/>
  <c r="AO1356" i="2"/>
  <c r="AX1355" i="2"/>
  <c r="AW1355" i="2"/>
  <c r="AV1355" i="2"/>
  <c r="AU1355" i="2"/>
  <c r="AT1355" i="2"/>
  <c r="AS1355" i="2"/>
  <c r="AR1355" i="2"/>
  <c r="AQ1355" i="2"/>
  <c r="AP1355" i="2"/>
  <c r="AO1355" i="2"/>
  <c r="AX1354" i="2"/>
  <c r="AW1354" i="2"/>
  <c r="AV1354" i="2"/>
  <c r="AU1354" i="2"/>
  <c r="AT1354" i="2"/>
  <c r="AS1354" i="2"/>
  <c r="AR1354" i="2"/>
  <c r="AQ1354" i="2"/>
  <c r="AP1354" i="2"/>
  <c r="AO1354" i="2"/>
  <c r="AX1353" i="2"/>
  <c r="AW1353" i="2"/>
  <c r="AV1353" i="2"/>
  <c r="AU1353" i="2"/>
  <c r="AT1353" i="2"/>
  <c r="AS1353" i="2"/>
  <c r="AR1353" i="2"/>
  <c r="AQ1353" i="2"/>
  <c r="AP1353" i="2"/>
  <c r="AO1353" i="2"/>
  <c r="AX1352" i="2"/>
  <c r="AW1352" i="2"/>
  <c r="AV1352" i="2"/>
  <c r="AU1352" i="2"/>
  <c r="AT1352" i="2"/>
  <c r="AS1352" i="2"/>
  <c r="AR1352" i="2"/>
  <c r="AQ1352" i="2"/>
  <c r="AP1352" i="2"/>
  <c r="AP1334" i="2"/>
  <c r="AP1335" i="2"/>
  <c r="AP1336" i="2"/>
  <c r="AP1337" i="2"/>
  <c r="AP1338" i="2"/>
  <c r="AP1339" i="2"/>
  <c r="AP1340" i="2"/>
  <c r="AP1341" i="2"/>
  <c r="AP1342" i="2"/>
  <c r="AP1343" i="2"/>
  <c r="AP1344" i="2"/>
  <c r="AP1345" i="2"/>
  <c r="AP1346" i="2"/>
  <c r="AP1347" i="2"/>
  <c r="AP1348" i="2"/>
  <c r="AP1349" i="2"/>
  <c r="AP1350" i="2"/>
  <c r="AP1351" i="2"/>
  <c r="AP1359" i="2"/>
  <c r="I1359" i="2"/>
  <c r="AO1352" i="2"/>
  <c r="U1352" i="2"/>
  <c r="T1352" i="2"/>
  <c r="R1352" i="2"/>
  <c r="AX1351" i="2"/>
  <c r="AW1351" i="2"/>
  <c r="AV1351" i="2"/>
  <c r="AU1351" i="2"/>
  <c r="AT1351" i="2"/>
  <c r="AS1351" i="2"/>
  <c r="AR1351" i="2"/>
  <c r="AQ1351" i="2"/>
  <c r="AO1351" i="2"/>
  <c r="U1351" i="2"/>
  <c r="T1351" i="2"/>
  <c r="T1348" i="2"/>
  <c r="T1349" i="2"/>
  <c r="T1350" i="2"/>
  <c r="T1359" i="2"/>
  <c r="R1351" i="2"/>
  <c r="AX1350" i="2"/>
  <c r="AW1350" i="2"/>
  <c r="AV1350" i="2"/>
  <c r="AU1350" i="2"/>
  <c r="AT1350" i="2"/>
  <c r="AS1350" i="2"/>
  <c r="AR1350" i="2"/>
  <c r="AR1334" i="2"/>
  <c r="AR1335" i="2"/>
  <c r="AR1336" i="2"/>
  <c r="AR1337" i="2"/>
  <c r="AR1338" i="2"/>
  <c r="AR1339" i="2"/>
  <c r="AR1340" i="2"/>
  <c r="AR1341" i="2"/>
  <c r="AR1342" i="2"/>
  <c r="AR1343" i="2"/>
  <c r="AR1344" i="2"/>
  <c r="AR1345" i="2"/>
  <c r="AR1346" i="2"/>
  <c r="AR1347" i="2"/>
  <c r="AR1348" i="2"/>
  <c r="AR1349" i="2"/>
  <c r="AR1359" i="2"/>
  <c r="AQ1350" i="2"/>
  <c r="AO1350" i="2"/>
  <c r="U1350" i="2"/>
  <c r="R1350" i="2"/>
  <c r="AX1349" i="2"/>
  <c r="AW1349" i="2"/>
  <c r="AV1349" i="2"/>
  <c r="AU1349" i="2"/>
  <c r="AT1349" i="2"/>
  <c r="AS1349" i="2"/>
  <c r="AQ1349" i="2"/>
  <c r="AO1349" i="2"/>
  <c r="U1349" i="2"/>
  <c r="R1349" i="2"/>
  <c r="AX1348" i="2"/>
  <c r="AW1348" i="2"/>
  <c r="AV1348" i="2"/>
  <c r="AU1348" i="2"/>
  <c r="AT1348" i="2"/>
  <c r="AS1348" i="2"/>
  <c r="AQ1348" i="2"/>
  <c r="AO1348" i="2"/>
  <c r="U1348" i="2"/>
  <c r="T1361" i="2"/>
  <c r="R1348" i="2"/>
  <c r="AX1347" i="2"/>
  <c r="AW1347" i="2"/>
  <c r="AV1347" i="2"/>
  <c r="AU1347" i="2"/>
  <c r="AT1347" i="2"/>
  <c r="AS1347" i="2"/>
  <c r="AQ1347" i="2"/>
  <c r="AO1347" i="2"/>
  <c r="AX1346" i="2"/>
  <c r="AW1346" i="2"/>
  <c r="AV1346" i="2"/>
  <c r="AU1346" i="2"/>
  <c r="AT1346" i="2"/>
  <c r="AS1346" i="2"/>
  <c r="AQ1346" i="2"/>
  <c r="AO1346" i="2"/>
  <c r="AX1345" i="2"/>
  <c r="AW1345" i="2"/>
  <c r="AV1345" i="2"/>
  <c r="AU1345" i="2"/>
  <c r="AT1345" i="2"/>
  <c r="AS1345" i="2"/>
  <c r="AQ1345" i="2"/>
  <c r="AO1345" i="2"/>
  <c r="AX1344" i="2"/>
  <c r="AW1344" i="2"/>
  <c r="AV1344" i="2"/>
  <c r="AU1344" i="2"/>
  <c r="AT1344" i="2"/>
  <c r="AS1344" i="2"/>
  <c r="AQ1344" i="2"/>
  <c r="AO1344" i="2"/>
  <c r="AX1343" i="2"/>
  <c r="AW1343" i="2"/>
  <c r="AV1343" i="2"/>
  <c r="AU1343" i="2"/>
  <c r="AT1343" i="2"/>
  <c r="AS1343" i="2"/>
  <c r="AQ1343" i="2"/>
  <c r="AO1343" i="2"/>
  <c r="AX1342" i="2"/>
  <c r="AW1342" i="2"/>
  <c r="AV1342" i="2"/>
  <c r="AU1342" i="2"/>
  <c r="AT1342" i="2"/>
  <c r="AS1342" i="2"/>
  <c r="AQ1342" i="2"/>
  <c r="AO1342" i="2"/>
  <c r="AX1341" i="2"/>
  <c r="AW1341" i="2"/>
  <c r="AV1341" i="2"/>
  <c r="AU1341" i="2"/>
  <c r="AT1341" i="2"/>
  <c r="AS1341" i="2"/>
  <c r="AQ1341" i="2"/>
  <c r="AO1341" i="2"/>
  <c r="AX1340" i="2"/>
  <c r="AW1340" i="2"/>
  <c r="AV1340" i="2"/>
  <c r="AU1340" i="2"/>
  <c r="AT1340" i="2"/>
  <c r="AS1340" i="2"/>
  <c r="AQ1340" i="2"/>
  <c r="AO1340" i="2"/>
  <c r="AX1339" i="2"/>
  <c r="AW1339" i="2"/>
  <c r="AV1339" i="2"/>
  <c r="AU1339" i="2"/>
  <c r="AT1339" i="2"/>
  <c r="AS1339" i="2"/>
  <c r="AQ1339" i="2"/>
  <c r="AO1339" i="2"/>
  <c r="AX1338" i="2"/>
  <c r="AW1338" i="2"/>
  <c r="AV1338" i="2"/>
  <c r="AU1338" i="2"/>
  <c r="AT1338" i="2"/>
  <c r="AS1338" i="2"/>
  <c r="AQ1338" i="2"/>
  <c r="AO1338" i="2"/>
  <c r="AX1337" i="2"/>
  <c r="AW1337" i="2"/>
  <c r="AV1337" i="2"/>
  <c r="AU1337" i="2"/>
  <c r="AT1337" i="2"/>
  <c r="AS1337" i="2"/>
  <c r="AQ1337" i="2"/>
  <c r="AO1337" i="2"/>
  <c r="AX1336" i="2"/>
  <c r="AW1336" i="2"/>
  <c r="AV1336" i="2"/>
  <c r="AU1336" i="2"/>
  <c r="AT1336" i="2"/>
  <c r="AS1336" i="2"/>
  <c r="AQ1336" i="2"/>
  <c r="AO1336" i="2"/>
  <c r="AX1335" i="2"/>
  <c r="AW1335" i="2"/>
  <c r="AV1335" i="2"/>
  <c r="AU1335" i="2"/>
  <c r="AT1335" i="2"/>
  <c r="AS1335" i="2"/>
  <c r="AQ1335" i="2"/>
  <c r="AQ1334" i="2"/>
  <c r="AQ1359" i="2"/>
  <c r="J1359" i="2"/>
  <c r="AO1335" i="2"/>
  <c r="AX1334" i="2"/>
  <c r="AW1334" i="2"/>
  <c r="AV1334" i="2"/>
  <c r="AU1334" i="2"/>
  <c r="AT1334" i="2"/>
  <c r="AS1334" i="2"/>
  <c r="AS1359" i="2"/>
  <c r="AO1334" i="2"/>
  <c r="AM1332" i="2"/>
  <c r="AD1332" i="2"/>
  <c r="S1332" i="2"/>
  <c r="O1332" i="2"/>
  <c r="H1329" i="2"/>
  <c r="H1332" i="2"/>
  <c r="G1332" i="2"/>
  <c r="AM1331" i="2"/>
  <c r="AD1331" i="2"/>
  <c r="S1331" i="2"/>
  <c r="O1331" i="2"/>
  <c r="H1331" i="2"/>
  <c r="G1331" i="2"/>
  <c r="AR1319" i="2"/>
  <c r="AR1320" i="2"/>
  <c r="AR1321" i="2"/>
  <c r="AR1322" i="2"/>
  <c r="AR1323" i="2"/>
  <c r="AR1324" i="2"/>
  <c r="AR1325" i="2"/>
  <c r="AR1326" i="2"/>
  <c r="AR1327" i="2"/>
  <c r="AR1328" i="2"/>
  <c r="AR1329" i="2"/>
  <c r="AR1330" i="2"/>
  <c r="AP1319" i="2"/>
  <c r="AP1320" i="2"/>
  <c r="AP1321" i="2"/>
  <c r="AP1322" i="2"/>
  <c r="AP1323" i="2"/>
  <c r="AP1324" i="2"/>
  <c r="AP1325" i="2"/>
  <c r="AP1326" i="2"/>
  <c r="AP1327" i="2"/>
  <c r="AP1328" i="2"/>
  <c r="AP1329" i="2"/>
  <c r="AP1330" i="2"/>
  <c r="AM1330" i="2"/>
  <c r="AD1330" i="2"/>
  <c r="S1330" i="2"/>
  <c r="G1330" i="2"/>
  <c r="AX1329" i="2"/>
  <c r="AW1329" i="2"/>
  <c r="AV1329" i="2"/>
  <c r="AU1329" i="2"/>
  <c r="AT1329" i="2"/>
  <c r="AT1319" i="2"/>
  <c r="AT1320" i="2"/>
  <c r="AT1321" i="2"/>
  <c r="AT1322" i="2"/>
  <c r="AT1323" i="2"/>
  <c r="AT1324" i="2"/>
  <c r="AT1325" i="2"/>
  <c r="AT1326" i="2"/>
  <c r="AT1327" i="2"/>
  <c r="AT1328" i="2"/>
  <c r="AT1330" i="2"/>
  <c r="AS1329" i="2"/>
  <c r="AQ1329" i="2"/>
  <c r="AO1329" i="2"/>
  <c r="AX1328" i="2"/>
  <c r="AW1328" i="2"/>
  <c r="AV1328" i="2"/>
  <c r="AU1328" i="2"/>
  <c r="AS1328" i="2"/>
  <c r="AQ1328" i="2"/>
  <c r="AO1328" i="2"/>
  <c r="AX1327" i="2"/>
  <c r="AW1327" i="2"/>
  <c r="AV1327" i="2"/>
  <c r="AU1327" i="2"/>
  <c r="AS1327" i="2"/>
  <c r="AQ1327" i="2"/>
  <c r="AO1327" i="2"/>
  <c r="AX1326" i="2"/>
  <c r="AW1326" i="2"/>
  <c r="AV1326" i="2"/>
  <c r="AU1326" i="2"/>
  <c r="AS1326" i="2"/>
  <c r="AQ1326" i="2"/>
  <c r="AO1326" i="2"/>
  <c r="AX1325" i="2"/>
  <c r="AW1325" i="2"/>
  <c r="AV1325" i="2"/>
  <c r="AU1325" i="2"/>
  <c r="AS1325" i="2"/>
  <c r="AQ1325" i="2"/>
  <c r="AO1325" i="2"/>
  <c r="AX1324" i="2"/>
  <c r="AW1324" i="2"/>
  <c r="AV1324" i="2"/>
  <c r="AU1324" i="2"/>
  <c r="AS1324" i="2"/>
  <c r="AQ1324" i="2"/>
  <c r="AO1324" i="2"/>
  <c r="AX1323" i="2"/>
  <c r="AW1323" i="2"/>
  <c r="AV1323" i="2"/>
  <c r="AU1323" i="2"/>
  <c r="AS1323" i="2"/>
  <c r="AQ1323" i="2"/>
  <c r="AO1323" i="2"/>
  <c r="AX1322" i="2"/>
  <c r="AW1322" i="2"/>
  <c r="AV1322" i="2"/>
  <c r="AU1322" i="2"/>
  <c r="AS1322" i="2"/>
  <c r="AQ1322" i="2"/>
  <c r="AO1322" i="2"/>
  <c r="AX1321" i="2"/>
  <c r="AW1321" i="2"/>
  <c r="AV1321" i="2"/>
  <c r="AU1321" i="2"/>
  <c r="AS1321" i="2"/>
  <c r="AS1319" i="2"/>
  <c r="AS1320" i="2"/>
  <c r="AS1330" i="2"/>
  <c r="AQ1321" i="2"/>
  <c r="AO1321" i="2"/>
  <c r="AX1320" i="2"/>
  <c r="AW1320" i="2"/>
  <c r="AV1320" i="2"/>
  <c r="AU1320" i="2"/>
  <c r="AU1319" i="2"/>
  <c r="AU1330" i="2"/>
  <c r="AQ1320" i="2"/>
  <c r="AO1320" i="2"/>
  <c r="AX1319" i="2"/>
  <c r="AX1330" i="2"/>
  <c r="AW1319" i="2"/>
  <c r="AW1330" i="2"/>
  <c r="AV1319" i="2"/>
  <c r="AV1330" i="2"/>
  <c r="O1330" i="2"/>
  <c r="AQ1319" i="2"/>
  <c r="AO1319" i="2"/>
  <c r="AO1330" i="2"/>
  <c r="K1317" i="2"/>
  <c r="H1317" i="2"/>
  <c r="G1317" i="2"/>
  <c r="K1316" i="2"/>
  <c r="H1316" i="2"/>
  <c r="G1316" i="2"/>
  <c r="G1315" i="2"/>
  <c r="AX1314" i="2"/>
  <c r="AW1314" i="2"/>
  <c r="AV1314" i="2"/>
  <c r="AU1314" i="2"/>
  <c r="AT1314" i="2"/>
  <c r="AS1314" i="2"/>
  <c r="AR1314" i="2"/>
  <c r="J1314" i="2"/>
  <c r="AQ1314" i="2"/>
  <c r="AO1314" i="2"/>
  <c r="AM1314" i="2"/>
  <c r="U1314" i="2"/>
  <c r="T1314" i="2"/>
  <c r="S1314" i="2"/>
  <c r="R1314" i="2"/>
  <c r="AH1314" i="2"/>
  <c r="I1314" i="2"/>
  <c r="AP1314" i="2"/>
  <c r="AX1313" i="2"/>
  <c r="AW1313" i="2"/>
  <c r="AV1313" i="2"/>
  <c r="AU1313" i="2"/>
  <c r="AT1313" i="2"/>
  <c r="AS1313" i="2"/>
  <c r="AR1313" i="2"/>
  <c r="I1313" i="2"/>
  <c r="AP1313" i="2"/>
  <c r="AO1313" i="2"/>
  <c r="AM1313" i="2"/>
  <c r="U1313" i="2"/>
  <c r="T1313" i="2"/>
  <c r="S1313" i="2"/>
  <c r="R1313" i="2"/>
  <c r="AH1313" i="2"/>
  <c r="J1313" i="2"/>
  <c r="AQ1313" i="2"/>
  <c r="AX1312" i="2"/>
  <c r="AW1312" i="2"/>
  <c r="AV1312" i="2"/>
  <c r="AU1312" i="2"/>
  <c r="AT1312" i="2"/>
  <c r="AS1312" i="2"/>
  <c r="AR1312" i="2"/>
  <c r="I1312" i="2"/>
  <c r="AP1312" i="2"/>
  <c r="AO1312" i="2"/>
  <c r="AM1312" i="2"/>
  <c r="U1312" i="2"/>
  <c r="T1312" i="2"/>
  <c r="S1312" i="2"/>
  <c r="R1312" i="2"/>
  <c r="AH1312" i="2"/>
  <c r="J1312" i="2"/>
  <c r="AQ1312" i="2"/>
  <c r="AX1311" i="2"/>
  <c r="AW1311" i="2"/>
  <c r="AV1311" i="2"/>
  <c r="AU1311" i="2"/>
  <c r="AT1311" i="2"/>
  <c r="AS1311" i="2"/>
  <c r="AR1311" i="2"/>
  <c r="I1311" i="2"/>
  <c r="AP1311" i="2"/>
  <c r="AO1311" i="2"/>
  <c r="AM1311" i="2"/>
  <c r="U1311" i="2"/>
  <c r="T1311" i="2"/>
  <c r="S1311" i="2"/>
  <c r="R1311" i="2"/>
  <c r="AH1311" i="2"/>
  <c r="J1311" i="2"/>
  <c r="AQ1311" i="2"/>
  <c r="AX1310" i="2"/>
  <c r="AW1310" i="2"/>
  <c r="AV1310" i="2"/>
  <c r="AU1310" i="2"/>
  <c r="AT1310" i="2"/>
  <c r="AS1310" i="2"/>
  <c r="AR1310" i="2"/>
  <c r="AO1310" i="2"/>
  <c r="AM1310" i="2"/>
  <c r="S1310" i="2"/>
  <c r="R1310" i="2"/>
  <c r="AH1310" i="2"/>
  <c r="W1310" i="2"/>
  <c r="V1310" i="2"/>
  <c r="U1310" i="2"/>
  <c r="T1310" i="2"/>
  <c r="J1310" i="2"/>
  <c r="AQ1310" i="2"/>
  <c r="I1310" i="2"/>
  <c r="AP1310" i="2"/>
  <c r="AX1309" i="2"/>
  <c r="AW1309" i="2"/>
  <c r="AV1309" i="2"/>
  <c r="AU1309" i="2"/>
  <c r="AT1309" i="2"/>
  <c r="AS1309" i="2"/>
  <c r="AR1309" i="2"/>
  <c r="J1309" i="2"/>
  <c r="AQ1309" i="2"/>
  <c r="AO1309" i="2"/>
  <c r="AM1309" i="2"/>
  <c r="S1309" i="2"/>
  <c r="R1309" i="2"/>
  <c r="AH1309" i="2"/>
  <c r="W1309" i="2"/>
  <c r="V1309" i="2"/>
  <c r="U1309" i="2"/>
  <c r="T1309" i="2"/>
  <c r="I1309" i="2"/>
  <c r="AP1309" i="2"/>
  <c r="AX1308" i="2"/>
  <c r="AW1308" i="2"/>
  <c r="AV1308" i="2"/>
  <c r="AU1308" i="2"/>
  <c r="AT1308" i="2"/>
  <c r="AS1308" i="2"/>
  <c r="AR1308" i="2"/>
  <c r="J1308" i="2"/>
  <c r="AQ1308" i="2"/>
  <c r="AO1308" i="2"/>
  <c r="AM1308" i="2"/>
  <c r="W1308" i="2"/>
  <c r="V1308" i="2"/>
  <c r="U1308" i="2"/>
  <c r="T1308" i="2"/>
  <c r="S1308" i="2"/>
  <c r="R1308" i="2"/>
  <c r="AH1308" i="2"/>
  <c r="I1308" i="2"/>
  <c r="AP1308" i="2"/>
  <c r="AX1307" i="2"/>
  <c r="AW1307" i="2"/>
  <c r="AV1307" i="2"/>
  <c r="AU1307" i="2"/>
  <c r="AT1307" i="2"/>
  <c r="AS1307" i="2"/>
  <c r="AR1307" i="2"/>
  <c r="I1307" i="2"/>
  <c r="AP1307" i="2"/>
  <c r="AO1307" i="2"/>
  <c r="AM1307" i="2"/>
  <c r="W1307" i="2"/>
  <c r="V1307" i="2"/>
  <c r="U1307" i="2"/>
  <c r="T1307" i="2"/>
  <c r="S1307" i="2"/>
  <c r="R1307" i="2"/>
  <c r="AH1307" i="2"/>
  <c r="J1307" i="2"/>
  <c r="AQ1307" i="2"/>
  <c r="AX1306" i="2"/>
  <c r="AX1295" i="2"/>
  <c r="AX1296" i="2"/>
  <c r="AX1297" i="2"/>
  <c r="AX1298" i="2"/>
  <c r="AX1299" i="2"/>
  <c r="AX1300" i="2"/>
  <c r="AX1301" i="2"/>
  <c r="AX1302" i="2"/>
  <c r="AX1303" i="2"/>
  <c r="AX1304" i="2"/>
  <c r="AX1305" i="2"/>
  <c r="AX1315" i="2"/>
  <c r="AW1306" i="2"/>
  <c r="AV1306" i="2"/>
  <c r="AU1306" i="2"/>
  <c r="AT1306" i="2"/>
  <c r="AS1306" i="2"/>
  <c r="AR1306" i="2"/>
  <c r="J1306" i="2"/>
  <c r="AQ1306" i="2"/>
  <c r="I1306" i="2"/>
  <c r="AP1306" i="2"/>
  <c r="AO1306" i="2"/>
  <c r="AM1306" i="2"/>
  <c r="W1306" i="2"/>
  <c r="V1306" i="2"/>
  <c r="U1306" i="2"/>
  <c r="T1306" i="2"/>
  <c r="R1306" i="2"/>
  <c r="AH1306" i="2"/>
  <c r="AW1305" i="2"/>
  <c r="AV1305" i="2"/>
  <c r="AU1305" i="2"/>
  <c r="AT1305" i="2"/>
  <c r="AS1305" i="2"/>
  <c r="AR1305" i="2"/>
  <c r="AO1305" i="2"/>
  <c r="AM1305" i="2"/>
  <c r="R1305" i="2"/>
  <c r="AH1305" i="2"/>
  <c r="W1305" i="2"/>
  <c r="V1305" i="2"/>
  <c r="U1305" i="2"/>
  <c r="T1305" i="2"/>
  <c r="J1305" i="2"/>
  <c r="AQ1305" i="2"/>
  <c r="I1305" i="2"/>
  <c r="AP1305" i="2"/>
  <c r="AW1304" i="2"/>
  <c r="AV1304" i="2"/>
  <c r="AU1304" i="2"/>
  <c r="AT1304" i="2"/>
  <c r="AS1304" i="2"/>
  <c r="AR1304" i="2"/>
  <c r="J1304" i="2"/>
  <c r="AQ1304" i="2"/>
  <c r="AO1304" i="2"/>
  <c r="AM1304" i="2"/>
  <c r="W1304" i="2"/>
  <c r="V1304" i="2"/>
  <c r="U1304" i="2"/>
  <c r="T1304" i="2"/>
  <c r="R1304" i="2"/>
  <c r="AH1304" i="2"/>
  <c r="I1304" i="2"/>
  <c r="AP1304" i="2"/>
  <c r="AW1303" i="2"/>
  <c r="AV1303" i="2"/>
  <c r="AU1303" i="2"/>
  <c r="AT1303" i="2"/>
  <c r="AS1303" i="2"/>
  <c r="AR1303" i="2"/>
  <c r="J1303" i="2"/>
  <c r="AQ1303" i="2"/>
  <c r="AO1303" i="2"/>
  <c r="AM1303" i="2"/>
  <c r="R1303" i="2"/>
  <c r="AH1303" i="2"/>
  <c r="W1303" i="2"/>
  <c r="V1303" i="2"/>
  <c r="U1303" i="2"/>
  <c r="T1303" i="2"/>
  <c r="I1303" i="2"/>
  <c r="AP1303" i="2"/>
  <c r="AW1302" i="2"/>
  <c r="AV1302" i="2"/>
  <c r="AU1302" i="2"/>
  <c r="AT1302" i="2"/>
  <c r="AS1302" i="2"/>
  <c r="AR1302" i="2"/>
  <c r="AQ1302" i="2"/>
  <c r="AP1302" i="2"/>
  <c r="AO1302" i="2"/>
  <c r="AM1302" i="2"/>
  <c r="W1302" i="2"/>
  <c r="V1302" i="2"/>
  <c r="U1302" i="2"/>
  <c r="T1302" i="2"/>
  <c r="R1302" i="2"/>
  <c r="AH1302" i="2"/>
  <c r="AW1301" i="2"/>
  <c r="AV1301" i="2"/>
  <c r="AU1301" i="2"/>
  <c r="AT1301" i="2"/>
  <c r="AS1301" i="2"/>
  <c r="AR1301" i="2"/>
  <c r="AQ1301" i="2"/>
  <c r="AP1301" i="2"/>
  <c r="AO1301" i="2"/>
  <c r="AO1295" i="2"/>
  <c r="AO1296" i="2"/>
  <c r="AO1297" i="2"/>
  <c r="AO1298" i="2"/>
  <c r="AO1299" i="2"/>
  <c r="AO1300" i="2"/>
  <c r="AO1315" i="2"/>
  <c r="H1315" i="2"/>
  <c r="AM1301" i="2"/>
  <c r="R1301" i="2"/>
  <c r="AH1301" i="2"/>
  <c r="W1301" i="2"/>
  <c r="V1301" i="2"/>
  <c r="U1301" i="2"/>
  <c r="T1301" i="2"/>
  <c r="AW1300" i="2"/>
  <c r="AV1300" i="2"/>
  <c r="AU1300" i="2"/>
  <c r="AT1300" i="2"/>
  <c r="AS1300" i="2"/>
  <c r="AR1300" i="2"/>
  <c r="AQ1300" i="2"/>
  <c r="AP1300" i="2"/>
  <c r="AM1300" i="2"/>
  <c r="W1300" i="2"/>
  <c r="V1300" i="2"/>
  <c r="U1300" i="2"/>
  <c r="T1300" i="2"/>
  <c r="S1300" i="2"/>
  <c r="R1300" i="2"/>
  <c r="AH1300" i="2"/>
  <c r="AW1299" i="2"/>
  <c r="AV1299" i="2"/>
  <c r="AU1299" i="2"/>
  <c r="AT1299" i="2"/>
  <c r="AS1299" i="2"/>
  <c r="AR1299" i="2"/>
  <c r="AQ1299" i="2"/>
  <c r="AP1299" i="2"/>
  <c r="AM1299" i="2"/>
  <c r="W1299" i="2"/>
  <c r="V1299" i="2"/>
  <c r="U1299" i="2"/>
  <c r="T1299" i="2"/>
  <c r="S1299" i="2"/>
  <c r="R1299" i="2"/>
  <c r="AH1299" i="2"/>
  <c r="AW1298" i="2"/>
  <c r="AV1298" i="2"/>
  <c r="AU1298" i="2"/>
  <c r="AT1298" i="2"/>
  <c r="AS1298" i="2"/>
  <c r="AR1298" i="2"/>
  <c r="AQ1298" i="2"/>
  <c r="AP1298" i="2"/>
  <c r="AM1298" i="2"/>
  <c r="S1298" i="2"/>
  <c r="R1298" i="2"/>
  <c r="AH1298" i="2"/>
  <c r="W1298" i="2"/>
  <c r="V1298" i="2"/>
  <c r="U1298" i="2"/>
  <c r="T1298" i="2"/>
  <c r="AW1297" i="2"/>
  <c r="AV1297" i="2"/>
  <c r="AV1295" i="2"/>
  <c r="AV1296" i="2"/>
  <c r="AV1315" i="2"/>
  <c r="AU1297" i="2"/>
  <c r="AT1297" i="2"/>
  <c r="AS1297" i="2"/>
  <c r="AR1297" i="2"/>
  <c r="AQ1297" i="2"/>
  <c r="AP1297" i="2"/>
  <c r="AM1297" i="2"/>
  <c r="W1297" i="2"/>
  <c r="U1297" i="2"/>
  <c r="T1297" i="2"/>
  <c r="S1297" i="2"/>
  <c r="R1297" i="2"/>
  <c r="AH1297" i="2"/>
  <c r="AW1296" i="2"/>
  <c r="AU1296" i="2"/>
  <c r="AT1296" i="2"/>
  <c r="AS1296" i="2"/>
  <c r="AR1296" i="2"/>
  <c r="AQ1296" i="2"/>
  <c r="AP1296" i="2"/>
  <c r="AM1296" i="2"/>
  <c r="W1296" i="2"/>
  <c r="V1296" i="2"/>
  <c r="U1296" i="2"/>
  <c r="T1296" i="2"/>
  <c r="S1296" i="2"/>
  <c r="R1296" i="2"/>
  <c r="AH1296" i="2"/>
  <c r="AW1295" i="2"/>
  <c r="AU1295" i="2"/>
  <c r="AU1315" i="2"/>
  <c r="AT1295" i="2"/>
  <c r="AT1315" i="2"/>
  <c r="AS1295" i="2"/>
  <c r="AS1315" i="2"/>
  <c r="AR1295" i="2"/>
  <c r="AQ1295" i="2"/>
  <c r="AP1295" i="2"/>
  <c r="AM1295" i="2"/>
  <c r="U1295" i="2"/>
  <c r="T1295" i="2"/>
  <c r="S1295" i="2"/>
  <c r="G1290" i="2"/>
  <c r="AX1290" i="2"/>
  <c r="AW1290" i="2"/>
  <c r="AV1290" i="2"/>
  <c r="AU1290" i="2"/>
  <c r="AS1290" i="2"/>
  <c r="AO1290" i="2"/>
  <c r="T1290" i="2"/>
  <c r="I1290" i="2"/>
  <c r="AP1290" i="2"/>
  <c r="AR1290" i="2"/>
  <c r="G1289" i="2"/>
  <c r="AX1289" i="2"/>
  <c r="AR1289" i="2"/>
  <c r="T1289" i="2"/>
  <c r="AW1289" i="2"/>
  <c r="G1288" i="2"/>
  <c r="AX1288" i="2"/>
  <c r="AW1288" i="2"/>
  <c r="AV1288" i="2"/>
  <c r="AU1288" i="2"/>
  <c r="AR1288" i="2"/>
  <c r="AQ1288" i="2"/>
  <c r="AO1288" i="2"/>
  <c r="T1288" i="2"/>
  <c r="I1288" i="2"/>
  <c r="AP1288" i="2"/>
  <c r="AT1288" i="2"/>
  <c r="G1287" i="2"/>
  <c r="AT1287" i="2"/>
  <c r="AR1287" i="2"/>
  <c r="T1287" i="2"/>
  <c r="I1287" i="2"/>
  <c r="G1286" i="2"/>
  <c r="AW1286" i="2"/>
  <c r="AS1286" i="2"/>
  <c r="AR1286" i="2"/>
  <c r="AQ1286" i="2"/>
  <c r="AO1286" i="2"/>
  <c r="T1286" i="2"/>
  <c r="I1286" i="2"/>
  <c r="AV1286" i="2"/>
  <c r="T1285" i="2"/>
  <c r="G1285" i="2"/>
  <c r="G1284" i="2"/>
  <c r="AU1284" i="2"/>
  <c r="AS1284" i="2"/>
  <c r="AQ1284" i="2"/>
  <c r="T1284" i="2"/>
  <c r="I1284" i="2"/>
  <c r="AX1284" i="2"/>
  <c r="AX1283" i="2"/>
  <c r="AW1283" i="2"/>
  <c r="AV1283" i="2"/>
  <c r="AU1283" i="2"/>
  <c r="AT1283" i="2"/>
  <c r="AS1283" i="2"/>
  <c r="AR1283" i="2"/>
  <c r="AQ1283" i="2"/>
  <c r="AO1283" i="2"/>
  <c r="T1283" i="2"/>
  <c r="I1283" i="2"/>
  <c r="AP1283" i="2"/>
  <c r="G1282" i="2"/>
  <c r="AT1282" i="2"/>
  <c r="AR1282" i="2"/>
  <c r="T1282" i="2"/>
  <c r="I1282" i="2"/>
  <c r="AX1281" i="2"/>
  <c r="AW1281" i="2"/>
  <c r="AV1281" i="2"/>
  <c r="AU1281" i="2"/>
  <c r="AT1281" i="2"/>
  <c r="AS1281" i="2"/>
  <c r="AR1281" i="2"/>
  <c r="AQ1281" i="2"/>
  <c r="AO1281" i="2"/>
  <c r="T1281" i="2"/>
  <c r="I1281" i="2"/>
  <c r="AP1281" i="2"/>
  <c r="AX1280" i="2"/>
  <c r="AW1280" i="2"/>
  <c r="AV1280" i="2"/>
  <c r="AU1280" i="2"/>
  <c r="AT1280" i="2"/>
  <c r="AS1280" i="2"/>
  <c r="AR1280" i="2"/>
  <c r="AQ1280" i="2"/>
  <c r="AO1280" i="2"/>
  <c r="T1280" i="2"/>
  <c r="I1280" i="2"/>
  <c r="AP1280" i="2"/>
  <c r="AX1279" i="2"/>
  <c r="AW1279" i="2"/>
  <c r="AV1279" i="2"/>
  <c r="AU1279" i="2"/>
  <c r="AT1279" i="2"/>
  <c r="AS1279" i="2"/>
  <c r="AR1279" i="2"/>
  <c r="AQ1279" i="2"/>
  <c r="AO1279" i="2"/>
  <c r="T1279" i="2"/>
  <c r="I1279" i="2"/>
  <c r="AP1279" i="2"/>
  <c r="G1278" i="2"/>
  <c r="AX1278" i="2"/>
  <c r="AW1278" i="2"/>
  <c r="AV1278" i="2"/>
  <c r="AU1278" i="2"/>
  <c r="AS1278" i="2"/>
  <c r="AO1278" i="2"/>
  <c r="T1278" i="2"/>
  <c r="I1278" i="2"/>
  <c r="AP1278" i="2"/>
  <c r="AR1278" i="2"/>
  <c r="G1277" i="2"/>
  <c r="AX1277" i="2"/>
  <c r="AR1277" i="2"/>
  <c r="T1277" i="2"/>
  <c r="AW1277" i="2"/>
  <c r="G1276" i="2"/>
  <c r="AX1276" i="2"/>
  <c r="AW1276" i="2"/>
  <c r="AV1276" i="2"/>
  <c r="AU1276" i="2"/>
  <c r="AR1276" i="2"/>
  <c r="AQ1276" i="2"/>
  <c r="AO1276" i="2"/>
  <c r="T1276" i="2"/>
  <c r="I1276" i="2"/>
  <c r="AP1276" i="2"/>
  <c r="AT1276" i="2"/>
  <c r="T1275" i="2"/>
  <c r="G1275" i="2"/>
  <c r="G1274" i="2"/>
  <c r="AW1274" i="2"/>
  <c r="AS1274" i="2"/>
  <c r="AR1274" i="2"/>
  <c r="AQ1274" i="2"/>
  <c r="AO1274" i="2"/>
  <c r="T1274" i="2"/>
  <c r="I1274" i="2"/>
  <c r="AV1274" i="2"/>
  <c r="T1273" i="2"/>
  <c r="G1273" i="2"/>
  <c r="I1273" i="2"/>
  <c r="G1272" i="2"/>
  <c r="AU1272" i="2"/>
  <c r="AS1272" i="2"/>
  <c r="AQ1272" i="2"/>
  <c r="T1272" i="2"/>
  <c r="I1272" i="2"/>
  <c r="AX1272" i="2"/>
  <c r="G1271" i="2"/>
  <c r="AX1271" i="2"/>
  <c r="AW1271" i="2"/>
  <c r="AV1271" i="2"/>
  <c r="AU1271" i="2"/>
  <c r="AS1271" i="2"/>
  <c r="AR1271" i="2"/>
  <c r="AQ1271" i="2"/>
  <c r="AO1271" i="2"/>
  <c r="T1271" i="2"/>
  <c r="I1271" i="2"/>
  <c r="AP1271" i="2"/>
  <c r="AT1271" i="2"/>
  <c r="G1270" i="2"/>
  <c r="AX1270" i="2"/>
  <c r="AW1270" i="2"/>
  <c r="AV1270" i="2"/>
  <c r="AU1270" i="2"/>
  <c r="AS1270" i="2"/>
  <c r="AO1270" i="2"/>
  <c r="T1270" i="2"/>
  <c r="I1270" i="2"/>
  <c r="AP1270" i="2"/>
  <c r="AR1270" i="2"/>
  <c r="G1269" i="2"/>
  <c r="AX1269" i="2"/>
  <c r="AR1269" i="2"/>
  <c r="T1269" i="2"/>
  <c r="AW1269" i="2"/>
  <c r="G1268" i="2"/>
  <c r="AX1268" i="2"/>
  <c r="AW1268" i="2"/>
  <c r="AV1268" i="2"/>
  <c r="AU1268" i="2"/>
  <c r="AR1268" i="2"/>
  <c r="AQ1268" i="2"/>
  <c r="AO1268" i="2"/>
  <c r="T1268" i="2"/>
  <c r="I1268" i="2"/>
  <c r="AP1268" i="2"/>
  <c r="AT1268" i="2"/>
  <c r="AX1267" i="2"/>
  <c r="AW1267" i="2"/>
  <c r="AV1267" i="2"/>
  <c r="AU1267" i="2"/>
  <c r="AT1267" i="2"/>
  <c r="AS1267" i="2"/>
  <c r="AR1267" i="2"/>
  <c r="AQ1267" i="2"/>
  <c r="AO1267" i="2"/>
  <c r="T1267" i="2"/>
  <c r="I1267" i="2"/>
  <c r="AP1267" i="2"/>
  <c r="AX1266" i="2"/>
  <c r="AW1266" i="2"/>
  <c r="AV1266" i="2"/>
  <c r="AU1266" i="2"/>
  <c r="AT1266" i="2"/>
  <c r="AS1266" i="2"/>
  <c r="AR1266" i="2"/>
  <c r="AQ1266" i="2"/>
  <c r="AO1266" i="2"/>
  <c r="T1266" i="2"/>
  <c r="I1266" i="2"/>
  <c r="AP1266" i="2"/>
  <c r="AX1265" i="2"/>
  <c r="AW1265" i="2"/>
  <c r="AV1265" i="2"/>
  <c r="AU1265" i="2"/>
  <c r="AT1265" i="2"/>
  <c r="AS1265" i="2"/>
  <c r="AR1265" i="2"/>
  <c r="AQ1265" i="2"/>
  <c r="AO1265" i="2"/>
  <c r="T1265" i="2"/>
  <c r="I1265" i="2"/>
  <c r="AP1265" i="2"/>
  <c r="AX1264" i="2"/>
  <c r="AW1264" i="2"/>
  <c r="AV1264" i="2"/>
  <c r="AU1264" i="2"/>
  <c r="AT1264" i="2"/>
  <c r="AS1264" i="2"/>
  <c r="AR1264" i="2"/>
  <c r="AQ1264" i="2"/>
  <c r="T1264" i="2"/>
  <c r="I1264" i="2"/>
  <c r="AP1264" i="2"/>
  <c r="AO1264" i="2"/>
  <c r="AX1263" i="2"/>
  <c r="AW1263" i="2"/>
  <c r="AV1263" i="2"/>
  <c r="AU1263" i="2"/>
  <c r="AT1263" i="2"/>
  <c r="AS1263" i="2"/>
  <c r="AR1263" i="2"/>
  <c r="AQ1263" i="2"/>
  <c r="AO1263" i="2"/>
  <c r="T1263" i="2"/>
  <c r="I1263" i="2"/>
  <c r="AP1263" i="2"/>
  <c r="AX1262" i="2"/>
  <c r="AW1262" i="2"/>
  <c r="AV1262" i="2"/>
  <c r="AU1262" i="2"/>
  <c r="AT1262" i="2"/>
  <c r="AS1262" i="2"/>
  <c r="AR1262" i="2"/>
  <c r="AQ1262" i="2"/>
  <c r="AO1262" i="2"/>
  <c r="T1262" i="2"/>
  <c r="AM1260" i="2"/>
  <c r="AH1260" i="2"/>
  <c r="W1260" i="2"/>
  <c r="U1260" i="2"/>
  <c r="T1260" i="2"/>
  <c r="S1260" i="2"/>
  <c r="K1260" i="2"/>
  <c r="J1260" i="2"/>
  <c r="I1260" i="2"/>
  <c r="H1260" i="2"/>
  <c r="G1260" i="2"/>
  <c r="AM1259" i="2"/>
  <c r="AH1259" i="2"/>
  <c r="W1259" i="2"/>
  <c r="U1259" i="2"/>
  <c r="T1259" i="2"/>
  <c r="S1259" i="2"/>
  <c r="K1259" i="2"/>
  <c r="J1259" i="2"/>
  <c r="I1259" i="2"/>
  <c r="H1259" i="2"/>
  <c r="G1259" i="2"/>
  <c r="AM1258" i="2"/>
  <c r="AH1258" i="2"/>
  <c r="W1258" i="2"/>
  <c r="U1258" i="2"/>
  <c r="T1258" i="2"/>
  <c r="S1258" i="2"/>
  <c r="G1258" i="2"/>
  <c r="AX1257" i="2"/>
  <c r="AW1257" i="2"/>
  <c r="AV1257" i="2"/>
  <c r="AU1257" i="2"/>
  <c r="AT1257" i="2"/>
  <c r="AS1257" i="2"/>
  <c r="AR1257" i="2"/>
  <c r="AQ1257" i="2"/>
  <c r="AP1257" i="2"/>
  <c r="AO1257" i="2"/>
  <c r="V1257" i="2"/>
  <c r="R1257" i="2"/>
  <c r="AX1256" i="2"/>
  <c r="AW1256" i="2"/>
  <c r="AV1256" i="2"/>
  <c r="AU1256" i="2"/>
  <c r="AT1256" i="2"/>
  <c r="AS1256" i="2"/>
  <c r="AR1256" i="2"/>
  <c r="AQ1256" i="2"/>
  <c r="AP1256" i="2"/>
  <c r="AO1256" i="2"/>
  <c r="V1256" i="2"/>
  <c r="R1256" i="2"/>
  <c r="AX1255" i="2"/>
  <c r="AW1255" i="2"/>
  <c r="AV1255" i="2"/>
  <c r="AU1255" i="2"/>
  <c r="AT1255" i="2"/>
  <c r="AS1255" i="2"/>
  <c r="AR1255" i="2"/>
  <c r="AQ1255" i="2"/>
  <c r="AP1255" i="2"/>
  <c r="AO1255" i="2"/>
  <c r="V1255" i="2"/>
  <c r="R1255" i="2"/>
  <c r="AX1254" i="2"/>
  <c r="AW1254" i="2"/>
  <c r="AV1254" i="2"/>
  <c r="AU1254" i="2"/>
  <c r="AT1254" i="2"/>
  <c r="AS1254" i="2"/>
  <c r="AR1254" i="2"/>
  <c r="AQ1254" i="2"/>
  <c r="AP1254" i="2"/>
  <c r="AO1254" i="2"/>
  <c r="V1254" i="2"/>
  <c r="R1254" i="2"/>
  <c r="AX1253" i="2"/>
  <c r="AW1253" i="2"/>
  <c r="AV1253" i="2"/>
  <c r="AU1253" i="2"/>
  <c r="AT1253" i="2"/>
  <c r="AS1253" i="2"/>
  <c r="AR1253" i="2"/>
  <c r="AQ1253" i="2"/>
  <c r="AP1253" i="2"/>
  <c r="AO1253" i="2"/>
  <c r="V1253" i="2"/>
  <c r="R1253" i="2"/>
  <c r="AX1252" i="2"/>
  <c r="AW1252" i="2"/>
  <c r="AV1252" i="2"/>
  <c r="AU1252" i="2"/>
  <c r="AT1252" i="2"/>
  <c r="AS1252" i="2"/>
  <c r="AR1252" i="2"/>
  <c r="AQ1252" i="2"/>
  <c r="AP1252" i="2"/>
  <c r="AO1252" i="2"/>
  <c r="V1252" i="2"/>
  <c r="R1252" i="2"/>
  <c r="AX1251" i="2"/>
  <c r="AW1251" i="2"/>
  <c r="AV1251" i="2"/>
  <c r="AU1251" i="2"/>
  <c r="AT1251" i="2"/>
  <c r="AS1251" i="2"/>
  <c r="AR1251" i="2"/>
  <c r="AQ1251" i="2"/>
  <c r="AP1251" i="2"/>
  <c r="AO1251" i="2"/>
  <c r="V1251" i="2"/>
  <c r="R1251" i="2"/>
  <c r="AX1250" i="2"/>
  <c r="AW1250" i="2"/>
  <c r="AV1250" i="2"/>
  <c r="AU1250" i="2"/>
  <c r="AT1250" i="2"/>
  <c r="AS1250" i="2"/>
  <c r="AR1250" i="2"/>
  <c r="AQ1250" i="2"/>
  <c r="AP1250" i="2"/>
  <c r="AO1250" i="2"/>
  <c r="V1250" i="2"/>
  <c r="R1250" i="2"/>
  <c r="AX1249" i="2"/>
  <c r="AW1249" i="2"/>
  <c r="AV1249" i="2"/>
  <c r="AU1249" i="2"/>
  <c r="AT1249" i="2"/>
  <c r="AS1249" i="2"/>
  <c r="AR1249" i="2"/>
  <c r="AQ1249" i="2"/>
  <c r="AP1249" i="2"/>
  <c r="AO1249" i="2"/>
  <c r="V1249" i="2"/>
  <c r="R1249" i="2"/>
  <c r="AX1248" i="2"/>
  <c r="AW1248" i="2"/>
  <c r="AV1248" i="2"/>
  <c r="AU1248" i="2"/>
  <c r="AT1248" i="2"/>
  <c r="AS1248" i="2"/>
  <c r="AR1248" i="2"/>
  <c r="AQ1248" i="2"/>
  <c r="AP1248" i="2"/>
  <c r="AO1248" i="2"/>
  <c r="V1248" i="2"/>
  <c r="R1248" i="2"/>
  <c r="AX1247" i="2"/>
  <c r="AW1247" i="2"/>
  <c r="AV1247" i="2"/>
  <c r="AU1247" i="2"/>
  <c r="AT1247" i="2"/>
  <c r="AS1247" i="2"/>
  <c r="AR1247" i="2"/>
  <c r="AQ1247" i="2"/>
  <c r="AP1247" i="2"/>
  <c r="AO1247" i="2"/>
  <c r="V1247" i="2"/>
  <c r="R1247" i="2"/>
  <c r="AX1246" i="2"/>
  <c r="AW1246" i="2"/>
  <c r="AV1246" i="2"/>
  <c r="AU1246" i="2"/>
  <c r="AT1246" i="2"/>
  <c r="AS1246" i="2"/>
  <c r="AR1246" i="2"/>
  <c r="AQ1246" i="2"/>
  <c r="AP1246" i="2"/>
  <c r="AO1246" i="2"/>
  <c r="V1246" i="2"/>
  <c r="R1246" i="2"/>
  <c r="AX1245" i="2"/>
  <c r="AW1245" i="2"/>
  <c r="AV1245" i="2"/>
  <c r="AU1245" i="2"/>
  <c r="AT1245" i="2"/>
  <c r="AS1245" i="2"/>
  <c r="AR1245" i="2"/>
  <c r="AQ1245" i="2"/>
  <c r="AP1245" i="2"/>
  <c r="AO1245" i="2"/>
  <c r="V1245" i="2"/>
  <c r="R1245" i="2"/>
  <c r="AX1244" i="2"/>
  <c r="AW1244" i="2"/>
  <c r="AV1244" i="2"/>
  <c r="AU1244" i="2"/>
  <c r="AT1244" i="2"/>
  <c r="AS1244" i="2"/>
  <c r="AR1244" i="2"/>
  <c r="AQ1244" i="2"/>
  <c r="AP1244" i="2"/>
  <c r="AO1244" i="2"/>
  <c r="V1244" i="2"/>
  <c r="R1244" i="2"/>
  <c r="AX1243" i="2"/>
  <c r="AW1243" i="2"/>
  <c r="AV1243" i="2"/>
  <c r="AU1243" i="2"/>
  <c r="AT1243" i="2"/>
  <c r="AS1243" i="2"/>
  <c r="AR1243" i="2"/>
  <c r="AQ1243" i="2"/>
  <c r="AP1243" i="2"/>
  <c r="AO1243" i="2"/>
  <c r="V1243" i="2"/>
  <c r="R1243" i="2"/>
  <c r="AX1242" i="2"/>
  <c r="AW1242" i="2"/>
  <c r="AV1242" i="2"/>
  <c r="AU1242" i="2"/>
  <c r="AT1242" i="2"/>
  <c r="AS1242" i="2"/>
  <c r="AR1242" i="2"/>
  <c r="AQ1242" i="2"/>
  <c r="AP1242" i="2"/>
  <c r="AO1242" i="2"/>
  <c r="V1242" i="2"/>
  <c r="R1242" i="2"/>
  <c r="AX1241" i="2"/>
  <c r="AW1241" i="2"/>
  <c r="AV1241" i="2"/>
  <c r="AU1241" i="2"/>
  <c r="AT1241" i="2"/>
  <c r="AS1241" i="2"/>
  <c r="AR1241" i="2"/>
  <c r="AQ1241" i="2"/>
  <c r="AP1241" i="2"/>
  <c r="AO1241" i="2"/>
  <c r="V1241" i="2"/>
  <c r="R1241" i="2"/>
  <c r="AX1240" i="2"/>
  <c r="AW1240" i="2"/>
  <c r="AV1240" i="2"/>
  <c r="AU1240" i="2"/>
  <c r="AT1240" i="2"/>
  <c r="AS1240" i="2"/>
  <c r="AR1240" i="2"/>
  <c r="AQ1240" i="2"/>
  <c r="AP1240" i="2"/>
  <c r="AO1240" i="2"/>
  <c r="V1240" i="2"/>
  <c r="R1240" i="2"/>
  <c r="AX1239" i="2"/>
  <c r="AW1239" i="2"/>
  <c r="AV1239" i="2"/>
  <c r="AU1239" i="2"/>
  <c r="AT1239" i="2"/>
  <c r="AS1239" i="2"/>
  <c r="AR1239" i="2"/>
  <c r="AQ1239" i="2"/>
  <c r="AP1239" i="2"/>
  <c r="AO1239" i="2"/>
  <c r="V1239" i="2"/>
  <c r="R1239" i="2"/>
  <c r="AX1238" i="2"/>
  <c r="AW1238" i="2"/>
  <c r="AV1238" i="2"/>
  <c r="AU1238" i="2"/>
  <c r="AT1238" i="2"/>
  <c r="AS1238" i="2"/>
  <c r="AR1238" i="2"/>
  <c r="AQ1238" i="2"/>
  <c r="AP1238" i="2"/>
  <c r="AO1238" i="2"/>
  <c r="V1238" i="2"/>
  <c r="R1238" i="2"/>
  <c r="AX1237" i="2"/>
  <c r="AW1237" i="2"/>
  <c r="AV1237" i="2"/>
  <c r="AU1237" i="2"/>
  <c r="AT1237" i="2"/>
  <c r="AS1237" i="2"/>
  <c r="AR1237" i="2"/>
  <c r="AQ1237" i="2"/>
  <c r="AP1237" i="2"/>
  <c r="AO1237" i="2"/>
  <c r="V1237" i="2"/>
  <c r="R1237" i="2"/>
  <c r="AX1236" i="2"/>
  <c r="AW1236" i="2"/>
  <c r="AV1236" i="2"/>
  <c r="AU1236" i="2"/>
  <c r="AT1236" i="2"/>
  <c r="AS1236" i="2"/>
  <c r="AR1236" i="2"/>
  <c r="AQ1236" i="2"/>
  <c r="AP1236" i="2"/>
  <c r="AO1236" i="2"/>
  <c r="V1236" i="2"/>
  <c r="R1236" i="2"/>
  <c r="AX1235" i="2"/>
  <c r="AW1235" i="2"/>
  <c r="AV1235" i="2"/>
  <c r="AU1235" i="2"/>
  <c r="AT1235" i="2"/>
  <c r="AS1235" i="2"/>
  <c r="AR1235" i="2"/>
  <c r="AQ1235" i="2"/>
  <c r="AP1235" i="2"/>
  <c r="AO1235" i="2"/>
  <c r="V1235" i="2"/>
  <c r="R1235" i="2"/>
  <c r="AX1234" i="2"/>
  <c r="AW1234" i="2"/>
  <c r="AV1234" i="2"/>
  <c r="AU1234" i="2"/>
  <c r="AT1234" i="2"/>
  <c r="AS1234" i="2"/>
  <c r="AR1234" i="2"/>
  <c r="AQ1234" i="2"/>
  <c r="AP1234" i="2"/>
  <c r="AO1234" i="2"/>
  <c r="V1234" i="2"/>
  <c r="R1234" i="2"/>
  <c r="AX1233" i="2"/>
  <c r="AW1233" i="2"/>
  <c r="AV1233" i="2"/>
  <c r="AU1233" i="2"/>
  <c r="AT1233" i="2"/>
  <c r="AS1233" i="2"/>
  <c r="AR1233" i="2"/>
  <c r="AQ1233" i="2"/>
  <c r="AP1233" i="2"/>
  <c r="AO1233" i="2"/>
  <c r="V1233" i="2"/>
  <c r="R1233" i="2"/>
  <c r="AX1232" i="2"/>
  <c r="AW1232" i="2"/>
  <c r="AV1232" i="2"/>
  <c r="AU1232" i="2"/>
  <c r="AT1232" i="2"/>
  <c r="AS1232" i="2"/>
  <c r="AR1232" i="2"/>
  <c r="AQ1232" i="2"/>
  <c r="AP1232" i="2"/>
  <c r="AO1232" i="2"/>
  <c r="V1232" i="2"/>
  <c r="R1232" i="2"/>
  <c r="AX1231" i="2"/>
  <c r="AW1231" i="2"/>
  <c r="AV1231" i="2"/>
  <c r="AU1231" i="2"/>
  <c r="AT1231" i="2"/>
  <c r="AS1231" i="2"/>
  <c r="AR1231" i="2"/>
  <c r="AQ1231" i="2"/>
  <c r="AP1231" i="2"/>
  <c r="AO1231" i="2"/>
  <c r="V1231" i="2"/>
  <c r="R1231" i="2"/>
  <c r="AX1230" i="2"/>
  <c r="AW1230" i="2"/>
  <c r="AV1230" i="2"/>
  <c r="AU1230" i="2"/>
  <c r="AT1230" i="2"/>
  <c r="AS1230" i="2"/>
  <c r="AR1230" i="2"/>
  <c r="AQ1230" i="2"/>
  <c r="AP1230" i="2"/>
  <c r="AO1230" i="2"/>
  <c r="V1230" i="2"/>
  <c r="R1230" i="2"/>
  <c r="AX1229" i="2"/>
  <c r="AW1229" i="2"/>
  <c r="AV1229" i="2"/>
  <c r="AU1229" i="2"/>
  <c r="AT1229" i="2"/>
  <c r="AS1229" i="2"/>
  <c r="AR1229" i="2"/>
  <c r="AQ1229" i="2"/>
  <c r="AP1229" i="2"/>
  <c r="AO1229" i="2"/>
  <c r="V1229" i="2"/>
  <c r="R1229" i="2"/>
  <c r="AX1228" i="2"/>
  <c r="AW1228" i="2"/>
  <c r="AV1228" i="2"/>
  <c r="AU1228" i="2"/>
  <c r="AT1228" i="2"/>
  <c r="AS1228" i="2"/>
  <c r="AR1228" i="2"/>
  <c r="AQ1228" i="2"/>
  <c r="AP1228" i="2"/>
  <c r="AO1228" i="2"/>
  <c r="V1228" i="2"/>
  <c r="R1228" i="2"/>
  <c r="AX1227" i="2"/>
  <c r="AW1227" i="2"/>
  <c r="AV1227" i="2"/>
  <c r="AU1227" i="2"/>
  <c r="AT1227" i="2"/>
  <c r="AS1227" i="2"/>
  <c r="AR1227" i="2"/>
  <c r="AQ1227" i="2"/>
  <c r="AP1227" i="2"/>
  <c r="AO1227" i="2"/>
  <c r="V1227" i="2"/>
  <c r="R1227" i="2"/>
  <c r="AX1226" i="2"/>
  <c r="AW1226" i="2"/>
  <c r="AV1226" i="2"/>
  <c r="AU1226" i="2"/>
  <c r="AT1226" i="2"/>
  <c r="AS1226" i="2"/>
  <c r="AR1226" i="2"/>
  <c r="AQ1226" i="2"/>
  <c r="AP1226" i="2"/>
  <c r="AO1226" i="2"/>
  <c r="V1226" i="2"/>
  <c r="R1226" i="2"/>
  <c r="AX1225" i="2"/>
  <c r="AW1225" i="2"/>
  <c r="AV1225" i="2"/>
  <c r="AU1225" i="2"/>
  <c r="AT1225" i="2"/>
  <c r="AS1225" i="2"/>
  <c r="AR1225" i="2"/>
  <c r="AQ1225" i="2"/>
  <c r="AP1225" i="2"/>
  <c r="AO1225" i="2"/>
  <c r="V1225" i="2"/>
  <c r="R1225" i="2"/>
  <c r="AX1224" i="2"/>
  <c r="AW1224" i="2"/>
  <c r="AV1224" i="2"/>
  <c r="AU1224" i="2"/>
  <c r="AT1224" i="2"/>
  <c r="AS1224" i="2"/>
  <c r="AR1224" i="2"/>
  <c r="AQ1224" i="2"/>
  <c r="AP1224" i="2"/>
  <c r="AO1224" i="2"/>
  <c r="V1224" i="2"/>
  <c r="R1224" i="2"/>
  <c r="AX1223" i="2"/>
  <c r="AW1223" i="2"/>
  <c r="AV1223" i="2"/>
  <c r="AU1223" i="2"/>
  <c r="AT1223" i="2"/>
  <c r="AS1223" i="2"/>
  <c r="AR1223" i="2"/>
  <c r="AQ1223" i="2"/>
  <c r="AP1223" i="2"/>
  <c r="AO1223" i="2"/>
  <c r="V1223" i="2"/>
  <c r="R1223" i="2"/>
  <c r="AX1222" i="2"/>
  <c r="AW1222" i="2"/>
  <c r="AV1222" i="2"/>
  <c r="AU1222" i="2"/>
  <c r="AT1222" i="2"/>
  <c r="AS1222" i="2"/>
  <c r="AR1222" i="2"/>
  <c r="AQ1222" i="2"/>
  <c r="AP1222" i="2"/>
  <c r="AO1222" i="2"/>
  <c r="V1222" i="2"/>
  <c r="R1222" i="2"/>
  <c r="AX1221" i="2"/>
  <c r="AW1221" i="2"/>
  <c r="AV1221" i="2"/>
  <c r="AU1221" i="2"/>
  <c r="AT1221" i="2"/>
  <c r="AS1221" i="2"/>
  <c r="AR1221" i="2"/>
  <c r="AQ1221" i="2"/>
  <c r="AP1221" i="2"/>
  <c r="AO1221" i="2"/>
  <c r="V1221" i="2"/>
  <c r="R1221" i="2"/>
  <c r="AX1220" i="2"/>
  <c r="AW1220" i="2"/>
  <c r="AV1220" i="2"/>
  <c r="AU1220" i="2"/>
  <c r="AT1220" i="2"/>
  <c r="AS1220" i="2"/>
  <c r="AR1220" i="2"/>
  <c r="AQ1220" i="2"/>
  <c r="AP1220" i="2"/>
  <c r="AO1220" i="2"/>
  <c r="V1220" i="2"/>
  <c r="R1220" i="2"/>
  <c r="AX1219" i="2"/>
  <c r="AW1219" i="2"/>
  <c r="AV1219" i="2"/>
  <c r="AU1219" i="2"/>
  <c r="AT1219" i="2"/>
  <c r="AS1219" i="2"/>
  <c r="AR1219" i="2"/>
  <c r="AQ1219" i="2"/>
  <c r="AP1219" i="2"/>
  <c r="AO1219" i="2"/>
  <c r="V1219" i="2"/>
  <c r="R1219" i="2"/>
  <c r="AX1218" i="2"/>
  <c r="AW1218" i="2"/>
  <c r="AV1218" i="2"/>
  <c r="AU1218" i="2"/>
  <c r="AT1218" i="2"/>
  <c r="AS1218" i="2"/>
  <c r="AR1218" i="2"/>
  <c r="AQ1218" i="2"/>
  <c r="AP1218" i="2"/>
  <c r="AO1218" i="2"/>
  <c r="V1218" i="2"/>
  <c r="R1218" i="2"/>
  <c r="AX1217" i="2"/>
  <c r="AW1217" i="2"/>
  <c r="AV1217" i="2"/>
  <c r="AU1217" i="2"/>
  <c r="AT1217" i="2"/>
  <c r="AS1217" i="2"/>
  <c r="AR1217" i="2"/>
  <c r="AQ1217" i="2"/>
  <c r="AP1217" i="2"/>
  <c r="AO1217" i="2"/>
  <c r="V1217" i="2"/>
  <c r="R1217" i="2"/>
  <c r="AX1216" i="2"/>
  <c r="AW1216" i="2"/>
  <c r="AV1216" i="2"/>
  <c r="AU1216" i="2"/>
  <c r="AT1216" i="2"/>
  <c r="AS1216" i="2"/>
  <c r="AR1216" i="2"/>
  <c r="AQ1216" i="2"/>
  <c r="AP1216" i="2"/>
  <c r="AO1216" i="2"/>
  <c r="V1216" i="2"/>
  <c r="R1216" i="2"/>
  <c r="AX1215" i="2"/>
  <c r="AW1215" i="2"/>
  <c r="AV1215" i="2"/>
  <c r="AU1215" i="2"/>
  <c r="AT1215" i="2"/>
  <c r="AS1215" i="2"/>
  <c r="AR1215" i="2"/>
  <c r="AQ1215" i="2"/>
  <c r="AP1215" i="2"/>
  <c r="AO1215" i="2"/>
  <c r="V1215" i="2"/>
  <c r="R1215" i="2"/>
  <c r="AX1214" i="2"/>
  <c r="AW1214" i="2"/>
  <c r="AV1214" i="2"/>
  <c r="AU1214" i="2"/>
  <c r="AT1214" i="2"/>
  <c r="AS1214" i="2"/>
  <c r="AR1214" i="2"/>
  <c r="AQ1214" i="2"/>
  <c r="AP1214" i="2"/>
  <c r="AO1214" i="2"/>
  <c r="V1214" i="2"/>
  <c r="R1214" i="2"/>
  <c r="AX1213" i="2"/>
  <c r="AW1213" i="2"/>
  <c r="AV1213" i="2"/>
  <c r="AU1213" i="2"/>
  <c r="AT1213" i="2"/>
  <c r="AS1213" i="2"/>
  <c r="AR1213" i="2"/>
  <c r="AQ1213" i="2"/>
  <c r="AP1213" i="2"/>
  <c r="AO1213" i="2"/>
  <c r="V1213" i="2"/>
  <c r="R1213" i="2"/>
  <c r="AX1212" i="2"/>
  <c r="AW1212" i="2"/>
  <c r="AV1212" i="2"/>
  <c r="AU1212" i="2"/>
  <c r="AT1212" i="2"/>
  <c r="AS1212" i="2"/>
  <c r="AR1212" i="2"/>
  <c r="AQ1212" i="2"/>
  <c r="AP1212" i="2"/>
  <c r="AO1212" i="2"/>
  <c r="V1212" i="2"/>
  <c r="R1212" i="2"/>
  <c r="AX1211" i="2"/>
  <c r="AW1211" i="2"/>
  <c r="AV1211" i="2"/>
  <c r="AU1211" i="2"/>
  <c r="AT1211" i="2"/>
  <c r="AS1211" i="2"/>
  <c r="AR1211" i="2"/>
  <c r="AQ1211" i="2"/>
  <c r="AP1211" i="2"/>
  <c r="AO1211" i="2"/>
  <c r="V1211" i="2"/>
  <c r="R1211" i="2"/>
  <c r="AX1210" i="2"/>
  <c r="AW1210" i="2"/>
  <c r="AV1210" i="2"/>
  <c r="AU1210" i="2"/>
  <c r="AT1210" i="2"/>
  <c r="AS1210" i="2"/>
  <c r="AR1210" i="2"/>
  <c r="AQ1210" i="2"/>
  <c r="AP1210" i="2"/>
  <c r="AO1210" i="2"/>
  <c r="V1210" i="2"/>
  <c r="R1210" i="2"/>
  <c r="AX1209" i="2"/>
  <c r="AW1209" i="2"/>
  <c r="AV1209" i="2"/>
  <c r="AU1209" i="2"/>
  <c r="AT1209" i="2"/>
  <c r="AS1209" i="2"/>
  <c r="AR1209" i="2"/>
  <c r="AQ1209" i="2"/>
  <c r="AP1209" i="2"/>
  <c r="AO1209" i="2"/>
  <c r="V1209" i="2"/>
  <c r="R1209" i="2"/>
  <c r="AX1208" i="2"/>
  <c r="AW1208" i="2"/>
  <c r="AV1208" i="2"/>
  <c r="AU1208" i="2"/>
  <c r="AT1208" i="2"/>
  <c r="AS1208" i="2"/>
  <c r="AR1208" i="2"/>
  <c r="AQ1208" i="2"/>
  <c r="AP1208" i="2"/>
  <c r="AO1208" i="2"/>
  <c r="V1208" i="2"/>
  <c r="R1208" i="2"/>
  <c r="AX1207" i="2"/>
  <c r="AW1207" i="2"/>
  <c r="AV1207" i="2"/>
  <c r="AU1207" i="2"/>
  <c r="AT1207" i="2"/>
  <c r="AS1207" i="2"/>
  <c r="AR1207" i="2"/>
  <c r="AQ1207" i="2"/>
  <c r="AP1207" i="2"/>
  <c r="AO1207" i="2"/>
  <c r="V1207" i="2"/>
  <c r="R1207" i="2"/>
  <c r="AX1206" i="2"/>
  <c r="AW1206" i="2"/>
  <c r="AV1206" i="2"/>
  <c r="AU1206" i="2"/>
  <c r="AT1206" i="2"/>
  <c r="AS1206" i="2"/>
  <c r="AR1206" i="2"/>
  <c r="AQ1206" i="2"/>
  <c r="AP1206" i="2"/>
  <c r="AO1206" i="2"/>
  <c r="V1206" i="2"/>
  <c r="R1206" i="2"/>
  <c r="AX1205" i="2"/>
  <c r="AW1205" i="2"/>
  <c r="AV1205" i="2"/>
  <c r="AU1205" i="2"/>
  <c r="AT1205" i="2"/>
  <c r="AS1205" i="2"/>
  <c r="AR1205" i="2"/>
  <c r="AQ1205" i="2"/>
  <c r="AP1205" i="2"/>
  <c r="AO1205" i="2"/>
  <c r="V1205" i="2"/>
  <c r="R1205" i="2"/>
  <c r="AX1204" i="2"/>
  <c r="AW1204" i="2"/>
  <c r="AV1204" i="2"/>
  <c r="AU1204" i="2"/>
  <c r="AT1204" i="2"/>
  <c r="AS1204" i="2"/>
  <c r="AR1204" i="2"/>
  <c r="AQ1204" i="2"/>
  <c r="AP1204" i="2"/>
  <c r="AO1204" i="2"/>
  <c r="V1204" i="2"/>
  <c r="R1204" i="2"/>
  <c r="AX1203" i="2"/>
  <c r="AW1203" i="2"/>
  <c r="AV1203" i="2"/>
  <c r="AU1203" i="2"/>
  <c r="AT1203" i="2"/>
  <c r="AS1203" i="2"/>
  <c r="AR1203" i="2"/>
  <c r="AQ1203" i="2"/>
  <c r="AP1203" i="2"/>
  <c r="AO1203" i="2"/>
  <c r="V1203" i="2"/>
  <c r="R1203" i="2"/>
  <c r="AX1202" i="2"/>
  <c r="AW1202" i="2"/>
  <c r="AV1202" i="2"/>
  <c r="AU1202" i="2"/>
  <c r="AT1202" i="2"/>
  <c r="AS1202" i="2"/>
  <c r="AR1202" i="2"/>
  <c r="AQ1202" i="2"/>
  <c r="AP1202" i="2"/>
  <c r="AO1202" i="2"/>
  <c r="R1202" i="2"/>
  <c r="AX1201" i="2"/>
  <c r="AW1201" i="2"/>
  <c r="AV1201" i="2"/>
  <c r="AU1201" i="2"/>
  <c r="AT1201" i="2"/>
  <c r="AS1201" i="2"/>
  <c r="AR1201" i="2"/>
  <c r="AQ1201" i="2"/>
  <c r="AP1201" i="2"/>
  <c r="AO1201" i="2"/>
  <c r="R1201" i="2"/>
  <c r="AM1190" i="2"/>
  <c r="AM1191" i="2"/>
  <c r="AM1192" i="2"/>
  <c r="AM1193" i="2"/>
  <c r="AM1194" i="2"/>
  <c r="AM1195" i="2"/>
  <c r="AM1196" i="2"/>
  <c r="AM1199" i="2"/>
  <c r="G1190" i="2"/>
  <c r="U1190" i="2"/>
  <c r="U1191" i="2"/>
  <c r="U1192" i="2"/>
  <c r="U1193" i="2"/>
  <c r="U1194" i="2"/>
  <c r="U1195" i="2"/>
  <c r="U1196" i="2"/>
  <c r="U1199" i="2"/>
  <c r="J1199" i="2"/>
  <c r="I1199" i="2"/>
  <c r="J1198" i="2"/>
  <c r="I1198" i="2"/>
  <c r="G1196" i="2"/>
  <c r="AU1196" i="2"/>
  <c r="T1196" i="2"/>
  <c r="T1195" i="2"/>
  <c r="G1195" i="2"/>
  <c r="G1194" i="2"/>
  <c r="AX1194" i="2"/>
  <c r="AW1194" i="2"/>
  <c r="AV1194" i="2"/>
  <c r="AU1194" i="2"/>
  <c r="AT1194" i="2"/>
  <c r="AR1194" i="2"/>
  <c r="AQ1194" i="2"/>
  <c r="AP1194" i="2"/>
  <c r="AO1194" i="2"/>
  <c r="T1194" i="2"/>
  <c r="AS1194" i="2"/>
  <c r="G1193" i="2"/>
  <c r="AV1193" i="2"/>
  <c r="AU1193" i="2"/>
  <c r="T1193" i="2"/>
  <c r="G1192" i="2"/>
  <c r="AU1192" i="2"/>
  <c r="AT1192" i="2"/>
  <c r="AM1198" i="2"/>
  <c r="T1192" i="2"/>
  <c r="T1190" i="2"/>
  <c r="T1191" i="2"/>
  <c r="T1198" i="2"/>
  <c r="T1199" i="2"/>
  <c r="G1191" i="2"/>
  <c r="AX1190" i="2"/>
  <c r="AW1190" i="2"/>
  <c r="AV1190" i="2"/>
  <c r="AU1190" i="2"/>
  <c r="AT1190" i="2"/>
  <c r="AR1190" i="2"/>
  <c r="AQ1190" i="2"/>
  <c r="AP1190" i="2"/>
  <c r="AO1190" i="2"/>
  <c r="U1198" i="2"/>
  <c r="I1174" i="2"/>
  <c r="I1175" i="2"/>
  <c r="I1176" i="2"/>
  <c r="I1177" i="2"/>
  <c r="I1178" i="2"/>
  <c r="I1179" i="2"/>
  <c r="I1180" i="2"/>
  <c r="I1181" i="2"/>
  <c r="I1188" i="2"/>
  <c r="G1174" i="2"/>
  <c r="G1175" i="2"/>
  <c r="G1176" i="2"/>
  <c r="G1177" i="2"/>
  <c r="G1178" i="2"/>
  <c r="G1179" i="2"/>
  <c r="G1180" i="2"/>
  <c r="G1181" i="2"/>
  <c r="G1188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7" i="2"/>
  <c r="T1186" i="2"/>
  <c r="G1186" i="2"/>
  <c r="AX1185" i="2"/>
  <c r="AW1185" i="2"/>
  <c r="AV1185" i="2"/>
  <c r="AU1185" i="2"/>
  <c r="AT1185" i="2"/>
  <c r="AS1185" i="2"/>
  <c r="AR1185" i="2"/>
  <c r="AQ1185" i="2"/>
  <c r="AP1185" i="2"/>
  <c r="AO1185" i="2"/>
  <c r="AM1185" i="2"/>
  <c r="AX1184" i="2"/>
  <c r="AW1184" i="2"/>
  <c r="AV1184" i="2"/>
  <c r="AU1184" i="2"/>
  <c r="AT1184" i="2"/>
  <c r="AS1184" i="2"/>
  <c r="AR1184" i="2"/>
  <c r="AQ1184" i="2"/>
  <c r="AP1184" i="2"/>
  <c r="AO1184" i="2"/>
  <c r="AM1184" i="2"/>
  <c r="AX1183" i="2"/>
  <c r="AW1183" i="2"/>
  <c r="AV1183" i="2"/>
  <c r="AU1183" i="2"/>
  <c r="AT1183" i="2"/>
  <c r="AS1183" i="2"/>
  <c r="AR1183" i="2"/>
  <c r="AQ1183" i="2"/>
  <c r="AP1183" i="2"/>
  <c r="AO1183" i="2"/>
  <c r="AM1183" i="2"/>
  <c r="AX1182" i="2"/>
  <c r="AW1182" i="2"/>
  <c r="AV1182" i="2"/>
  <c r="AU1182" i="2"/>
  <c r="AT1182" i="2"/>
  <c r="AS1182" i="2"/>
  <c r="AR1182" i="2"/>
  <c r="AQ1182" i="2"/>
  <c r="AP1182" i="2"/>
  <c r="AO1182" i="2"/>
  <c r="AM1182" i="2"/>
  <c r="AW1181" i="2"/>
  <c r="AV1181" i="2"/>
  <c r="AU1181" i="2"/>
  <c r="AT1181" i="2"/>
  <c r="AR1181" i="2"/>
  <c r="AO1181" i="2"/>
  <c r="AM1181" i="2"/>
  <c r="AQ1181" i="2"/>
  <c r="AX1180" i="2"/>
  <c r="AT1180" i="2"/>
  <c r="AS1180" i="2"/>
  <c r="AR1180" i="2"/>
  <c r="AP1180" i="2"/>
  <c r="AM1180" i="2"/>
  <c r="AS1179" i="2"/>
  <c r="AR1179" i="2"/>
  <c r="AM1179" i="2"/>
  <c r="AX1178" i="2"/>
  <c r="AW1178" i="2"/>
  <c r="AV1178" i="2"/>
  <c r="AU1178" i="2"/>
  <c r="AT1178" i="2"/>
  <c r="AQ1178" i="2"/>
  <c r="AO1178" i="2"/>
  <c r="AM1178" i="2"/>
  <c r="AP1178" i="2"/>
  <c r="AS1178" i="2"/>
  <c r="AW1177" i="2"/>
  <c r="AV1177" i="2"/>
  <c r="AU1177" i="2"/>
  <c r="AT1177" i="2"/>
  <c r="AR1177" i="2"/>
  <c r="AO1177" i="2"/>
  <c r="AM1177" i="2"/>
  <c r="T1188" i="2"/>
  <c r="AQ1177" i="2"/>
  <c r="AT1176" i="2"/>
  <c r="AS1176" i="2"/>
  <c r="AM1176" i="2"/>
  <c r="AX1175" i="2"/>
  <c r="AV1175" i="2"/>
  <c r="AM1175" i="2"/>
  <c r="AX1174" i="2"/>
  <c r="AW1174" i="2"/>
  <c r="AV1174" i="2"/>
  <c r="AU1174" i="2"/>
  <c r="AT1174" i="2"/>
  <c r="AQ1174" i="2"/>
  <c r="AP1174" i="2"/>
  <c r="AO1174" i="2"/>
  <c r="AM1174" i="2"/>
  <c r="AS1174" i="2"/>
  <c r="AX1173" i="2"/>
  <c r="AW1173" i="2"/>
  <c r="AV1173" i="2"/>
  <c r="AU1173" i="2"/>
  <c r="AT1173" i="2"/>
  <c r="AS1173" i="2"/>
  <c r="AR1173" i="2"/>
  <c r="AQ1173" i="2"/>
  <c r="AP1173" i="2"/>
  <c r="AO1173" i="2"/>
  <c r="AM1173" i="2"/>
  <c r="AX1172" i="2"/>
  <c r="AW1172" i="2"/>
  <c r="AV1172" i="2"/>
  <c r="AU1172" i="2"/>
  <c r="AT1172" i="2"/>
  <c r="AS1172" i="2"/>
  <c r="AR1172" i="2"/>
  <c r="AQ1172" i="2"/>
  <c r="AP1172" i="2"/>
  <c r="AO1172" i="2"/>
  <c r="AM1172" i="2"/>
  <c r="AX1171" i="2"/>
  <c r="AW1171" i="2"/>
  <c r="AV1171" i="2"/>
  <c r="AU1171" i="2"/>
  <c r="AT1171" i="2"/>
  <c r="AS1171" i="2"/>
  <c r="AR1171" i="2"/>
  <c r="AQ1171" i="2"/>
  <c r="AP1171" i="2"/>
  <c r="AO1171" i="2"/>
  <c r="AM1171" i="2"/>
  <c r="AX1170" i="2"/>
  <c r="AW1170" i="2"/>
  <c r="AV1170" i="2"/>
  <c r="AU1170" i="2"/>
  <c r="AT1170" i="2"/>
  <c r="AS1170" i="2"/>
  <c r="AR1170" i="2"/>
  <c r="AQ1170" i="2"/>
  <c r="AP1170" i="2"/>
  <c r="AO1170" i="2"/>
  <c r="AM1170" i="2"/>
  <c r="AX1169" i="2"/>
  <c r="AW1169" i="2"/>
  <c r="AV1169" i="2"/>
  <c r="AU1169" i="2"/>
  <c r="AT1169" i="2"/>
  <c r="AS1169" i="2"/>
  <c r="AR1169" i="2"/>
  <c r="AQ1169" i="2"/>
  <c r="AP1169" i="2"/>
  <c r="AO1169" i="2"/>
  <c r="AM1169" i="2"/>
  <c r="AX1168" i="2"/>
  <c r="AW1168" i="2"/>
  <c r="AV1168" i="2"/>
  <c r="AU1168" i="2"/>
  <c r="AT1168" i="2"/>
  <c r="AS1168" i="2"/>
  <c r="AR1168" i="2"/>
  <c r="AQ1168" i="2"/>
  <c r="AP1168" i="2"/>
  <c r="AO1168" i="2"/>
  <c r="AM1168" i="2"/>
  <c r="AX1167" i="2"/>
  <c r="AW1167" i="2"/>
  <c r="AV1167" i="2"/>
  <c r="AU1167" i="2"/>
  <c r="AT1167" i="2"/>
  <c r="AS1167" i="2"/>
  <c r="AR1167" i="2"/>
  <c r="AQ1167" i="2"/>
  <c r="AP1167" i="2"/>
  <c r="AO1167" i="2"/>
  <c r="AM1167" i="2"/>
  <c r="AX1166" i="2"/>
  <c r="AW1166" i="2"/>
  <c r="AV1166" i="2"/>
  <c r="AU1166" i="2"/>
  <c r="AT1166" i="2"/>
  <c r="AS1166" i="2"/>
  <c r="AR1166" i="2"/>
  <c r="AQ1166" i="2"/>
  <c r="AP1166" i="2"/>
  <c r="AO1166" i="2"/>
  <c r="AM1166" i="2"/>
  <c r="AX1165" i="2"/>
  <c r="AW1165" i="2"/>
  <c r="AV1165" i="2"/>
  <c r="AU1165" i="2"/>
  <c r="AT1165" i="2"/>
  <c r="AS1165" i="2"/>
  <c r="AR1165" i="2"/>
  <c r="AQ1165" i="2"/>
  <c r="AP1165" i="2"/>
  <c r="AO1165" i="2"/>
  <c r="AM1165" i="2"/>
  <c r="AX1164" i="2"/>
  <c r="AW1164" i="2"/>
  <c r="AV1164" i="2"/>
  <c r="AU1164" i="2"/>
  <c r="AT1164" i="2"/>
  <c r="AS1164" i="2"/>
  <c r="AR1164" i="2"/>
  <c r="AQ1164" i="2"/>
  <c r="AP1164" i="2"/>
  <c r="AO1164" i="2"/>
  <c r="AM1164" i="2"/>
  <c r="AX1163" i="2"/>
  <c r="AW1163" i="2"/>
  <c r="AV1163" i="2"/>
  <c r="AU1163" i="2"/>
  <c r="AT1163" i="2"/>
  <c r="AS1163" i="2"/>
  <c r="AR1163" i="2"/>
  <c r="AQ1163" i="2"/>
  <c r="AP1163" i="2"/>
  <c r="AO1163" i="2"/>
  <c r="AM1163" i="2"/>
  <c r="AX1162" i="2"/>
  <c r="AW1162" i="2"/>
  <c r="AV1162" i="2"/>
  <c r="AU1162" i="2"/>
  <c r="AT1162" i="2"/>
  <c r="AS1162" i="2"/>
  <c r="AR1162" i="2"/>
  <c r="AQ1162" i="2"/>
  <c r="AP1162" i="2"/>
  <c r="AO1162" i="2"/>
  <c r="AM1162" i="2"/>
  <c r="AX1161" i="2"/>
  <c r="AW1161" i="2"/>
  <c r="AV1161" i="2"/>
  <c r="AU1161" i="2"/>
  <c r="AT1161" i="2"/>
  <c r="AS1161" i="2"/>
  <c r="AR1161" i="2"/>
  <c r="AQ1161" i="2"/>
  <c r="AP1161" i="2"/>
  <c r="AO1161" i="2"/>
  <c r="AM1161" i="2"/>
  <c r="AX1160" i="2"/>
  <c r="AW1160" i="2"/>
  <c r="AV1160" i="2"/>
  <c r="AU1160" i="2"/>
  <c r="AT1160" i="2"/>
  <c r="AS1160" i="2"/>
  <c r="AR1160" i="2"/>
  <c r="AQ1160" i="2"/>
  <c r="AP1160" i="2"/>
  <c r="AO1160" i="2"/>
  <c r="AM1160" i="2"/>
  <c r="AX1159" i="2"/>
  <c r="AW1159" i="2"/>
  <c r="AV1159" i="2"/>
  <c r="AU1159" i="2"/>
  <c r="AT1159" i="2"/>
  <c r="AS1159" i="2"/>
  <c r="AR1159" i="2"/>
  <c r="AQ1159" i="2"/>
  <c r="AP1159" i="2"/>
  <c r="AO1159" i="2"/>
  <c r="AX1158" i="2"/>
  <c r="AW1158" i="2"/>
  <c r="AV1158" i="2"/>
  <c r="AU1158" i="2"/>
  <c r="AT1158" i="2"/>
  <c r="AS1158" i="2"/>
  <c r="AR1158" i="2"/>
  <c r="AQ1158" i="2"/>
  <c r="AP1158" i="2"/>
  <c r="AO1158" i="2"/>
  <c r="AX1157" i="2"/>
  <c r="AW1157" i="2"/>
  <c r="AV1157" i="2"/>
  <c r="AU1157" i="2"/>
  <c r="AT1157" i="2"/>
  <c r="AS1157" i="2"/>
  <c r="AR1157" i="2"/>
  <c r="AQ1157" i="2"/>
  <c r="AP1157" i="2"/>
  <c r="AO1157" i="2"/>
  <c r="AX1156" i="2"/>
  <c r="AW1156" i="2"/>
  <c r="AV1156" i="2"/>
  <c r="AU1156" i="2"/>
  <c r="AT1156" i="2"/>
  <c r="AS1156" i="2"/>
  <c r="AR1156" i="2"/>
  <c r="AQ1156" i="2"/>
  <c r="AP1156" i="2"/>
  <c r="AO1156" i="2"/>
  <c r="AX1155" i="2"/>
  <c r="AW1155" i="2"/>
  <c r="AV1155" i="2"/>
  <c r="AU1155" i="2"/>
  <c r="AT1155" i="2"/>
  <c r="AS1155" i="2"/>
  <c r="AR1155" i="2"/>
  <c r="AQ1155" i="2"/>
  <c r="AP1155" i="2"/>
  <c r="AO1155" i="2"/>
  <c r="AX1154" i="2"/>
  <c r="AW1154" i="2"/>
  <c r="AV1154" i="2"/>
  <c r="AU1154" i="2"/>
  <c r="AT1154" i="2"/>
  <c r="AS1154" i="2"/>
  <c r="AR1154" i="2"/>
  <c r="AQ1154" i="2"/>
  <c r="AP1154" i="2"/>
  <c r="AO1154" i="2"/>
  <c r="AM1152" i="2"/>
  <c r="S1152" i="2"/>
  <c r="H1152" i="2"/>
  <c r="G1152" i="2"/>
  <c r="AM1151" i="2"/>
  <c r="S1151" i="2"/>
  <c r="H1151" i="2"/>
  <c r="G1151" i="2"/>
  <c r="AX1139" i="2"/>
  <c r="AX1140" i="2"/>
  <c r="AX1141" i="2"/>
  <c r="AX1142" i="2"/>
  <c r="AX1143" i="2"/>
  <c r="AX1144" i="2"/>
  <c r="AX1145" i="2"/>
  <c r="AX1146" i="2"/>
  <c r="AX1147" i="2"/>
  <c r="AX1148" i="2"/>
  <c r="AX1149" i="2"/>
  <c r="AX1150" i="2"/>
  <c r="AV1139" i="2"/>
  <c r="AV1140" i="2"/>
  <c r="AV1141" i="2"/>
  <c r="AV1142" i="2"/>
  <c r="AV1143" i="2"/>
  <c r="AV1144" i="2"/>
  <c r="AV1145" i="2"/>
  <c r="AV1146" i="2"/>
  <c r="AV1147" i="2"/>
  <c r="AV1148" i="2"/>
  <c r="AV1149" i="2"/>
  <c r="AV1150" i="2"/>
  <c r="AM1150" i="2"/>
  <c r="S1150" i="2"/>
  <c r="G1150" i="2"/>
  <c r="AW1149" i="2"/>
  <c r="AU1149" i="2"/>
  <c r="AT1149" i="2"/>
  <c r="AS1149" i="2"/>
  <c r="AS1139" i="2"/>
  <c r="AS1140" i="2"/>
  <c r="AS1141" i="2"/>
  <c r="AS1142" i="2"/>
  <c r="AS1143" i="2"/>
  <c r="AS1144" i="2"/>
  <c r="AS1145" i="2"/>
  <c r="AS1146" i="2"/>
  <c r="AS1147" i="2"/>
  <c r="AS1148" i="2"/>
  <c r="AS1150" i="2"/>
  <c r="AR1149" i="2"/>
  <c r="AQ1149" i="2"/>
  <c r="AO1149" i="2"/>
  <c r="T1149" i="2"/>
  <c r="R1149" i="2"/>
  <c r="I1149" i="2"/>
  <c r="AP1149" i="2"/>
  <c r="AW1148" i="2"/>
  <c r="AU1148" i="2"/>
  <c r="AT1148" i="2"/>
  <c r="AR1148" i="2"/>
  <c r="AQ1148" i="2"/>
  <c r="AO1148" i="2"/>
  <c r="T1148" i="2"/>
  <c r="I1148" i="2"/>
  <c r="AP1148" i="2"/>
  <c r="R1148" i="2"/>
  <c r="AW1147" i="2"/>
  <c r="AU1147" i="2"/>
  <c r="AT1147" i="2"/>
  <c r="AR1147" i="2"/>
  <c r="AQ1147" i="2"/>
  <c r="AO1147" i="2"/>
  <c r="T1147" i="2"/>
  <c r="R1147" i="2"/>
  <c r="I1147" i="2"/>
  <c r="AP1147" i="2"/>
  <c r="AW1146" i="2"/>
  <c r="AU1146" i="2"/>
  <c r="AT1146" i="2"/>
  <c r="AR1146" i="2"/>
  <c r="AQ1146" i="2"/>
  <c r="T1146" i="2"/>
  <c r="I1146" i="2"/>
  <c r="AP1146" i="2"/>
  <c r="AO1146" i="2"/>
  <c r="R1146" i="2"/>
  <c r="AW1145" i="2"/>
  <c r="AU1145" i="2"/>
  <c r="AT1145" i="2"/>
  <c r="AR1145" i="2"/>
  <c r="AQ1145" i="2"/>
  <c r="AO1145" i="2"/>
  <c r="T1145" i="2"/>
  <c r="I1145" i="2"/>
  <c r="AP1145" i="2"/>
  <c r="R1145" i="2"/>
  <c r="AW1144" i="2"/>
  <c r="AU1144" i="2"/>
  <c r="AT1144" i="2"/>
  <c r="AR1144" i="2"/>
  <c r="AQ1144" i="2"/>
  <c r="T1144" i="2"/>
  <c r="I1144" i="2"/>
  <c r="AP1144" i="2"/>
  <c r="AO1144" i="2"/>
  <c r="R1144" i="2"/>
  <c r="AW1143" i="2"/>
  <c r="AU1143" i="2"/>
  <c r="AT1143" i="2"/>
  <c r="AR1143" i="2"/>
  <c r="AQ1143" i="2"/>
  <c r="AO1143" i="2"/>
  <c r="T1143" i="2"/>
  <c r="I1143" i="2"/>
  <c r="AP1143" i="2"/>
  <c r="R1143" i="2"/>
  <c r="AW1142" i="2"/>
  <c r="AU1142" i="2"/>
  <c r="AT1142" i="2"/>
  <c r="AR1142" i="2"/>
  <c r="AQ1142" i="2"/>
  <c r="AO1142" i="2"/>
  <c r="T1142" i="2"/>
  <c r="I1142" i="2"/>
  <c r="AP1142" i="2"/>
  <c r="R1142" i="2"/>
  <c r="AW1141" i="2"/>
  <c r="AU1141" i="2"/>
  <c r="AT1141" i="2"/>
  <c r="AR1141" i="2"/>
  <c r="AQ1141" i="2"/>
  <c r="AO1141" i="2"/>
  <c r="T1141" i="2"/>
  <c r="R1141" i="2"/>
  <c r="I1141" i="2"/>
  <c r="AW1140" i="2"/>
  <c r="AU1140" i="2"/>
  <c r="AT1140" i="2"/>
  <c r="AR1140" i="2"/>
  <c r="AQ1140" i="2"/>
  <c r="AQ1139" i="2"/>
  <c r="AQ1150" i="2"/>
  <c r="AP1140" i="2"/>
  <c r="AO1140" i="2"/>
  <c r="T1140" i="2"/>
  <c r="R1140" i="2"/>
  <c r="AW1139" i="2"/>
  <c r="AU1139" i="2"/>
  <c r="AU1150" i="2"/>
  <c r="AT1139" i="2"/>
  <c r="AR1139" i="2"/>
  <c r="AP1139" i="2"/>
  <c r="AO1139" i="2"/>
  <c r="T1139" i="2"/>
  <c r="R1139" i="2"/>
  <c r="G1134" i="2"/>
  <c r="AX1134" i="2"/>
  <c r="AU1134" i="2"/>
  <c r="T1134" i="2"/>
  <c r="I1134" i="2"/>
  <c r="AP1134" i="2"/>
  <c r="AO1134" i="2"/>
  <c r="AA1134" i="2"/>
  <c r="Z1134" i="2"/>
  <c r="Y1134" i="2"/>
  <c r="X1134" i="2"/>
  <c r="U1134" i="2"/>
  <c r="M1134" i="2"/>
  <c r="L1134" i="2"/>
  <c r="AS1134" i="2"/>
  <c r="J1134" i="2"/>
  <c r="AW1134" i="2"/>
  <c r="G1133" i="2"/>
  <c r="AH1133" i="2"/>
  <c r="AA1133" i="2"/>
  <c r="Z1133" i="2"/>
  <c r="Y1133" i="2"/>
  <c r="X1133" i="2"/>
  <c r="U1133" i="2"/>
  <c r="T1133" i="2"/>
  <c r="L1133" i="2"/>
  <c r="AS1133" i="2"/>
  <c r="J1133" i="2"/>
  <c r="AQ1133" i="2"/>
  <c r="I1133" i="2"/>
  <c r="AV1133" i="2"/>
  <c r="G1132" i="2"/>
  <c r="AO1132" i="2"/>
  <c r="AA1132" i="2"/>
  <c r="Z1132" i="2"/>
  <c r="Y1132" i="2"/>
  <c r="X1132" i="2"/>
  <c r="U1132" i="2"/>
  <c r="T1132" i="2"/>
  <c r="G1131" i="2"/>
  <c r="AX1131" i="2"/>
  <c r="AW1131" i="2"/>
  <c r="AV1131" i="2"/>
  <c r="AU1131" i="2"/>
  <c r="AR1131" i="2"/>
  <c r="U1131" i="2"/>
  <c r="J1131" i="2"/>
  <c r="AQ1131" i="2"/>
  <c r="T1131" i="2"/>
  <c r="I1131" i="2"/>
  <c r="AP1131" i="2"/>
  <c r="AO1131" i="2"/>
  <c r="AH1131" i="2"/>
  <c r="AA1131" i="2"/>
  <c r="Z1131" i="2"/>
  <c r="Y1131" i="2"/>
  <c r="X1131" i="2"/>
  <c r="M1131" i="2"/>
  <c r="AT1131" i="2"/>
  <c r="L1131" i="2"/>
  <c r="AS1131" i="2"/>
  <c r="G1130" i="2"/>
  <c r="AX1130" i="2"/>
  <c r="AU1130" i="2"/>
  <c r="T1130" i="2"/>
  <c r="I1130" i="2"/>
  <c r="AP1130" i="2"/>
  <c r="AO1130" i="2"/>
  <c r="AA1130" i="2"/>
  <c r="Z1130" i="2"/>
  <c r="Y1130" i="2"/>
  <c r="X1130" i="2"/>
  <c r="U1130" i="2"/>
  <c r="M1130" i="2"/>
  <c r="L1130" i="2"/>
  <c r="AS1130" i="2"/>
  <c r="J1130" i="2"/>
  <c r="AW1130" i="2"/>
  <c r="G1129" i="2"/>
  <c r="U1129" i="2"/>
  <c r="J1129" i="2"/>
  <c r="AQ1129" i="2"/>
  <c r="AH1129" i="2"/>
  <c r="AA1129" i="2"/>
  <c r="Z1129" i="2"/>
  <c r="Y1129" i="2"/>
  <c r="X1129" i="2"/>
  <c r="T1129" i="2"/>
  <c r="L1129" i="2"/>
  <c r="AS1129" i="2"/>
  <c r="I1129" i="2"/>
  <c r="AV1129" i="2"/>
  <c r="G1128" i="2"/>
  <c r="AO1128" i="2"/>
  <c r="AA1128" i="2"/>
  <c r="Z1128" i="2"/>
  <c r="Y1128" i="2"/>
  <c r="X1128" i="2"/>
  <c r="U1128" i="2"/>
  <c r="T1128" i="2"/>
  <c r="G1127" i="2"/>
  <c r="AX1127" i="2"/>
  <c r="AW1127" i="2"/>
  <c r="AV1127" i="2"/>
  <c r="AU1127" i="2"/>
  <c r="AR1127" i="2"/>
  <c r="U1127" i="2"/>
  <c r="J1127" i="2"/>
  <c r="AQ1127" i="2"/>
  <c r="T1127" i="2"/>
  <c r="I1127" i="2"/>
  <c r="AP1127" i="2"/>
  <c r="AO1127" i="2"/>
  <c r="AH1127" i="2"/>
  <c r="AA1127" i="2"/>
  <c r="Z1127" i="2"/>
  <c r="Y1127" i="2"/>
  <c r="X1127" i="2"/>
  <c r="M1127" i="2"/>
  <c r="AT1127" i="2"/>
  <c r="L1127" i="2"/>
  <c r="G1126" i="2"/>
  <c r="AX1126" i="2"/>
  <c r="AU1126" i="2"/>
  <c r="AA1126" i="2"/>
  <c r="M1126" i="2"/>
  <c r="AT1126" i="2"/>
  <c r="AO1126" i="2"/>
  <c r="AH1126" i="2"/>
  <c r="Z1126" i="2"/>
  <c r="Y1126" i="2"/>
  <c r="X1126" i="2"/>
  <c r="U1126" i="2"/>
  <c r="T1126" i="2"/>
  <c r="I1126" i="2"/>
  <c r="AP1126" i="2"/>
  <c r="J1126" i="2"/>
  <c r="AX1125" i="2"/>
  <c r="AW1125" i="2"/>
  <c r="AV1125" i="2"/>
  <c r="AU1125" i="2"/>
  <c r="AT1125" i="2"/>
  <c r="AS1125" i="2"/>
  <c r="AR1125" i="2"/>
  <c r="AQ1125" i="2"/>
  <c r="AP1125" i="2"/>
  <c r="AO1125" i="2"/>
  <c r="AH1125" i="2"/>
  <c r="Z1125" i="2"/>
  <c r="X1125" i="2"/>
  <c r="U1125" i="2"/>
  <c r="T1125" i="2"/>
  <c r="AX1124" i="2"/>
  <c r="AW1124" i="2"/>
  <c r="AV1124" i="2"/>
  <c r="AU1124" i="2"/>
  <c r="AT1124" i="2"/>
  <c r="AS1124" i="2"/>
  <c r="AR1124" i="2"/>
  <c r="AQ1124" i="2"/>
  <c r="AP1124" i="2"/>
  <c r="AO1124" i="2"/>
  <c r="AH1124" i="2"/>
  <c r="Z1124" i="2"/>
  <c r="X1124" i="2"/>
  <c r="U1124" i="2"/>
  <c r="T1124" i="2"/>
  <c r="AX1123" i="2"/>
  <c r="AW1123" i="2"/>
  <c r="AV1123" i="2"/>
  <c r="AU1123" i="2"/>
  <c r="AT1123" i="2"/>
  <c r="AS1123" i="2"/>
  <c r="AR1123" i="2"/>
  <c r="AQ1123" i="2"/>
  <c r="AP1123" i="2"/>
  <c r="AO1123" i="2"/>
  <c r="AH1123" i="2"/>
  <c r="Z1123" i="2"/>
  <c r="X1123" i="2"/>
  <c r="U1123" i="2"/>
  <c r="T1123" i="2"/>
  <c r="AX1122" i="2"/>
  <c r="AW1122" i="2"/>
  <c r="AV1122" i="2"/>
  <c r="AU1122" i="2"/>
  <c r="AT1122" i="2"/>
  <c r="AS1122" i="2"/>
  <c r="AR1122" i="2"/>
  <c r="AQ1122" i="2"/>
  <c r="AP1122" i="2"/>
  <c r="AO1122" i="2"/>
  <c r="AH1122" i="2"/>
  <c r="Z1122" i="2"/>
  <c r="X1122" i="2"/>
  <c r="U1122" i="2"/>
  <c r="T1122" i="2"/>
  <c r="AX1121" i="2"/>
  <c r="AW1121" i="2"/>
  <c r="AV1121" i="2"/>
  <c r="AU1121" i="2"/>
  <c r="AT1121" i="2"/>
  <c r="AS1121" i="2"/>
  <c r="AR1121" i="2"/>
  <c r="AQ1121" i="2"/>
  <c r="AP1121" i="2"/>
  <c r="AO1121" i="2"/>
  <c r="AH1121" i="2"/>
  <c r="Z1121" i="2"/>
  <c r="X1121" i="2"/>
  <c r="U1121" i="2"/>
  <c r="T1121" i="2"/>
  <c r="AX1120" i="2"/>
  <c r="AW1120" i="2"/>
  <c r="AV1120" i="2"/>
  <c r="AU1120" i="2"/>
  <c r="AT1120" i="2"/>
  <c r="AS1120" i="2"/>
  <c r="AR1120" i="2"/>
  <c r="AQ1120" i="2"/>
  <c r="AP1120" i="2"/>
  <c r="AH1120" i="2"/>
  <c r="Z1120" i="2"/>
  <c r="X1120" i="2"/>
  <c r="U1120" i="2"/>
  <c r="T1120" i="2"/>
  <c r="S1120" i="2"/>
  <c r="AX1119" i="2"/>
  <c r="AW1119" i="2"/>
  <c r="AV1119" i="2"/>
  <c r="AU1119" i="2"/>
  <c r="AT1119" i="2"/>
  <c r="AS1119" i="2"/>
  <c r="AR1119" i="2"/>
  <c r="AQ1119" i="2"/>
  <c r="AP1119" i="2"/>
  <c r="AH1119" i="2"/>
  <c r="Z1119" i="2"/>
  <c r="X1119" i="2"/>
  <c r="U1119" i="2"/>
  <c r="T1119" i="2"/>
  <c r="S1119" i="2"/>
  <c r="H1119" i="2"/>
  <c r="AO1119" i="2"/>
  <c r="R1119" i="2"/>
  <c r="AX1118" i="2"/>
  <c r="AW1118" i="2"/>
  <c r="AV1118" i="2"/>
  <c r="AU1118" i="2"/>
  <c r="AT1118" i="2"/>
  <c r="AS1118" i="2"/>
  <c r="AR1118" i="2"/>
  <c r="AQ1118" i="2"/>
  <c r="AP1118" i="2"/>
  <c r="AH1118" i="2"/>
  <c r="Z1118" i="2"/>
  <c r="X1118" i="2"/>
  <c r="U1118" i="2"/>
  <c r="T1118" i="2"/>
  <c r="S1118" i="2"/>
  <c r="H1118" i="2"/>
  <c r="AO1118" i="2"/>
  <c r="AX1117" i="2"/>
  <c r="AW1117" i="2"/>
  <c r="AV1117" i="2"/>
  <c r="AU1117" i="2"/>
  <c r="AT1117" i="2"/>
  <c r="AS1117" i="2"/>
  <c r="AR1117" i="2"/>
  <c r="AQ1117" i="2"/>
  <c r="AP1117" i="2"/>
  <c r="S1117" i="2"/>
  <c r="H1117" i="2"/>
  <c r="AO1117" i="2"/>
  <c r="AH1117" i="2"/>
  <c r="Z1117" i="2"/>
  <c r="X1117" i="2"/>
  <c r="U1117" i="2"/>
  <c r="T1117" i="2"/>
  <c r="R1117" i="2"/>
  <c r="AX1116" i="2"/>
  <c r="AW1116" i="2"/>
  <c r="AV1116" i="2"/>
  <c r="AU1116" i="2"/>
  <c r="AT1116" i="2"/>
  <c r="AS1116" i="2"/>
  <c r="AR1116" i="2"/>
  <c r="AQ1116" i="2"/>
  <c r="AP1116" i="2"/>
  <c r="AH1116" i="2"/>
  <c r="Z1116" i="2"/>
  <c r="X1116" i="2"/>
  <c r="U1116" i="2"/>
  <c r="T1116" i="2"/>
  <c r="S1116" i="2"/>
  <c r="R1116" i="2"/>
  <c r="H1116" i="2"/>
  <c r="AO1116" i="2"/>
  <c r="AX1115" i="2"/>
  <c r="AW1115" i="2"/>
  <c r="AV1115" i="2"/>
  <c r="AU1115" i="2"/>
  <c r="AT1115" i="2"/>
  <c r="AS1115" i="2"/>
  <c r="AR1115" i="2"/>
  <c r="AQ1115" i="2"/>
  <c r="AP1115" i="2"/>
  <c r="AH1115" i="2"/>
  <c r="Z1115" i="2"/>
  <c r="X1115" i="2"/>
  <c r="U1115" i="2"/>
  <c r="T1115" i="2"/>
  <c r="S1115" i="2"/>
  <c r="R1115" i="2"/>
  <c r="G1114" i="2"/>
  <c r="AR1114" i="2"/>
  <c r="AQ1114" i="2"/>
  <c r="AP1114" i="2"/>
  <c r="AA1114" i="2"/>
  <c r="Z1114" i="2"/>
  <c r="Y1114" i="2"/>
  <c r="X1114" i="2"/>
  <c r="U1114" i="2"/>
  <c r="T1114" i="2"/>
  <c r="S1114" i="2"/>
  <c r="H1114" i="2"/>
  <c r="AX1114" i="2"/>
  <c r="G1113" i="2"/>
  <c r="AP1113" i="2"/>
  <c r="AA1113" i="2"/>
  <c r="Z1113" i="2"/>
  <c r="Y1113" i="2"/>
  <c r="X1113" i="2"/>
  <c r="U1113" i="2"/>
  <c r="T1113" i="2"/>
  <c r="AA1112" i="2"/>
  <c r="Z1112" i="2"/>
  <c r="Y1112" i="2"/>
  <c r="X1112" i="2"/>
  <c r="U1112" i="2"/>
  <c r="T1112" i="2"/>
  <c r="G1112" i="2"/>
  <c r="AO1112" i="2"/>
  <c r="AA1111" i="2"/>
  <c r="Y1111" i="2"/>
  <c r="X1111" i="2"/>
  <c r="U1111" i="2"/>
  <c r="T1111" i="2"/>
  <c r="G1111" i="2"/>
  <c r="G1110" i="2"/>
  <c r="AO1110" i="2"/>
  <c r="AA1110" i="2"/>
  <c r="Z1110" i="2"/>
  <c r="Y1110" i="2"/>
  <c r="X1110" i="2"/>
  <c r="U1110" i="2"/>
  <c r="T1110" i="2"/>
  <c r="M1110" i="2"/>
  <c r="I1110" i="2"/>
  <c r="AP1110" i="2"/>
  <c r="AW1110" i="2"/>
  <c r="G1109" i="2"/>
  <c r="AX1109" i="2"/>
  <c r="AW1109" i="2"/>
  <c r="AV1109" i="2"/>
  <c r="AU1109" i="2"/>
  <c r="AR1109" i="2"/>
  <c r="U1109" i="2"/>
  <c r="J1109" i="2"/>
  <c r="AQ1109" i="2"/>
  <c r="AO1109" i="2"/>
  <c r="AH1109" i="2"/>
  <c r="AA1109" i="2"/>
  <c r="Z1109" i="2"/>
  <c r="Y1109" i="2"/>
  <c r="X1109" i="2"/>
  <c r="T1109" i="2"/>
  <c r="I1109" i="2"/>
  <c r="AP1109" i="2"/>
  <c r="M1109" i="2"/>
  <c r="AT1109" i="2"/>
  <c r="L1109" i="2"/>
  <c r="G1108" i="2"/>
  <c r="AW1108" i="2"/>
  <c r="AV1108" i="2"/>
  <c r="AU1108" i="2"/>
  <c r="AH1108" i="2"/>
  <c r="AA1108" i="2"/>
  <c r="Y1108" i="2"/>
  <c r="X1108" i="2"/>
  <c r="U1108" i="2"/>
  <c r="T1108" i="2"/>
  <c r="L1108" i="2"/>
  <c r="J1108" i="2"/>
  <c r="I1108" i="2"/>
  <c r="AS1108" i="2"/>
  <c r="G1107" i="2"/>
  <c r="AX1107" i="2"/>
  <c r="AV1107" i="2"/>
  <c r="Y1107" i="2"/>
  <c r="L1107" i="2"/>
  <c r="AS1107" i="2"/>
  <c r="AR1107" i="2"/>
  <c r="AH1107" i="2"/>
  <c r="AA1107" i="2"/>
  <c r="M1107" i="2"/>
  <c r="AT1107" i="2"/>
  <c r="X1107" i="2"/>
  <c r="U1107" i="2"/>
  <c r="T1107" i="2"/>
  <c r="AM1105" i="2"/>
  <c r="U1105" i="2"/>
  <c r="T1105" i="2"/>
  <c r="S1105" i="2"/>
  <c r="R1105" i="2"/>
  <c r="J1105" i="2"/>
  <c r="I1105" i="2"/>
  <c r="H1105" i="2"/>
  <c r="G1105" i="2"/>
  <c r="AM1104" i="2"/>
  <c r="U1104" i="2"/>
  <c r="T1104" i="2"/>
  <c r="S1104" i="2"/>
  <c r="R1104" i="2"/>
  <c r="J1104" i="2"/>
  <c r="I1104" i="2"/>
  <c r="H1104" i="2"/>
  <c r="G1104" i="2"/>
  <c r="AM1103" i="2"/>
  <c r="U1103" i="2"/>
  <c r="T1103" i="2"/>
  <c r="S1103" i="2"/>
  <c r="R1103" i="2"/>
  <c r="G1103" i="2"/>
  <c r="AX1102" i="2"/>
  <c r="AW1102" i="2"/>
  <c r="AV1102" i="2"/>
  <c r="AU1102" i="2"/>
  <c r="AT1102" i="2"/>
  <c r="AS1102" i="2"/>
  <c r="AR1102" i="2"/>
  <c r="AQ1102" i="2"/>
  <c r="AP1102" i="2"/>
  <c r="AO1102" i="2"/>
  <c r="AX1101" i="2"/>
  <c r="AW1101" i="2"/>
  <c r="AV1101" i="2"/>
  <c r="AU1101" i="2"/>
  <c r="AT1101" i="2"/>
  <c r="AS1101" i="2"/>
  <c r="AR1101" i="2"/>
  <c r="AQ1101" i="2"/>
  <c r="AP1101" i="2"/>
  <c r="AO1101" i="2"/>
  <c r="AX1100" i="2"/>
  <c r="AW1100" i="2"/>
  <c r="AV1100" i="2"/>
  <c r="AU1100" i="2"/>
  <c r="AT1100" i="2"/>
  <c r="AS1100" i="2"/>
  <c r="AR1100" i="2"/>
  <c r="AQ1100" i="2"/>
  <c r="AP1100" i="2"/>
  <c r="AO1100" i="2"/>
  <c r="AX1099" i="2"/>
  <c r="AW1099" i="2"/>
  <c r="AV1099" i="2"/>
  <c r="AU1099" i="2"/>
  <c r="AT1099" i="2"/>
  <c r="AS1099" i="2"/>
  <c r="AR1099" i="2"/>
  <c r="AQ1099" i="2"/>
  <c r="AP1099" i="2"/>
  <c r="AO1099" i="2"/>
  <c r="AX1098" i="2"/>
  <c r="AW1098" i="2"/>
  <c r="AV1098" i="2"/>
  <c r="AU1098" i="2"/>
  <c r="AT1098" i="2"/>
  <c r="AS1098" i="2"/>
  <c r="AR1098" i="2"/>
  <c r="AQ1098" i="2"/>
  <c r="AP1098" i="2"/>
  <c r="AO1098" i="2"/>
  <c r="AX1097" i="2"/>
  <c r="AW1097" i="2"/>
  <c r="AV1097" i="2"/>
  <c r="AU1097" i="2"/>
  <c r="AT1097" i="2"/>
  <c r="AS1097" i="2"/>
  <c r="AR1097" i="2"/>
  <c r="AQ1097" i="2"/>
  <c r="AP1097" i="2"/>
  <c r="AO1097" i="2"/>
  <c r="AX1096" i="2"/>
  <c r="AW1096" i="2"/>
  <c r="AV1096" i="2"/>
  <c r="AU1096" i="2"/>
  <c r="AT1096" i="2"/>
  <c r="AS1096" i="2"/>
  <c r="AR1096" i="2"/>
  <c r="AQ1096" i="2"/>
  <c r="AP1096" i="2"/>
  <c r="AO1096" i="2"/>
  <c r="AX1095" i="2"/>
  <c r="AW1095" i="2"/>
  <c r="AV1095" i="2"/>
  <c r="AU1095" i="2"/>
  <c r="AT1095" i="2"/>
  <c r="AS1095" i="2"/>
  <c r="AR1095" i="2"/>
  <c r="AQ1095" i="2"/>
  <c r="AP1095" i="2"/>
  <c r="AO1095" i="2"/>
  <c r="AX1094" i="2"/>
  <c r="AW1094" i="2"/>
  <c r="AV1094" i="2"/>
  <c r="AU1094" i="2"/>
  <c r="AT1094" i="2"/>
  <c r="AS1094" i="2"/>
  <c r="AR1094" i="2"/>
  <c r="AQ1094" i="2"/>
  <c r="AP1094" i="2"/>
  <c r="AO1094" i="2"/>
  <c r="AX1093" i="2"/>
  <c r="AW1093" i="2"/>
  <c r="AV1093" i="2"/>
  <c r="AU1093" i="2"/>
  <c r="AT1093" i="2"/>
  <c r="AS1093" i="2"/>
  <c r="AR1093" i="2"/>
  <c r="AQ1093" i="2"/>
  <c r="AP1093" i="2"/>
  <c r="AO1093" i="2"/>
  <c r="AX1092" i="2"/>
  <c r="AW1092" i="2"/>
  <c r="AV1092" i="2"/>
  <c r="AU1092" i="2"/>
  <c r="AT1092" i="2"/>
  <c r="AS1092" i="2"/>
  <c r="AR1092" i="2"/>
  <c r="AQ1092" i="2"/>
  <c r="AP1092" i="2"/>
  <c r="AO1092" i="2"/>
  <c r="AX1091" i="2"/>
  <c r="AW1091" i="2"/>
  <c r="AV1091" i="2"/>
  <c r="AU1091" i="2"/>
  <c r="AT1091" i="2"/>
  <c r="AS1091" i="2"/>
  <c r="AR1091" i="2"/>
  <c r="AQ1091" i="2"/>
  <c r="AP1091" i="2"/>
  <c r="AO1091" i="2"/>
  <c r="AX1090" i="2"/>
  <c r="AW1090" i="2"/>
  <c r="AV1090" i="2"/>
  <c r="AU1090" i="2"/>
  <c r="AT1090" i="2"/>
  <c r="AS1090" i="2"/>
  <c r="AR1090" i="2"/>
  <c r="AQ1090" i="2"/>
  <c r="AP1090" i="2"/>
  <c r="AO1090" i="2"/>
  <c r="AX1089" i="2"/>
  <c r="AW1089" i="2"/>
  <c r="AV1089" i="2"/>
  <c r="AU1089" i="2"/>
  <c r="AT1089" i="2"/>
  <c r="AS1089" i="2"/>
  <c r="AR1089" i="2"/>
  <c r="AQ1089" i="2"/>
  <c r="AP1089" i="2"/>
  <c r="AO1089" i="2"/>
  <c r="AX1088" i="2"/>
  <c r="AW1088" i="2"/>
  <c r="AV1088" i="2"/>
  <c r="AU1088" i="2"/>
  <c r="AT1088" i="2"/>
  <c r="AS1088" i="2"/>
  <c r="AR1088" i="2"/>
  <c r="AQ1088" i="2"/>
  <c r="AP1088" i="2"/>
  <c r="AO1088" i="2"/>
  <c r="AX1087" i="2"/>
  <c r="AW1087" i="2"/>
  <c r="AV1087" i="2"/>
  <c r="AU1087" i="2"/>
  <c r="AT1087" i="2"/>
  <c r="AS1087" i="2"/>
  <c r="AR1087" i="2"/>
  <c r="AQ1087" i="2"/>
  <c r="AP1087" i="2"/>
  <c r="AO1087" i="2"/>
  <c r="AX1086" i="2"/>
  <c r="AW1086" i="2"/>
  <c r="AV1086" i="2"/>
  <c r="AU1086" i="2"/>
  <c r="AT1086" i="2"/>
  <c r="AS1086" i="2"/>
  <c r="AR1086" i="2"/>
  <c r="AQ1086" i="2"/>
  <c r="AP1086" i="2"/>
  <c r="AO1086" i="2"/>
  <c r="AX1085" i="2"/>
  <c r="AW1085" i="2"/>
  <c r="AV1085" i="2"/>
  <c r="AU1085" i="2"/>
  <c r="AT1085" i="2"/>
  <c r="AS1085" i="2"/>
  <c r="AR1085" i="2"/>
  <c r="AQ1085" i="2"/>
  <c r="AP1085" i="2"/>
  <c r="AO1085" i="2"/>
  <c r="AX1084" i="2"/>
  <c r="AW1084" i="2"/>
  <c r="AV1084" i="2"/>
  <c r="AU1084" i="2"/>
  <c r="AT1084" i="2"/>
  <c r="AS1084" i="2"/>
  <c r="AR1084" i="2"/>
  <c r="AQ1084" i="2"/>
  <c r="AP1084" i="2"/>
  <c r="AO1084" i="2"/>
  <c r="AX1083" i="2"/>
  <c r="AW1083" i="2"/>
  <c r="AV1083" i="2"/>
  <c r="AU1083" i="2"/>
  <c r="AT1083" i="2"/>
  <c r="AS1083" i="2"/>
  <c r="AR1083" i="2"/>
  <c r="AQ1083" i="2"/>
  <c r="AP1083" i="2"/>
  <c r="AO1083" i="2"/>
  <c r="AX1082" i="2"/>
  <c r="AW1082" i="2"/>
  <c r="AV1082" i="2"/>
  <c r="AU1082" i="2"/>
  <c r="AT1082" i="2"/>
  <c r="AS1082" i="2"/>
  <c r="AR1082" i="2"/>
  <c r="AQ1082" i="2"/>
  <c r="AP1082" i="2"/>
  <c r="AO1082" i="2"/>
  <c r="AX1081" i="2"/>
  <c r="AW1081" i="2"/>
  <c r="AV1081" i="2"/>
  <c r="AU1081" i="2"/>
  <c r="AT1081" i="2"/>
  <c r="AS1081" i="2"/>
  <c r="AR1081" i="2"/>
  <c r="AQ1081" i="2"/>
  <c r="AP1081" i="2"/>
  <c r="AO1081" i="2"/>
  <c r="AX1080" i="2"/>
  <c r="AW1080" i="2"/>
  <c r="AV1080" i="2"/>
  <c r="AU1080" i="2"/>
  <c r="AT1080" i="2"/>
  <c r="AS1080" i="2"/>
  <c r="AR1080" i="2"/>
  <c r="AQ1080" i="2"/>
  <c r="AP1080" i="2"/>
  <c r="AO1080" i="2"/>
  <c r="AX1079" i="2"/>
  <c r="AW1079" i="2"/>
  <c r="AV1079" i="2"/>
  <c r="AU1079" i="2"/>
  <c r="AT1079" i="2"/>
  <c r="AS1079" i="2"/>
  <c r="AR1079" i="2"/>
  <c r="AQ1079" i="2"/>
  <c r="AP1079" i="2"/>
  <c r="AO1079" i="2"/>
  <c r="AX1078" i="2"/>
  <c r="AW1078" i="2"/>
  <c r="AV1078" i="2"/>
  <c r="AU1078" i="2"/>
  <c r="AT1078" i="2"/>
  <c r="AS1078" i="2"/>
  <c r="AR1078" i="2"/>
  <c r="AQ1078" i="2"/>
  <c r="AP1078" i="2"/>
  <c r="AO1078" i="2"/>
  <c r="AX1077" i="2"/>
  <c r="AW1077" i="2"/>
  <c r="AV1077" i="2"/>
  <c r="AU1077" i="2"/>
  <c r="AT1077" i="2"/>
  <c r="AS1077" i="2"/>
  <c r="AR1077" i="2"/>
  <c r="AQ1077" i="2"/>
  <c r="AP1077" i="2"/>
  <c r="AO1077" i="2"/>
  <c r="AX1076" i="2"/>
  <c r="AW1076" i="2"/>
  <c r="AV1076" i="2"/>
  <c r="AU1076" i="2"/>
  <c r="AT1076" i="2"/>
  <c r="AS1076" i="2"/>
  <c r="AR1076" i="2"/>
  <c r="AQ1076" i="2"/>
  <c r="AP1076" i="2"/>
  <c r="AO1076" i="2"/>
  <c r="AX1075" i="2"/>
  <c r="AW1075" i="2"/>
  <c r="AV1075" i="2"/>
  <c r="AU1075" i="2"/>
  <c r="AT1075" i="2"/>
  <c r="AS1075" i="2"/>
  <c r="AR1075" i="2"/>
  <c r="AQ1075" i="2"/>
  <c r="AP1075" i="2"/>
  <c r="AO1075" i="2"/>
  <c r="AX1074" i="2"/>
  <c r="AW1074" i="2"/>
  <c r="AV1074" i="2"/>
  <c r="AU1074" i="2"/>
  <c r="AT1074" i="2"/>
  <c r="AS1074" i="2"/>
  <c r="AR1074" i="2"/>
  <c r="AQ1074" i="2"/>
  <c r="AP1074" i="2"/>
  <c r="AO1074" i="2"/>
  <c r="AX1073" i="2"/>
  <c r="AW1073" i="2"/>
  <c r="AV1073" i="2"/>
  <c r="AU1073" i="2"/>
  <c r="AT1073" i="2"/>
  <c r="AS1073" i="2"/>
  <c r="AR1073" i="2"/>
  <c r="AQ1073" i="2"/>
  <c r="AP1073" i="2"/>
  <c r="AO1073" i="2"/>
  <c r="AX1072" i="2"/>
  <c r="AW1072" i="2"/>
  <c r="AV1072" i="2"/>
  <c r="AU1072" i="2"/>
  <c r="AT1072" i="2"/>
  <c r="AS1072" i="2"/>
  <c r="AR1072" i="2"/>
  <c r="AQ1072" i="2"/>
  <c r="AP1072" i="2"/>
  <c r="AO1072" i="2"/>
  <c r="AX1071" i="2"/>
  <c r="AW1071" i="2"/>
  <c r="AV1071" i="2"/>
  <c r="AU1071" i="2"/>
  <c r="AT1071" i="2"/>
  <c r="AS1071" i="2"/>
  <c r="AR1071" i="2"/>
  <c r="AQ1071" i="2"/>
  <c r="AP1071" i="2"/>
  <c r="AO1071" i="2"/>
  <c r="AX1070" i="2"/>
  <c r="AW1070" i="2"/>
  <c r="AV1070" i="2"/>
  <c r="AU1070" i="2"/>
  <c r="AT1070" i="2"/>
  <c r="AS1070" i="2"/>
  <c r="AR1070" i="2"/>
  <c r="AQ1070" i="2"/>
  <c r="AP1070" i="2"/>
  <c r="AO1070" i="2"/>
  <c r="AX1069" i="2"/>
  <c r="AW1069" i="2"/>
  <c r="AV1069" i="2"/>
  <c r="AU1069" i="2"/>
  <c r="AT1069" i="2"/>
  <c r="AS1069" i="2"/>
  <c r="AR1069" i="2"/>
  <c r="AQ1069" i="2"/>
  <c r="AP1069" i="2"/>
  <c r="AO1069" i="2"/>
  <c r="AX1068" i="2"/>
  <c r="AW1068" i="2"/>
  <c r="AV1068" i="2"/>
  <c r="AU1068" i="2"/>
  <c r="AT1068" i="2"/>
  <c r="AS1068" i="2"/>
  <c r="AR1068" i="2"/>
  <c r="AQ1068" i="2"/>
  <c r="AP1068" i="2"/>
  <c r="AO1068" i="2"/>
  <c r="AX1067" i="2"/>
  <c r="AW1067" i="2"/>
  <c r="AV1067" i="2"/>
  <c r="AU1067" i="2"/>
  <c r="AT1067" i="2"/>
  <c r="AS1067" i="2"/>
  <c r="AR1067" i="2"/>
  <c r="AQ1067" i="2"/>
  <c r="AP1067" i="2"/>
  <c r="AO1067" i="2"/>
  <c r="AX1066" i="2"/>
  <c r="AW1066" i="2"/>
  <c r="AV1066" i="2"/>
  <c r="AU1066" i="2"/>
  <c r="AT1066" i="2"/>
  <c r="AS1066" i="2"/>
  <c r="AR1066" i="2"/>
  <c r="AQ1066" i="2"/>
  <c r="AP1066" i="2"/>
  <c r="AO1066" i="2"/>
  <c r="AX1065" i="2"/>
  <c r="AW1065" i="2"/>
  <c r="AV1065" i="2"/>
  <c r="AU1065" i="2"/>
  <c r="AT1065" i="2"/>
  <c r="AS1065" i="2"/>
  <c r="AR1065" i="2"/>
  <c r="AQ1065" i="2"/>
  <c r="AP1065" i="2"/>
  <c r="AO1065" i="2"/>
  <c r="AX1064" i="2"/>
  <c r="AW1064" i="2"/>
  <c r="AV1064" i="2"/>
  <c r="AU1064" i="2"/>
  <c r="AT1064" i="2"/>
  <c r="AS1064" i="2"/>
  <c r="AR1064" i="2"/>
  <c r="AQ1064" i="2"/>
  <c r="AP1064" i="2"/>
  <c r="AO1064" i="2"/>
  <c r="AX1063" i="2"/>
  <c r="AW1063" i="2"/>
  <c r="AV1063" i="2"/>
  <c r="AU1063" i="2"/>
  <c r="AT1063" i="2"/>
  <c r="AS1063" i="2"/>
  <c r="AR1063" i="2"/>
  <c r="AQ1063" i="2"/>
  <c r="AP1063" i="2"/>
  <c r="AO1063" i="2"/>
  <c r="AX1062" i="2"/>
  <c r="AW1062" i="2"/>
  <c r="AV1062" i="2"/>
  <c r="AU1062" i="2"/>
  <c r="AT1062" i="2"/>
  <c r="AS1062" i="2"/>
  <c r="AR1062" i="2"/>
  <c r="AQ1062" i="2"/>
  <c r="AP1062" i="2"/>
  <c r="AO1062" i="2"/>
  <c r="AX1061" i="2"/>
  <c r="AW1061" i="2"/>
  <c r="AV1061" i="2"/>
  <c r="AU1061" i="2"/>
  <c r="AT1061" i="2"/>
  <c r="AS1061" i="2"/>
  <c r="AR1061" i="2"/>
  <c r="AQ1061" i="2"/>
  <c r="AP1061" i="2"/>
  <c r="AO1061" i="2"/>
  <c r="AX1060" i="2"/>
  <c r="AW1060" i="2"/>
  <c r="AV1060" i="2"/>
  <c r="AU1060" i="2"/>
  <c r="AT1060" i="2"/>
  <c r="AS1060" i="2"/>
  <c r="AR1060" i="2"/>
  <c r="AQ1060" i="2"/>
  <c r="AP1060" i="2"/>
  <c r="AO1060" i="2"/>
  <c r="AX1059" i="2"/>
  <c r="AW1059" i="2"/>
  <c r="AV1059" i="2"/>
  <c r="AU1059" i="2"/>
  <c r="AT1059" i="2"/>
  <c r="AS1059" i="2"/>
  <c r="AR1059" i="2"/>
  <c r="AQ1059" i="2"/>
  <c r="AP1059" i="2"/>
  <c r="AO1059" i="2"/>
  <c r="AX1058" i="2"/>
  <c r="AW1058" i="2"/>
  <c r="AV1058" i="2"/>
  <c r="AU1058" i="2"/>
  <c r="AT1058" i="2"/>
  <c r="AS1058" i="2"/>
  <c r="AR1058" i="2"/>
  <c r="AR1103" i="2"/>
  <c r="AQ1058" i="2"/>
  <c r="AQ1103" i="2"/>
  <c r="AP1058" i="2"/>
  <c r="AO1058" i="2"/>
  <c r="G1039" i="2"/>
  <c r="G1040" i="2"/>
  <c r="G1041" i="2"/>
  <c r="G1042" i="2"/>
  <c r="G1043" i="2"/>
  <c r="G1044" i="2"/>
  <c r="G1045" i="2"/>
  <c r="G1046" i="2"/>
  <c r="G1047" i="2"/>
  <c r="G1048" i="2"/>
  <c r="G1049" i="2"/>
  <c r="G1055" i="2"/>
  <c r="G1054" i="2"/>
  <c r="AX1053" i="2"/>
  <c r="AW1053" i="2"/>
  <c r="AV1053" i="2"/>
  <c r="AU1053" i="2"/>
  <c r="AT1053" i="2"/>
  <c r="AS1053" i="2"/>
  <c r="AR1053" i="2"/>
  <c r="AQ1053" i="2"/>
  <c r="AP1053" i="2"/>
  <c r="AO1053" i="2"/>
  <c r="AM1053" i="2"/>
  <c r="T1053" i="2"/>
  <c r="AX1052" i="2"/>
  <c r="AW1052" i="2"/>
  <c r="AV1052" i="2"/>
  <c r="AU1052" i="2"/>
  <c r="AT1052" i="2"/>
  <c r="AS1052" i="2"/>
  <c r="AR1052" i="2"/>
  <c r="AQ1052" i="2"/>
  <c r="AP1052" i="2"/>
  <c r="AO1052" i="2"/>
  <c r="AM1052" i="2"/>
  <c r="T1052" i="2"/>
  <c r="AX1051" i="2"/>
  <c r="AW1051" i="2"/>
  <c r="AV1051" i="2"/>
  <c r="AU1051" i="2"/>
  <c r="AT1051" i="2"/>
  <c r="AS1051" i="2"/>
  <c r="AR1051" i="2"/>
  <c r="AQ1051" i="2"/>
  <c r="AP1051" i="2"/>
  <c r="AO1051" i="2"/>
  <c r="AM1051" i="2"/>
  <c r="T1051" i="2"/>
  <c r="AX1050" i="2"/>
  <c r="AW1050" i="2"/>
  <c r="AV1050" i="2"/>
  <c r="AU1050" i="2"/>
  <c r="AT1050" i="2"/>
  <c r="AS1050" i="2"/>
  <c r="AR1050" i="2"/>
  <c r="AQ1050" i="2"/>
  <c r="AP1050" i="2"/>
  <c r="AO1050" i="2"/>
  <c r="AM1050" i="2"/>
  <c r="T1050" i="2"/>
  <c r="AX1049" i="2"/>
  <c r="AV1049" i="2"/>
  <c r="AR1049" i="2"/>
  <c r="I1049" i="2"/>
  <c r="AP1049" i="2"/>
  <c r="AO1049" i="2"/>
  <c r="AM1049" i="2"/>
  <c r="T1049" i="2"/>
  <c r="AQ1049" i="2"/>
  <c r="AX1048" i="2"/>
  <c r="AW1048" i="2"/>
  <c r="AV1048" i="2"/>
  <c r="AU1048" i="2"/>
  <c r="AT1048" i="2"/>
  <c r="AR1048" i="2"/>
  <c r="AQ1048" i="2"/>
  <c r="AO1048" i="2"/>
  <c r="AM1048" i="2"/>
  <c r="T1048" i="2"/>
  <c r="I1048" i="2"/>
  <c r="AP1048" i="2"/>
  <c r="AS1048" i="2"/>
  <c r="AW1047" i="2"/>
  <c r="AV1047" i="2"/>
  <c r="AT1047" i="2"/>
  <c r="AR1047" i="2"/>
  <c r="AO1047" i="2"/>
  <c r="AM1047" i="2"/>
  <c r="T1047" i="2"/>
  <c r="I1047" i="2"/>
  <c r="AS1047" i="2"/>
  <c r="AX1046" i="2"/>
  <c r="AS1046" i="2"/>
  <c r="AR1046" i="2"/>
  <c r="AQ1046" i="2"/>
  <c r="I1046" i="2"/>
  <c r="AP1046" i="2"/>
  <c r="AM1046" i="2"/>
  <c r="T1046" i="2"/>
  <c r="AX1045" i="2"/>
  <c r="AW1045" i="2"/>
  <c r="AV1045" i="2"/>
  <c r="AQ1045" i="2"/>
  <c r="AM1045" i="2"/>
  <c r="T1045" i="2"/>
  <c r="I1045" i="2"/>
  <c r="AR1045" i="2"/>
  <c r="AW1044" i="2"/>
  <c r="AV1044" i="2"/>
  <c r="AU1044" i="2"/>
  <c r="AT1044" i="2"/>
  <c r="AR1044" i="2"/>
  <c r="AQ1044" i="2"/>
  <c r="I1044" i="2"/>
  <c r="AP1044" i="2"/>
  <c r="AO1044" i="2"/>
  <c r="AM1044" i="2"/>
  <c r="T1044" i="2"/>
  <c r="AS1044" i="2"/>
  <c r="E1044" i="2"/>
  <c r="AX1044" i="2"/>
  <c r="E1043" i="2"/>
  <c r="AX1043" i="2"/>
  <c r="AW1043" i="2"/>
  <c r="AV1043" i="2"/>
  <c r="AU1043" i="2"/>
  <c r="AS1043" i="2"/>
  <c r="AQ1043" i="2"/>
  <c r="I1043" i="2"/>
  <c r="AP1043" i="2"/>
  <c r="AO1043" i="2"/>
  <c r="AM1043" i="2"/>
  <c r="T1043" i="2"/>
  <c r="AR1043" i="2"/>
  <c r="E1042" i="2"/>
  <c r="AX1042" i="2"/>
  <c r="AW1042" i="2"/>
  <c r="AV1042" i="2"/>
  <c r="AU1042" i="2"/>
  <c r="AS1042" i="2"/>
  <c r="AO1042" i="2"/>
  <c r="AM1042" i="2"/>
  <c r="T1042" i="2"/>
  <c r="I1042" i="2"/>
  <c r="AP1042" i="2"/>
  <c r="AQ1042" i="2"/>
  <c r="AU1041" i="2"/>
  <c r="AS1041" i="2"/>
  <c r="AM1041" i="2"/>
  <c r="T1041" i="2"/>
  <c r="I1041" i="2"/>
  <c r="E1041" i="2"/>
  <c r="E1040" i="2"/>
  <c r="AX1040" i="2"/>
  <c r="AV1040" i="2"/>
  <c r="AU1040" i="2"/>
  <c r="AS1040" i="2"/>
  <c r="AR1040" i="2"/>
  <c r="AQ1040" i="2"/>
  <c r="I1040" i="2"/>
  <c r="AP1040" i="2"/>
  <c r="AM1040" i="2"/>
  <c r="T1040" i="2"/>
  <c r="E1039" i="2"/>
  <c r="AX1039" i="2"/>
  <c r="AW1039" i="2"/>
  <c r="AU1039" i="2"/>
  <c r="AT1039" i="2"/>
  <c r="AR1039" i="2"/>
  <c r="AO1039" i="2"/>
  <c r="AM1039" i="2"/>
  <c r="T1039" i="2"/>
  <c r="I1039" i="2"/>
  <c r="AQ1039" i="2"/>
  <c r="I1025" i="2"/>
  <c r="I1026" i="2"/>
  <c r="I1028" i="2"/>
  <c r="I1029" i="2"/>
  <c r="I1036" i="2"/>
  <c r="G1025" i="2"/>
  <c r="G1026" i="2"/>
  <c r="G1028" i="2"/>
  <c r="G1029" i="2"/>
  <c r="G1034" i="2"/>
  <c r="AX1033" i="2"/>
  <c r="AW1033" i="2"/>
  <c r="AV1033" i="2"/>
  <c r="AU1033" i="2"/>
  <c r="AT1033" i="2"/>
  <c r="AS1033" i="2"/>
  <c r="AR1033" i="2"/>
  <c r="AQ1033" i="2"/>
  <c r="AP1033" i="2"/>
  <c r="AO1033" i="2"/>
  <c r="AM1033" i="2"/>
  <c r="T1033" i="2"/>
  <c r="AX1032" i="2"/>
  <c r="AW1032" i="2"/>
  <c r="AV1032" i="2"/>
  <c r="AU1032" i="2"/>
  <c r="AT1032" i="2"/>
  <c r="AS1032" i="2"/>
  <c r="AR1032" i="2"/>
  <c r="AQ1032" i="2"/>
  <c r="AP1032" i="2"/>
  <c r="AO1032" i="2"/>
  <c r="AM1032" i="2"/>
  <c r="T1032" i="2"/>
  <c r="AX1031" i="2"/>
  <c r="AW1031" i="2"/>
  <c r="AV1031" i="2"/>
  <c r="AU1031" i="2"/>
  <c r="AT1031" i="2"/>
  <c r="AS1031" i="2"/>
  <c r="AR1031" i="2"/>
  <c r="AQ1031" i="2"/>
  <c r="AP1031" i="2"/>
  <c r="AO1031" i="2"/>
  <c r="AM1031" i="2"/>
  <c r="T1031" i="2"/>
  <c r="AX1030" i="2"/>
  <c r="AW1030" i="2"/>
  <c r="AV1030" i="2"/>
  <c r="AU1030" i="2"/>
  <c r="AT1030" i="2"/>
  <c r="AS1030" i="2"/>
  <c r="AR1030" i="2"/>
  <c r="AQ1030" i="2"/>
  <c r="AP1030" i="2"/>
  <c r="AO1030" i="2"/>
  <c r="AM1030" i="2"/>
  <c r="T1030" i="2"/>
  <c r="AX1029" i="2"/>
  <c r="AW1029" i="2"/>
  <c r="AU1029" i="2"/>
  <c r="AR1029" i="2"/>
  <c r="AQ1029" i="2"/>
  <c r="AP1029" i="2"/>
  <c r="AO1029" i="2"/>
  <c r="AM1029" i="2"/>
  <c r="T1029" i="2"/>
  <c r="AV1029" i="2"/>
  <c r="AX1028" i="2"/>
  <c r="AW1028" i="2"/>
  <c r="AV1028" i="2"/>
  <c r="AP1028" i="2"/>
  <c r="AO1028" i="2"/>
  <c r="AM1028" i="2"/>
  <c r="T1028" i="2"/>
  <c r="AU1028" i="2"/>
  <c r="AX1027" i="2"/>
  <c r="AW1027" i="2"/>
  <c r="AV1027" i="2"/>
  <c r="AU1027" i="2"/>
  <c r="AT1027" i="2"/>
  <c r="AS1027" i="2"/>
  <c r="AR1027" i="2"/>
  <c r="AQ1027" i="2"/>
  <c r="AP1027" i="2"/>
  <c r="AO1027" i="2"/>
  <c r="AM1027" i="2"/>
  <c r="AX1026" i="2"/>
  <c r="AW1026" i="2"/>
  <c r="AV1026" i="2"/>
  <c r="AU1026" i="2"/>
  <c r="AT1026" i="2"/>
  <c r="AR1026" i="2"/>
  <c r="AQ1026" i="2"/>
  <c r="AP1026" i="2"/>
  <c r="AO1026" i="2"/>
  <c r="AM1026" i="2"/>
  <c r="T1026" i="2"/>
  <c r="AS1026" i="2"/>
  <c r="AX1025" i="2"/>
  <c r="AW1025" i="2"/>
  <c r="AV1025" i="2"/>
  <c r="AV1034" i="2"/>
  <c r="AU1025" i="2"/>
  <c r="AT1025" i="2"/>
  <c r="AR1025" i="2"/>
  <c r="AO1025" i="2"/>
  <c r="AO1034" i="2"/>
  <c r="AM1025" i="2"/>
  <c r="T1025" i="2"/>
  <c r="I1035" i="2"/>
  <c r="AQ1025" i="2"/>
  <c r="AA1022" i="2"/>
  <c r="Y1022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1017" i="2"/>
  <c r="X1018" i="2"/>
  <c r="X1019" i="2"/>
  <c r="X1022" i="2"/>
  <c r="U1022" i="2"/>
  <c r="T1022" i="2"/>
  <c r="S1022" i="2"/>
  <c r="M1022" i="2"/>
  <c r="L1022" i="2"/>
  <c r="J1022" i="2"/>
  <c r="I1022" i="2"/>
  <c r="H1022" i="2"/>
  <c r="G1022" i="2"/>
  <c r="AA1021" i="2"/>
  <c r="Y1021" i="2"/>
  <c r="U1021" i="2"/>
  <c r="T1021" i="2"/>
  <c r="S1021" i="2"/>
  <c r="M1021" i="2"/>
  <c r="L1021" i="2"/>
  <c r="J1021" i="2"/>
  <c r="I1021" i="2"/>
  <c r="H1021" i="2"/>
  <c r="G1021" i="2"/>
  <c r="AO995" i="2"/>
  <c r="AO996" i="2"/>
  <c r="AO997" i="2"/>
  <c r="AO998" i="2"/>
  <c r="AO999" i="2"/>
  <c r="AO1000" i="2"/>
  <c r="AO1001" i="2"/>
  <c r="AO1002" i="2"/>
  <c r="AO1003" i="2"/>
  <c r="AO1004" i="2"/>
  <c r="AO1005" i="2"/>
  <c r="AO1006" i="2"/>
  <c r="AO1007" i="2"/>
  <c r="AO1008" i="2"/>
  <c r="AO1009" i="2"/>
  <c r="AO1010" i="2"/>
  <c r="AO1011" i="2"/>
  <c r="AO1012" i="2"/>
  <c r="AO1013" i="2"/>
  <c r="AO1014" i="2"/>
  <c r="AO1015" i="2"/>
  <c r="AO1016" i="2"/>
  <c r="AO1017" i="2"/>
  <c r="AO1018" i="2"/>
  <c r="AO1019" i="2"/>
  <c r="AO1020" i="2"/>
  <c r="G1020" i="2"/>
  <c r="H1020" i="2"/>
  <c r="AA1020" i="2"/>
  <c r="Y1020" i="2"/>
  <c r="U1020" i="2"/>
  <c r="T1020" i="2"/>
  <c r="S1020" i="2"/>
  <c r="AX1019" i="2"/>
  <c r="AW1019" i="2"/>
  <c r="AV1019" i="2"/>
  <c r="AU1019" i="2"/>
  <c r="AT1019" i="2"/>
  <c r="AS1019" i="2"/>
  <c r="AR1019" i="2"/>
  <c r="AQ1019" i="2"/>
  <c r="AP1019" i="2"/>
  <c r="Z1019" i="2"/>
  <c r="R1019" i="2"/>
  <c r="AX1018" i="2"/>
  <c r="AW1018" i="2"/>
  <c r="AV1018" i="2"/>
  <c r="AU1018" i="2"/>
  <c r="AT1018" i="2"/>
  <c r="AS1018" i="2"/>
  <c r="AR1018" i="2"/>
  <c r="AQ1018" i="2"/>
  <c r="AP1018" i="2"/>
  <c r="Z1018" i="2"/>
  <c r="R1018" i="2"/>
  <c r="AX1017" i="2"/>
  <c r="AW1017" i="2"/>
  <c r="AV1017" i="2"/>
  <c r="AU1017" i="2"/>
  <c r="AT1017" i="2"/>
  <c r="AS1017" i="2"/>
  <c r="AR1017" i="2"/>
  <c r="AQ1017" i="2"/>
  <c r="AP1017" i="2"/>
  <c r="Z1017" i="2"/>
  <c r="R1017" i="2"/>
  <c r="AX1016" i="2"/>
  <c r="AW1016" i="2"/>
  <c r="AV1016" i="2"/>
  <c r="AU1016" i="2"/>
  <c r="AT1016" i="2"/>
  <c r="AS1016" i="2"/>
  <c r="AR1016" i="2"/>
  <c r="AQ1016" i="2"/>
  <c r="AP1016" i="2"/>
  <c r="Z1016" i="2"/>
  <c r="R1016" i="2"/>
  <c r="AX1015" i="2"/>
  <c r="AW1015" i="2"/>
  <c r="AV1015" i="2"/>
  <c r="AU1015" i="2"/>
  <c r="AT1015" i="2"/>
  <c r="AS1015" i="2"/>
  <c r="AR1015" i="2"/>
  <c r="AQ1015" i="2"/>
  <c r="AP1015" i="2"/>
  <c r="Z1015" i="2"/>
  <c r="R1015" i="2"/>
  <c r="AX1014" i="2"/>
  <c r="AW1014" i="2"/>
  <c r="AV1014" i="2"/>
  <c r="AU1014" i="2"/>
  <c r="AT1014" i="2"/>
  <c r="AS1014" i="2"/>
  <c r="AR1014" i="2"/>
  <c r="AQ1014" i="2"/>
  <c r="AP1014" i="2"/>
  <c r="Z1014" i="2"/>
  <c r="R1014" i="2"/>
  <c r="AX1013" i="2"/>
  <c r="AW1013" i="2"/>
  <c r="AV1013" i="2"/>
  <c r="AU1013" i="2"/>
  <c r="AT1013" i="2"/>
  <c r="AS1013" i="2"/>
  <c r="AR1013" i="2"/>
  <c r="AQ1013" i="2"/>
  <c r="AP1013" i="2"/>
  <c r="Z1013" i="2"/>
  <c r="R1013" i="2"/>
  <c r="AX1012" i="2"/>
  <c r="AW1012" i="2"/>
  <c r="AV1012" i="2"/>
  <c r="AU1012" i="2"/>
  <c r="AT1012" i="2"/>
  <c r="AS1012" i="2"/>
  <c r="AR1012" i="2"/>
  <c r="AQ1012" i="2"/>
  <c r="AP1012" i="2"/>
  <c r="Z1012" i="2"/>
  <c r="R1012" i="2"/>
  <c r="AX1011" i="2"/>
  <c r="AW1011" i="2"/>
  <c r="AV1011" i="2"/>
  <c r="AU1011" i="2"/>
  <c r="AT1011" i="2"/>
  <c r="AS1011" i="2"/>
  <c r="AR1011" i="2"/>
  <c r="AQ1011" i="2"/>
  <c r="AP1011" i="2"/>
  <c r="Z1011" i="2"/>
  <c r="R1011" i="2"/>
  <c r="AX1010" i="2"/>
  <c r="AW1010" i="2"/>
  <c r="AV1010" i="2"/>
  <c r="AU1010" i="2"/>
  <c r="AT1010" i="2"/>
  <c r="AS1010" i="2"/>
  <c r="AR1010" i="2"/>
  <c r="AQ1010" i="2"/>
  <c r="AP1010" i="2"/>
  <c r="Z1010" i="2"/>
  <c r="R1010" i="2"/>
  <c r="AX1009" i="2"/>
  <c r="AW1009" i="2"/>
  <c r="AV1009" i="2"/>
  <c r="AU1009" i="2"/>
  <c r="AT1009" i="2"/>
  <c r="AS1009" i="2"/>
  <c r="AR1009" i="2"/>
  <c r="AQ1009" i="2"/>
  <c r="AP1009" i="2"/>
  <c r="Z1009" i="2"/>
  <c r="R1009" i="2"/>
  <c r="AX1008" i="2"/>
  <c r="AW1008" i="2"/>
  <c r="AV1008" i="2"/>
  <c r="AU1008" i="2"/>
  <c r="AT1008" i="2"/>
  <c r="AS1008" i="2"/>
  <c r="AR1008" i="2"/>
  <c r="AQ1008" i="2"/>
  <c r="AP1008" i="2"/>
  <c r="Z1008" i="2"/>
  <c r="R1008" i="2"/>
  <c r="AX1007" i="2"/>
  <c r="AW1007" i="2"/>
  <c r="AV1007" i="2"/>
  <c r="AU1007" i="2"/>
  <c r="AT1007" i="2"/>
  <c r="AS1007" i="2"/>
  <c r="AR1007" i="2"/>
  <c r="AQ1007" i="2"/>
  <c r="AP1007" i="2"/>
  <c r="Z1007" i="2"/>
  <c r="R1007" i="2"/>
  <c r="AX1006" i="2"/>
  <c r="AW1006" i="2"/>
  <c r="AV1006" i="2"/>
  <c r="AU1006" i="2"/>
  <c r="AT1006" i="2"/>
  <c r="AS1006" i="2"/>
  <c r="AR1006" i="2"/>
  <c r="AQ1006" i="2"/>
  <c r="AP1006" i="2"/>
  <c r="Z1006" i="2"/>
  <c r="R1006" i="2"/>
  <c r="AX1005" i="2"/>
  <c r="AW1005" i="2"/>
  <c r="AV1005" i="2"/>
  <c r="AU1005" i="2"/>
  <c r="AT1005" i="2"/>
  <c r="AS1005" i="2"/>
  <c r="AR1005" i="2"/>
  <c r="AQ1005" i="2"/>
  <c r="AP1005" i="2"/>
  <c r="Z1005" i="2"/>
  <c r="R1005" i="2"/>
  <c r="AX1004" i="2"/>
  <c r="AW1004" i="2"/>
  <c r="AV1004" i="2"/>
  <c r="AU1004" i="2"/>
  <c r="AT1004" i="2"/>
  <c r="AS1004" i="2"/>
  <c r="AR1004" i="2"/>
  <c r="AQ1004" i="2"/>
  <c r="AP1004" i="2"/>
  <c r="Z1004" i="2"/>
  <c r="R1004" i="2"/>
  <c r="AX1003" i="2"/>
  <c r="AW1003" i="2"/>
  <c r="AV1003" i="2"/>
  <c r="AU1003" i="2"/>
  <c r="AT1003" i="2"/>
  <c r="AS1003" i="2"/>
  <c r="AR1003" i="2"/>
  <c r="AQ1003" i="2"/>
  <c r="AP1003" i="2"/>
  <c r="Z1003" i="2"/>
  <c r="R1003" i="2"/>
  <c r="AX1002" i="2"/>
  <c r="AW1002" i="2"/>
  <c r="AV1002" i="2"/>
  <c r="AU1002" i="2"/>
  <c r="AT1002" i="2"/>
  <c r="AS1002" i="2"/>
  <c r="AR1002" i="2"/>
  <c r="AQ1002" i="2"/>
  <c r="AP1002" i="2"/>
  <c r="Z1002" i="2"/>
  <c r="R1002" i="2"/>
  <c r="AX1001" i="2"/>
  <c r="AW1001" i="2"/>
  <c r="AV1001" i="2"/>
  <c r="AU1001" i="2"/>
  <c r="AT1001" i="2"/>
  <c r="AS1001" i="2"/>
  <c r="AR1001" i="2"/>
  <c r="AQ1001" i="2"/>
  <c r="AP1001" i="2"/>
  <c r="Z1001" i="2"/>
  <c r="R1001" i="2"/>
  <c r="AX1000" i="2"/>
  <c r="AW1000" i="2"/>
  <c r="AV1000" i="2"/>
  <c r="AU1000" i="2"/>
  <c r="AT1000" i="2"/>
  <c r="AS1000" i="2"/>
  <c r="AR1000" i="2"/>
  <c r="AQ1000" i="2"/>
  <c r="AP1000" i="2"/>
  <c r="Z1000" i="2"/>
  <c r="R1000" i="2"/>
  <c r="AX999" i="2"/>
  <c r="AW999" i="2"/>
  <c r="AV999" i="2"/>
  <c r="AU999" i="2"/>
  <c r="AT999" i="2"/>
  <c r="AS999" i="2"/>
  <c r="AR999" i="2"/>
  <c r="AQ999" i="2"/>
  <c r="AP999" i="2"/>
  <c r="Z999" i="2"/>
  <c r="R999" i="2"/>
  <c r="AX998" i="2"/>
  <c r="AW998" i="2"/>
  <c r="AV998" i="2"/>
  <c r="AU998" i="2"/>
  <c r="AT998" i="2"/>
  <c r="AS998" i="2"/>
  <c r="AR998" i="2"/>
  <c r="AQ998" i="2"/>
  <c r="AP998" i="2"/>
  <c r="Z998" i="2"/>
  <c r="R998" i="2"/>
  <c r="AX997" i="2"/>
  <c r="AW997" i="2"/>
  <c r="AV997" i="2"/>
  <c r="AU997" i="2"/>
  <c r="AT997" i="2"/>
  <c r="AS997" i="2"/>
  <c r="AR997" i="2"/>
  <c r="AQ997" i="2"/>
  <c r="AP997" i="2"/>
  <c r="Z997" i="2"/>
  <c r="R997" i="2"/>
  <c r="AX996" i="2"/>
  <c r="AW996" i="2"/>
  <c r="AV996" i="2"/>
  <c r="AU996" i="2"/>
  <c r="AT996" i="2"/>
  <c r="AS996" i="2"/>
  <c r="AR996" i="2"/>
  <c r="AQ996" i="2"/>
  <c r="AP996" i="2"/>
  <c r="Z996" i="2"/>
  <c r="R996" i="2"/>
  <c r="R995" i="2"/>
  <c r="R1020" i="2"/>
  <c r="AX995" i="2"/>
  <c r="AX1020" i="2"/>
  <c r="AW995" i="2"/>
  <c r="AW1020" i="2"/>
  <c r="AV995" i="2"/>
  <c r="AU995" i="2"/>
  <c r="AT995" i="2"/>
  <c r="AS995" i="2"/>
  <c r="AR995" i="2"/>
  <c r="AQ995" i="2"/>
  <c r="AQ1020" i="2"/>
  <c r="J1020" i="2"/>
  <c r="AP995" i="2"/>
  <c r="AP1020" i="2"/>
  <c r="I1020" i="2"/>
  <c r="Z995" i="2"/>
  <c r="AM993" i="2"/>
  <c r="AI993" i="2"/>
  <c r="S993" i="2"/>
  <c r="H993" i="2"/>
  <c r="G993" i="2"/>
  <c r="AM992" i="2"/>
  <c r="AI992" i="2"/>
  <c r="S992" i="2"/>
  <c r="H992" i="2"/>
  <c r="G992" i="2"/>
  <c r="AR983" i="2"/>
  <c r="AR984" i="2"/>
  <c r="AR985" i="2"/>
  <c r="AR986" i="2"/>
  <c r="AR987" i="2"/>
  <c r="AR988" i="2"/>
  <c r="AR989" i="2"/>
  <c r="AR990" i="2"/>
  <c r="AR991" i="2"/>
  <c r="AM991" i="2"/>
  <c r="AI991" i="2"/>
  <c r="S991" i="2"/>
  <c r="G991" i="2"/>
  <c r="AX990" i="2"/>
  <c r="AX983" i="2"/>
  <c r="AX984" i="2"/>
  <c r="AX985" i="2"/>
  <c r="AX986" i="2"/>
  <c r="AX987" i="2"/>
  <c r="AX988" i="2"/>
  <c r="AX989" i="2"/>
  <c r="AX991" i="2"/>
  <c r="AW990" i="2"/>
  <c r="AW983" i="2"/>
  <c r="AW984" i="2"/>
  <c r="AW985" i="2"/>
  <c r="AW986" i="2"/>
  <c r="AW987" i="2"/>
  <c r="AW988" i="2"/>
  <c r="AW989" i="2"/>
  <c r="AW991" i="2"/>
  <c r="AV990" i="2"/>
  <c r="AU990" i="2"/>
  <c r="AT990" i="2"/>
  <c r="AS990" i="2"/>
  <c r="AQ990" i="2"/>
  <c r="AP990" i="2"/>
  <c r="AP983" i="2"/>
  <c r="AP984" i="2"/>
  <c r="AP985" i="2"/>
  <c r="AP986" i="2"/>
  <c r="AP987" i="2"/>
  <c r="AP988" i="2"/>
  <c r="AP989" i="2"/>
  <c r="AP991" i="2"/>
  <c r="AO990" i="2"/>
  <c r="AO983" i="2"/>
  <c r="AO984" i="2"/>
  <c r="AO985" i="2"/>
  <c r="AO986" i="2"/>
  <c r="AO987" i="2"/>
  <c r="AO988" i="2"/>
  <c r="AO989" i="2"/>
  <c r="AO991" i="2"/>
  <c r="H991" i="2"/>
  <c r="R990" i="2"/>
  <c r="AV989" i="2"/>
  <c r="AU989" i="2"/>
  <c r="AT989" i="2"/>
  <c r="AS989" i="2"/>
  <c r="AQ989" i="2"/>
  <c r="R989" i="2"/>
  <c r="AV988" i="2"/>
  <c r="AU988" i="2"/>
  <c r="AT988" i="2"/>
  <c r="AS988" i="2"/>
  <c r="AQ988" i="2"/>
  <c r="R988" i="2"/>
  <c r="AV987" i="2"/>
  <c r="AU987" i="2"/>
  <c r="AT987" i="2"/>
  <c r="AS987" i="2"/>
  <c r="AQ987" i="2"/>
  <c r="R987" i="2"/>
  <c r="AV986" i="2"/>
  <c r="AU986" i="2"/>
  <c r="AT986" i="2"/>
  <c r="AS986" i="2"/>
  <c r="AQ986" i="2"/>
  <c r="R986" i="2"/>
  <c r="AV985" i="2"/>
  <c r="AU985" i="2"/>
  <c r="AT985" i="2"/>
  <c r="AS985" i="2"/>
  <c r="AQ985" i="2"/>
  <c r="R985" i="2"/>
  <c r="AV984" i="2"/>
  <c r="AU984" i="2"/>
  <c r="AT984" i="2"/>
  <c r="AS984" i="2"/>
  <c r="AQ984" i="2"/>
  <c r="R984" i="2"/>
  <c r="AV983" i="2"/>
  <c r="AU983" i="2"/>
  <c r="AT983" i="2"/>
  <c r="AS983" i="2"/>
  <c r="AQ983" i="2"/>
  <c r="R983" i="2"/>
  <c r="T977" i="2"/>
  <c r="T978" i="2"/>
  <c r="T981" i="2"/>
  <c r="T980" i="2"/>
  <c r="T979" i="2"/>
  <c r="G978" i="2"/>
  <c r="AU978" i="2"/>
  <c r="AS978" i="2"/>
  <c r="G977" i="2"/>
  <c r="AS977" i="2"/>
  <c r="AS979" i="2"/>
  <c r="I978" i="2"/>
  <c r="AR978" i="2"/>
  <c r="AX977" i="2"/>
  <c r="AW977" i="2"/>
  <c r="AV977" i="2"/>
  <c r="AU977" i="2"/>
  <c r="AU979" i="2"/>
  <c r="AR977" i="2"/>
  <c r="AR979" i="2"/>
  <c r="AQ977" i="2"/>
  <c r="I977" i="2"/>
  <c r="AP977" i="2"/>
  <c r="AO977" i="2"/>
  <c r="AT977" i="2"/>
  <c r="AM974" i="2"/>
  <c r="AL974" i="2"/>
  <c r="AJ974" i="2"/>
  <c r="AI974" i="2"/>
  <c r="U974" i="2"/>
  <c r="T974" i="2"/>
  <c r="S974" i="2"/>
  <c r="J974" i="2"/>
  <c r="I974" i="2"/>
  <c r="H974" i="2"/>
  <c r="G974" i="2"/>
  <c r="AM973" i="2"/>
  <c r="AL973" i="2"/>
  <c r="AJ973" i="2"/>
  <c r="AI973" i="2"/>
  <c r="U973" i="2"/>
  <c r="T973" i="2"/>
  <c r="S973" i="2"/>
  <c r="J973" i="2"/>
  <c r="I973" i="2"/>
  <c r="H973" i="2"/>
  <c r="G973" i="2"/>
  <c r="AU966" i="2"/>
  <c r="AU967" i="2"/>
  <c r="AU968" i="2"/>
  <c r="AU969" i="2"/>
  <c r="AU970" i="2"/>
  <c r="AU971" i="2"/>
  <c r="AU972" i="2"/>
  <c r="AS966" i="2"/>
  <c r="AS967" i="2"/>
  <c r="AS968" i="2"/>
  <c r="AS969" i="2"/>
  <c r="AS970" i="2"/>
  <c r="AS971" i="2"/>
  <c r="AS972" i="2"/>
  <c r="AM972" i="2"/>
  <c r="AL972" i="2"/>
  <c r="AJ972" i="2"/>
  <c r="AI972" i="2"/>
  <c r="U972" i="2"/>
  <c r="T972" i="2"/>
  <c r="S972" i="2"/>
  <c r="AO966" i="2"/>
  <c r="AO967" i="2"/>
  <c r="AO968" i="2"/>
  <c r="AO969" i="2"/>
  <c r="AO970" i="2"/>
  <c r="AO971" i="2"/>
  <c r="AO972" i="2"/>
  <c r="H972" i="2"/>
  <c r="G972" i="2"/>
  <c r="AX971" i="2"/>
  <c r="AW971" i="2"/>
  <c r="AV971" i="2"/>
  <c r="AT971" i="2"/>
  <c r="AR971" i="2"/>
  <c r="AQ971" i="2"/>
  <c r="AP971" i="2"/>
  <c r="AX970" i="2"/>
  <c r="AW970" i="2"/>
  <c r="AV970" i="2"/>
  <c r="AT970" i="2"/>
  <c r="AR970" i="2"/>
  <c r="AQ970" i="2"/>
  <c r="AP970" i="2"/>
  <c r="AX969" i="2"/>
  <c r="AW969" i="2"/>
  <c r="AV969" i="2"/>
  <c r="AT969" i="2"/>
  <c r="AR969" i="2"/>
  <c r="AQ969" i="2"/>
  <c r="AP969" i="2"/>
  <c r="AX968" i="2"/>
  <c r="AW968" i="2"/>
  <c r="AV968" i="2"/>
  <c r="AV966" i="2"/>
  <c r="AV967" i="2"/>
  <c r="AV972" i="2"/>
  <c r="AT968" i="2"/>
  <c r="AR968" i="2"/>
  <c r="AQ968" i="2"/>
  <c r="AP968" i="2"/>
  <c r="AX967" i="2"/>
  <c r="AX966" i="2"/>
  <c r="AX972" i="2"/>
  <c r="AW967" i="2"/>
  <c r="AT967" i="2"/>
  <c r="AR967" i="2"/>
  <c r="AQ967" i="2"/>
  <c r="AP967" i="2"/>
  <c r="AP966" i="2"/>
  <c r="AP972" i="2"/>
  <c r="I972" i="2"/>
  <c r="AW966" i="2"/>
  <c r="AW972" i="2"/>
  <c r="AT966" i="2"/>
  <c r="AR966" i="2"/>
  <c r="AR972" i="2"/>
  <c r="AQ966" i="2"/>
  <c r="AQ972" i="2"/>
  <c r="J972" i="2"/>
  <c r="AM963" i="2"/>
  <c r="AF963" i="2"/>
  <c r="S963" i="2"/>
  <c r="I963" i="2"/>
  <c r="H963" i="2"/>
  <c r="G963" i="2"/>
  <c r="AM962" i="2"/>
  <c r="AF962" i="2"/>
  <c r="S962" i="2"/>
  <c r="I962" i="2"/>
  <c r="H962" i="2"/>
  <c r="G962" i="2"/>
  <c r="AX941" i="2"/>
  <c r="AX942" i="2"/>
  <c r="AX943" i="2"/>
  <c r="AX944" i="2"/>
  <c r="AX945" i="2"/>
  <c r="AX946" i="2"/>
  <c r="AX947" i="2"/>
  <c r="AX948" i="2"/>
  <c r="AX949" i="2"/>
  <c r="AX950" i="2"/>
  <c r="AX951" i="2"/>
  <c r="AX952" i="2"/>
  <c r="AX953" i="2"/>
  <c r="AX954" i="2"/>
  <c r="AX955" i="2"/>
  <c r="AX956" i="2"/>
  <c r="AX957" i="2"/>
  <c r="AX958" i="2"/>
  <c r="AX959" i="2"/>
  <c r="AX961" i="2"/>
  <c r="AM961" i="2"/>
  <c r="AF961" i="2"/>
  <c r="S961" i="2"/>
  <c r="G961" i="2"/>
  <c r="AX960" i="2"/>
  <c r="AW960" i="2"/>
  <c r="AV960" i="2"/>
  <c r="AU960" i="2"/>
  <c r="AT960" i="2"/>
  <c r="AS960" i="2"/>
  <c r="AR960" i="2"/>
  <c r="AQ960" i="2"/>
  <c r="AP960" i="2"/>
  <c r="AO960" i="2"/>
  <c r="T960" i="2"/>
  <c r="R960" i="2"/>
  <c r="AH960" i="2"/>
  <c r="AW959" i="2"/>
  <c r="AV959" i="2"/>
  <c r="AU959" i="2"/>
  <c r="AT959" i="2"/>
  <c r="AS959" i="2"/>
  <c r="AR959" i="2"/>
  <c r="AQ959" i="2"/>
  <c r="AP959" i="2"/>
  <c r="AO959" i="2"/>
  <c r="T959" i="2"/>
  <c r="R959" i="2"/>
  <c r="AH959" i="2"/>
  <c r="AW958" i="2"/>
  <c r="AV958" i="2"/>
  <c r="AU958" i="2"/>
  <c r="AT958" i="2"/>
  <c r="AS958" i="2"/>
  <c r="AR958" i="2"/>
  <c r="AQ958" i="2"/>
  <c r="AP958" i="2"/>
  <c r="AO958" i="2"/>
  <c r="T958" i="2"/>
  <c r="R958" i="2"/>
  <c r="AH958" i="2"/>
  <c r="AW957" i="2"/>
  <c r="AV957" i="2"/>
  <c r="AU957" i="2"/>
  <c r="AT957" i="2"/>
  <c r="AS957" i="2"/>
  <c r="AR957" i="2"/>
  <c r="AQ957" i="2"/>
  <c r="AP957" i="2"/>
  <c r="AO957" i="2"/>
  <c r="R957" i="2"/>
  <c r="AH957" i="2"/>
  <c r="T957" i="2"/>
  <c r="AW956" i="2"/>
  <c r="AV956" i="2"/>
  <c r="AV941" i="2"/>
  <c r="AV942" i="2"/>
  <c r="AV943" i="2"/>
  <c r="AV944" i="2"/>
  <c r="AV945" i="2"/>
  <c r="AV946" i="2"/>
  <c r="AV947" i="2"/>
  <c r="AV948" i="2"/>
  <c r="AV949" i="2"/>
  <c r="AV950" i="2"/>
  <c r="AV951" i="2"/>
  <c r="AV952" i="2"/>
  <c r="AV953" i="2"/>
  <c r="AV954" i="2"/>
  <c r="AV955" i="2"/>
  <c r="AV961" i="2"/>
  <c r="AU956" i="2"/>
  <c r="AT956" i="2"/>
  <c r="AS956" i="2"/>
  <c r="AR956" i="2"/>
  <c r="AQ956" i="2"/>
  <c r="AP956" i="2"/>
  <c r="AO956" i="2"/>
  <c r="R956" i="2"/>
  <c r="AH956" i="2"/>
  <c r="T956" i="2"/>
  <c r="AW955" i="2"/>
  <c r="AU955" i="2"/>
  <c r="AT955" i="2"/>
  <c r="AS955" i="2"/>
  <c r="AR955" i="2"/>
  <c r="AQ955" i="2"/>
  <c r="AP955" i="2"/>
  <c r="AO955" i="2"/>
  <c r="T955" i="2"/>
  <c r="T954" i="2"/>
  <c r="T963" i="2"/>
  <c r="R955" i="2"/>
  <c r="AH955" i="2"/>
  <c r="AW954" i="2"/>
  <c r="AU954" i="2"/>
  <c r="AT954" i="2"/>
  <c r="AS954" i="2"/>
  <c r="AR954" i="2"/>
  <c r="AQ954" i="2"/>
  <c r="AP954" i="2"/>
  <c r="AP941" i="2"/>
  <c r="AP942" i="2"/>
  <c r="AP943" i="2"/>
  <c r="AP944" i="2"/>
  <c r="AP945" i="2"/>
  <c r="AP946" i="2"/>
  <c r="AP947" i="2"/>
  <c r="AP948" i="2"/>
  <c r="AP949" i="2"/>
  <c r="AP950" i="2"/>
  <c r="AP951" i="2"/>
  <c r="AP952" i="2"/>
  <c r="AP953" i="2"/>
  <c r="AP961" i="2"/>
  <c r="I961" i="2"/>
  <c r="AO954" i="2"/>
  <c r="R954" i="2"/>
  <c r="AH954" i="2"/>
  <c r="T961" i="2"/>
  <c r="AW953" i="2"/>
  <c r="AU953" i="2"/>
  <c r="AT953" i="2"/>
  <c r="AS953" i="2"/>
  <c r="AR953" i="2"/>
  <c r="AQ953" i="2"/>
  <c r="AO953" i="2"/>
  <c r="R953" i="2"/>
  <c r="AH953" i="2"/>
  <c r="AW952" i="2"/>
  <c r="AU952" i="2"/>
  <c r="AT952" i="2"/>
  <c r="AS952" i="2"/>
  <c r="AR952" i="2"/>
  <c r="AQ952" i="2"/>
  <c r="AO952" i="2"/>
  <c r="R952" i="2"/>
  <c r="AH952" i="2"/>
  <c r="AW951" i="2"/>
  <c r="AU951" i="2"/>
  <c r="AT951" i="2"/>
  <c r="AS951" i="2"/>
  <c r="AR951" i="2"/>
  <c r="AQ951" i="2"/>
  <c r="AO951" i="2"/>
  <c r="R951" i="2"/>
  <c r="AH951" i="2"/>
  <c r="AW950" i="2"/>
  <c r="AU950" i="2"/>
  <c r="AT950" i="2"/>
  <c r="AS950" i="2"/>
  <c r="AR950" i="2"/>
  <c r="AQ950" i="2"/>
  <c r="AO950" i="2"/>
  <c r="R950" i="2"/>
  <c r="AH950" i="2"/>
  <c r="AW949" i="2"/>
  <c r="AU949" i="2"/>
  <c r="AT949" i="2"/>
  <c r="AS949" i="2"/>
  <c r="AR949" i="2"/>
  <c r="AQ949" i="2"/>
  <c r="AO949" i="2"/>
  <c r="R949" i="2"/>
  <c r="AH949" i="2"/>
  <c r="AW948" i="2"/>
  <c r="AU948" i="2"/>
  <c r="AT948" i="2"/>
  <c r="AS948" i="2"/>
  <c r="AR948" i="2"/>
  <c r="AQ948" i="2"/>
  <c r="AO948" i="2"/>
  <c r="R948" i="2"/>
  <c r="AH948" i="2"/>
  <c r="AW947" i="2"/>
  <c r="AU947" i="2"/>
  <c r="AT947" i="2"/>
  <c r="AS947" i="2"/>
  <c r="AR947" i="2"/>
  <c r="AQ947" i="2"/>
  <c r="AO947" i="2"/>
  <c r="R947" i="2"/>
  <c r="AH947" i="2"/>
  <c r="AW946" i="2"/>
  <c r="AU946" i="2"/>
  <c r="AT946" i="2"/>
  <c r="AS946" i="2"/>
  <c r="AR946" i="2"/>
  <c r="AQ946" i="2"/>
  <c r="AO946" i="2"/>
  <c r="R946" i="2"/>
  <c r="AH946" i="2"/>
  <c r="AW945" i="2"/>
  <c r="AU945" i="2"/>
  <c r="AT945" i="2"/>
  <c r="AS945" i="2"/>
  <c r="AR945" i="2"/>
  <c r="AQ945" i="2"/>
  <c r="AO945" i="2"/>
  <c r="R945" i="2"/>
  <c r="AH945" i="2"/>
  <c r="AW944" i="2"/>
  <c r="AU944" i="2"/>
  <c r="AT944" i="2"/>
  <c r="AS944" i="2"/>
  <c r="AR944" i="2"/>
  <c r="AQ944" i="2"/>
  <c r="AO944" i="2"/>
  <c r="R944" i="2"/>
  <c r="AH944" i="2"/>
  <c r="AW943" i="2"/>
  <c r="AU943" i="2"/>
  <c r="AT943" i="2"/>
  <c r="AS943" i="2"/>
  <c r="AR943" i="2"/>
  <c r="AQ943" i="2"/>
  <c r="AO943" i="2"/>
  <c r="R943" i="2"/>
  <c r="AH943" i="2"/>
  <c r="AW942" i="2"/>
  <c r="AU942" i="2"/>
  <c r="AT942" i="2"/>
  <c r="AS942" i="2"/>
  <c r="AR942" i="2"/>
  <c r="AQ942" i="2"/>
  <c r="AO942" i="2"/>
  <c r="R942" i="2"/>
  <c r="AH942" i="2"/>
  <c r="AW941" i="2"/>
  <c r="AU941" i="2"/>
  <c r="AT941" i="2"/>
  <c r="AS941" i="2"/>
  <c r="AR941" i="2"/>
  <c r="AQ941" i="2"/>
  <c r="AO941" i="2"/>
  <c r="R941" i="2"/>
  <c r="AM939" i="2"/>
  <c r="AH939" i="2"/>
  <c r="W939" i="2"/>
  <c r="U939" i="2"/>
  <c r="T939" i="2"/>
  <c r="S939" i="2"/>
  <c r="K939" i="2"/>
  <c r="J939" i="2"/>
  <c r="I939" i="2"/>
  <c r="H939" i="2"/>
  <c r="G939" i="2"/>
  <c r="AM938" i="2"/>
  <c r="AH938" i="2"/>
  <c r="W938" i="2"/>
  <c r="U938" i="2"/>
  <c r="T938" i="2"/>
  <c r="S938" i="2"/>
  <c r="K938" i="2"/>
  <c r="J938" i="2"/>
  <c r="I938" i="2"/>
  <c r="H938" i="2"/>
  <c r="G938" i="2"/>
  <c r="AW922" i="2"/>
  <c r="AW923" i="2"/>
  <c r="AW924" i="2"/>
  <c r="AW925" i="2"/>
  <c r="AW926" i="2"/>
  <c r="AW927" i="2"/>
  <c r="AW928" i="2"/>
  <c r="AW929" i="2"/>
  <c r="AW930" i="2"/>
  <c r="AW931" i="2"/>
  <c r="AW932" i="2"/>
  <c r="AW933" i="2"/>
  <c r="AW934" i="2"/>
  <c r="AW935" i="2"/>
  <c r="AW936" i="2"/>
  <c r="AW937" i="2"/>
  <c r="AQ922" i="2"/>
  <c r="AQ923" i="2"/>
  <c r="AQ924" i="2"/>
  <c r="AQ925" i="2"/>
  <c r="AQ926" i="2"/>
  <c r="AQ927" i="2"/>
  <c r="AQ928" i="2"/>
  <c r="AQ929" i="2"/>
  <c r="AQ930" i="2"/>
  <c r="AQ931" i="2"/>
  <c r="AQ932" i="2"/>
  <c r="AQ933" i="2"/>
  <c r="AQ934" i="2"/>
  <c r="AQ935" i="2"/>
  <c r="AQ936" i="2"/>
  <c r="AQ937" i="2"/>
  <c r="AO922" i="2"/>
  <c r="AO923" i="2"/>
  <c r="AO924" i="2"/>
  <c r="AO925" i="2"/>
  <c r="AO926" i="2"/>
  <c r="AO927" i="2"/>
  <c r="AO928" i="2"/>
  <c r="AO929" i="2"/>
  <c r="AO930" i="2"/>
  <c r="AO931" i="2"/>
  <c r="AO932" i="2"/>
  <c r="AO933" i="2"/>
  <c r="AO934" i="2"/>
  <c r="AO935" i="2"/>
  <c r="AO936" i="2"/>
  <c r="AO937" i="2"/>
  <c r="H937" i="2"/>
  <c r="AM937" i="2"/>
  <c r="AH937" i="2"/>
  <c r="W937" i="2"/>
  <c r="U937" i="2"/>
  <c r="T937" i="2"/>
  <c r="S937" i="2"/>
  <c r="J937" i="2"/>
  <c r="G937" i="2"/>
  <c r="AX936" i="2"/>
  <c r="AV936" i="2"/>
  <c r="AU936" i="2"/>
  <c r="AT936" i="2"/>
  <c r="AS936" i="2"/>
  <c r="AR936" i="2"/>
  <c r="AP936" i="2"/>
  <c r="AX935" i="2"/>
  <c r="AV935" i="2"/>
  <c r="AU935" i="2"/>
  <c r="AT935" i="2"/>
  <c r="AS935" i="2"/>
  <c r="AR935" i="2"/>
  <c r="AP935" i="2"/>
  <c r="AX934" i="2"/>
  <c r="AV934" i="2"/>
  <c r="AU934" i="2"/>
  <c r="AT934" i="2"/>
  <c r="AS934" i="2"/>
  <c r="AR934" i="2"/>
  <c r="AP934" i="2"/>
  <c r="AX933" i="2"/>
  <c r="AV933" i="2"/>
  <c r="AU933" i="2"/>
  <c r="AT933" i="2"/>
  <c r="AS933" i="2"/>
  <c r="AR933" i="2"/>
  <c r="AP933" i="2"/>
  <c r="AX932" i="2"/>
  <c r="AV932" i="2"/>
  <c r="AU932" i="2"/>
  <c r="AT932" i="2"/>
  <c r="AS932" i="2"/>
  <c r="AR932" i="2"/>
  <c r="AP932" i="2"/>
  <c r="AX931" i="2"/>
  <c r="AV931" i="2"/>
  <c r="AU931" i="2"/>
  <c r="AT931" i="2"/>
  <c r="AS931" i="2"/>
  <c r="AR931" i="2"/>
  <c r="AP931" i="2"/>
  <c r="AX930" i="2"/>
  <c r="AV930" i="2"/>
  <c r="AU930" i="2"/>
  <c r="AT930" i="2"/>
  <c r="AS930" i="2"/>
  <c r="AR930" i="2"/>
  <c r="AP930" i="2"/>
  <c r="AX929" i="2"/>
  <c r="AV929" i="2"/>
  <c r="AU929" i="2"/>
  <c r="AT929" i="2"/>
  <c r="AS929" i="2"/>
  <c r="AR929" i="2"/>
  <c r="AP929" i="2"/>
  <c r="AX928" i="2"/>
  <c r="AV928" i="2"/>
  <c r="AU928" i="2"/>
  <c r="AT928" i="2"/>
  <c r="AS928" i="2"/>
  <c r="AR928" i="2"/>
  <c r="AP928" i="2"/>
  <c r="AX927" i="2"/>
  <c r="AV927" i="2"/>
  <c r="AU927" i="2"/>
  <c r="AT927" i="2"/>
  <c r="AS927" i="2"/>
  <c r="AR927" i="2"/>
  <c r="AP927" i="2"/>
  <c r="AX926" i="2"/>
  <c r="AV926" i="2"/>
  <c r="AU926" i="2"/>
  <c r="AT926" i="2"/>
  <c r="AS926" i="2"/>
  <c r="AR926" i="2"/>
  <c r="AP926" i="2"/>
  <c r="AX925" i="2"/>
  <c r="AV925" i="2"/>
  <c r="AU925" i="2"/>
  <c r="AT925" i="2"/>
  <c r="AS925" i="2"/>
  <c r="AR925" i="2"/>
  <c r="AP925" i="2"/>
  <c r="AX924" i="2"/>
  <c r="AV924" i="2"/>
  <c r="AU924" i="2"/>
  <c r="AT924" i="2"/>
  <c r="AS924" i="2"/>
  <c r="AR924" i="2"/>
  <c r="AP924" i="2"/>
  <c r="AX923" i="2"/>
  <c r="AV923" i="2"/>
  <c r="AU923" i="2"/>
  <c r="AT923" i="2"/>
  <c r="AS923" i="2"/>
  <c r="AR923" i="2"/>
  <c r="AP923" i="2"/>
  <c r="AX922" i="2"/>
  <c r="AV922" i="2"/>
  <c r="AU922" i="2"/>
  <c r="AU937" i="2"/>
  <c r="AT922" i="2"/>
  <c r="AS922" i="2"/>
  <c r="AS937" i="2"/>
  <c r="AR922" i="2"/>
  <c r="AR937" i="2"/>
  <c r="K937" i="2"/>
  <c r="AP922" i="2"/>
  <c r="AM919" i="2"/>
  <c r="AF919" i="2"/>
  <c r="G919" i="2"/>
  <c r="AM918" i="2"/>
  <c r="AF918" i="2"/>
  <c r="G918" i="2"/>
  <c r="AM917" i="2"/>
  <c r="AF917" i="2"/>
  <c r="G917" i="2"/>
  <c r="AX916" i="2"/>
  <c r="AV916" i="2"/>
  <c r="AU916" i="2"/>
  <c r="AT916" i="2"/>
  <c r="AS916" i="2"/>
  <c r="AR916" i="2"/>
  <c r="AQ916" i="2"/>
  <c r="AP916" i="2"/>
  <c r="AO916" i="2"/>
  <c r="P916" i="2"/>
  <c r="AW916" i="2"/>
  <c r="AX915" i="2"/>
  <c r="AV915" i="2"/>
  <c r="AU915" i="2"/>
  <c r="AT915" i="2"/>
  <c r="AS915" i="2"/>
  <c r="AR915" i="2"/>
  <c r="AQ915" i="2"/>
  <c r="AP915" i="2"/>
  <c r="AO915" i="2"/>
  <c r="P915" i="2"/>
  <c r="AW915" i="2"/>
  <c r="AX914" i="2"/>
  <c r="P914" i="2"/>
  <c r="AW914" i="2"/>
  <c r="AV914" i="2"/>
  <c r="AV902" i="2"/>
  <c r="AV903" i="2"/>
  <c r="AV904" i="2"/>
  <c r="AV905" i="2"/>
  <c r="AV906" i="2"/>
  <c r="AV907" i="2"/>
  <c r="AV908" i="2"/>
  <c r="AV909" i="2"/>
  <c r="AV910" i="2"/>
  <c r="AV911" i="2"/>
  <c r="AV912" i="2"/>
  <c r="AV913" i="2"/>
  <c r="AV917" i="2"/>
  <c r="AU914" i="2"/>
  <c r="AT914" i="2"/>
  <c r="AS914" i="2"/>
  <c r="AR914" i="2"/>
  <c r="AQ914" i="2"/>
  <c r="AP914" i="2"/>
  <c r="AO914" i="2"/>
  <c r="AO902" i="2"/>
  <c r="AO903" i="2"/>
  <c r="AO904" i="2"/>
  <c r="AO905" i="2"/>
  <c r="AO906" i="2"/>
  <c r="AO907" i="2"/>
  <c r="AO908" i="2"/>
  <c r="AO909" i="2"/>
  <c r="AO910" i="2"/>
  <c r="AO911" i="2"/>
  <c r="AO912" i="2"/>
  <c r="AO913" i="2"/>
  <c r="AO917" i="2"/>
  <c r="AX913" i="2"/>
  <c r="P913" i="2"/>
  <c r="AW913" i="2"/>
  <c r="AU913" i="2"/>
  <c r="AT913" i="2"/>
  <c r="AS913" i="2"/>
  <c r="AR913" i="2"/>
  <c r="AR902" i="2"/>
  <c r="AR903" i="2"/>
  <c r="AR904" i="2"/>
  <c r="AR905" i="2"/>
  <c r="AR906" i="2"/>
  <c r="AR907" i="2"/>
  <c r="AR908" i="2"/>
  <c r="AR909" i="2"/>
  <c r="AR910" i="2"/>
  <c r="AR911" i="2"/>
  <c r="AR912" i="2"/>
  <c r="AR917" i="2"/>
  <c r="AQ913" i="2"/>
  <c r="AP913" i="2"/>
  <c r="AX912" i="2"/>
  <c r="P912" i="2"/>
  <c r="AW912" i="2"/>
  <c r="AU912" i="2"/>
  <c r="AT912" i="2"/>
  <c r="AS912" i="2"/>
  <c r="AQ912" i="2"/>
  <c r="AP912" i="2"/>
  <c r="AX911" i="2"/>
  <c r="P911" i="2"/>
  <c r="AW911" i="2"/>
  <c r="AU911" i="2"/>
  <c r="AT911" i="2"/>
  <c r="AS911" i="2"/>
  <c r="AQ911" i="2"/>
  <c r="AP911" i="2"/>
  <c r="AX910" i="2"/>
  <c r="AU910" i="2"/>
  <c r="AT910" i="2"/>
  <c r="AS910" i="2"/>
  <c r="AQ910" i="2"/>
  <c r="AP910" i="2"/>
  <c r="P910" i="2"/>
  <c r="AW910" i="2"/>
  <c r="AX909" i="2"/>
  <c r="AU909" i="2"/>
  <c r="AT909" i="2"/>
  <c r="AS909" i="2"/>
  <c r="AQ909" i="2"/>
  <c r="AP909" i="2"/>
  <c r="P909" i="2"/>
  <c r="AW909" i="2"/>
  <c r="AX908" i="2"/>
  <c r="AU908" i="2"/>
  <c r="AT908" i="2"/>
  <c r="AS908" i="2"/>
  <c r="AQ908" i="2"/>
  <c r="AP908" i="2"/>
  <c r="P908" i="2"/>
  <c r="AW908" i="2"/>
  <c r="AX907" i="2"/>
  <c r="AU907" i="2"/>
  <c r="AT907" i="2"/>
  <c r="AS907" i="2"/>
  <c r="AQ907" i="2"/>
  <c r="AP907" i="2"/>
  <c r="P907" i="2"/>
  <c r="AW907" i="2"/>
  <c r="AX906" i="2"/>
  <c r="P906" i="2"/>
  <c r="AW906" i="2"/>
  <c r="AU906" i="2"/>
  <c r="AT906" i="2"/>
  <c r="AS906" i="2"/>
  <c r="AQ906" i="2"/>
  <c r="AP906" i="2"/>
  <c r="AX905" i="2"/>
  <c r="P905" i="2"/>
  <c r="AW905" i="2"/>
  <c r="AU905" i="2"/>
  <c r="AT905" i="2"/>
  <c r="AT902" i="2"/>
  <c r="AT903" i="2"/>
  <c r="AT904" i="2"/>
  <c r="AT917" i="2"/>
  <c r="AS905" i="2"/>
  <c r="AQ905" i="2"/>
  <c r="AP905" i="2"/>
  <c r="AX904" i="2"/>
  <c r="P904" i="2"/>
  <c r="AW904" i="2"/>
  <c r="AU904" i="2"/>
  <c r="AS904" i="2"/>
  <c r="AQ904" i="2"/>
  <c r="AP904" i="2"/>
  <c r="AX903" i="2"/>
  <c r="P903" i="2"/>
  <c r="AW903" i="2"/>
  <c r="AU903" i="2"/>
  <c r="AS903" i="2"/>
  <c r="AQ903" i="2"/>
  <c r="AP903" i="2"/>
  <c r="AX902" i="2"/>
  <c r="AW902" i="2"/>
  <c r="AU902" i="2"/>
  <c r="AS902" i="2"/>
  <c r="AQ902" i="2"/>
  <c r="AP902" i="2"/>
  <c r="AM900" i="2"/>
  <c r="T900" i="2"/>
  <c r="S900" i="2"/>
  <c r="I900" i="2"/>
  <c r="H900" i="2"/>
  <c r="G900" i="2"/>
  <c r="AM899" i="2"/>
  <c r="T899" i="2"/>
  <c r="S899" i="2"/>
  <c r="I899" i="2"/>
  <c r="H899" i="2"/>
  <c r="G899" i="2"/>
  <c r="AS892" i="2"/>
  <c r="AS893" i="2"/>
  <c r="AS894" i="2"/>
  <c r="AS895" i="2"/>
  <c r="AS896" i="2"/>
  <c r="AS898" i="2"/>
  <c r="AQ892" i="2"/>
  <c r="AQ893" i="2"/>
  <c r="AQ894" i="2"/>
  <c r="AQ895" i="2"/>
  <c r="AQ896" i="2"/>
  <c r="AQ898" i="2"/>
  <c r="AM898" i="2"/>
  <c r="T898" i="2"/>
  <c r="S898" i="2"/>
  <c r="R893" i="2"/>
  <c r="R894" i="2"/>
  <c r="R895" i="2"/>
  <c r="R896" i="2"/>
  <c r="R898" i="2"/>
  <c r="AX897" i="2"/>
  <c r="AW897" i="2"/>
  <c r="AV897" i="2"/>
  <c r="AU897" i="2"/>
  <c r="AT897" i="2"/>
  <c r="AS897" i="2"/>
  <c r="AR897" i="2"/>
  <c r="AQ897" i="2"/>
  <c r="AP897" i="2"/>
  <c r="AO897" i="2"/>
  <c r="R897" i="2"/>
  <c r="AH897" i="2"/>
  <c r="AX896" i="2"/>
  <c r="AW896" i="2"/>
  <c r="AV896" i="2"/>
  <c r="AU896" i="2"/>
  <c r="AU892" i="2"/>
  <c r="AU893" i="2"/>
  <c r="AU894" i="2"/>
  <c r="AU895" i="2"/>
  <c r="AU898" i="2"/>
  <c r="AT896" i="2"/>
  <c r="AR896" i="2"/>
  <c r="AR892" i="2"/>
  <c r="AR893" i="2"/>
  <c r="AR894" i="2"/>
  <c r="AR895" i="2"/>
  <c r="AR898" i="2"/>
  <c r="AP896" i="2"/>
  <c r="AO896" i="2"/>
  <c r="AO892" i="2"/>
  <c r="AO893" i="2"/>
  <c r="AO894" i="2"/>
  <c r="AO895" i="2"/>
  <c r="AO898" i="2"/>
  <c r="AH896" i="2"/>
  <c r="AX895" i="2"/>
  <c r="AW895" i="2"/>
  <c r="AV895" i="2"/>
  <c r="AT895" i="2"/>
  <c r="AP895" i="2"/>
  <c r="AH895" i="2"/>
  <c r="AX894" i="2"/>
  <c r="AV894" i="2"/>
  <c r="AT894" i="2"/>
  <c r="AP894" i="2"/>
  <c r="AH894" i="2"/>
  <c r="P894" i="2"/>
  <c r="Q894" i="2"/>
  <c r="P893" i="2"/>
  <c r="P900" i="2"/>
  <c r="AX893" i="2"/>
  <c r="AV893" i="2"/>
  <c r="AT893" i="2"/>
  <c r="AP893" i="2"/>
  <c r="R900" i="2"/>
  <c r="P898" i="2"/>
  <c r="G898" i="2"/>
  <c r="AX892" i="2"/>
  <c r="AX898" i="2"/>
  <c r="AW892" i="2"/>
  <c r="AV892" i="2"/>
  <c r="AT892" i="2"/>
  <c r="AP892" i="2"/>
  <c r="AP898" i="2"/>
  <c r="T886" i="2"/>
  <c r="T887" i="2"/>
  <c r="T890" i="2"/>
  <c r="T889" i="2"/>
  <c r="T888" i="2"/>
  <c r="G887" i="2"/>
  <c r="AU887" i="2"/>
  <c r="AS887" i="2"/>
  <c r="G886" i="2"/>
  <c r="AS886" i="2"/>
  <c r="AS888" i="2"/>
  <c r="I887" i="2"/>
  <c r="AR887" i="2"/>
  <c r="AX886" i="2"/>
  <c r="AW886" i="2"/>
  <c r="AV886" i="2"/>
  <c r="AU886" i="2"/>
  <c r="AU888" i="2"/>
  <c r="AR886" i="2"/>
  <c r="AQ886" i="2"/>
  <c r="I886" i="2"/>
  <c r="AP886" i="2"/>
  <c r="AO886" i="2"/>
  <c r="I890" i="2"/>
  <c r="AT886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4" i="2"/>
  <c r="AX881" i="2"/>
  <c r="AW881" i="2"/>
  <c r="AV881" i="2"/>
  <c r="AU881" i="2"/>
  <c r="AT881" i="2"/>
  <c r="AS881" i="2"/>
  <c r="AR881" i="2"/>
  <c r="AP881" i="2"/>
  <c r="AO881" i="2"/>
  <c r="U881" i="2"/>
  <c r="J881" i="2"/>
  <c r="AQ881" i="2"/>
  <c r="AX880" i="2"/>
  <c r="AW880" i="2"/>
  <c r="AV880" i="2"/>
  <c r="AU880" i="2"/>
  <c r="AT880" i="2"/>
  <c r="AS880" i="2"/>
  <c r="AR880" i="2"/>
  <c r="AP880" i="2"/>
  <c r="AO880" i="2"/>
  <c r="U880" i="2"/>
  <c r="J880" i="2"/>
  <c r="AQ880" i="2"/>
  <c r="AX879" i="2"/>
  <c r="AW879" i="2"/>
  <c r="AV879" i="2"/>
  <c r="AU879" i="2"/>
  <c r="AT879" i="2"/>
  <c r="AS879" i="2"/>
  <c r="AR879" i="2"/>
  <c r="AP879" i="2"/>
  <c r="AO879" i="2"/>
  <c r="U879" i="2"/>
  <c r="J879" i="2"/>
  <c r="AQ879" i="2"/>
  <c r="AX878" i="2"/>
  <c r="AW878" i="2"/>
  <c r="AV878" i="2"/>
  <c r="AU878" i="2"/>
  <c r="AT878" i="2"/>
  <c r="AS878" i="2"/>
  <c r="AR878" i="2"/>
  <c r="AP878" i="2"/>
  <c r="AO878" i="2"/>
  <c r="U878" i="2"/>
  <c r="J878" i="2"/>
  <c r="AQ878" i="2"/>
  <c r="G877" i="2"/>
  <c r="AR877" i="2"/>
  <c r="U877" i="2"/>
  <c r="J877" i="2"/>
  <c r="AT877" i="2"/>
  <c r="G876" i="2"/>
  <c r="AV876" i="2"/>
  <c r="AS876" i="2"/>
  <c r="AR876" i="2"/>
  <c r="AQ876" i="2"/>
  <c r="U876" i="2"/>
  <c r="AX876" i="2"/>
  <c r="G875" i="2"/>
  <c r="AX875" i="2"/>
  <c r="AW875" i="2"/>
  <c r="AV875" i="2"/>
  <c r="AU875" i="2"/>
  <c r="AS875" i="2"/>
  <c r="AQ875" i="2"/>
  <c r="AP875" i="2"/>
  <c r="AO875" i="2"/>
  <c r="U875" i="2"/>
  <c r="AT875" i="2"/>
  <c r="G874" i="2"/>
  <c r="AU874" i="2"/>
  <c r="AS874" i="2"/>
  <c r="AR874" i="2"/>
  <c r="G873" i="2"/>
  <c r="AX873" i="2"/>
  <c r="AW873" i="2"/>
  <c r="AV873" i="2"/>
  <c r="AU873" i="2"/>
  <c r="AS873" i="2"/>
  <c r="AR873" i="2"/>
  <c r="AQ873" i="2"/>
  <c r="AP873" i="2"/>
  <c r="AO873" i="2"/>
  <c r="U873" i="2"/>
  <c r="AT873" i="2"/>
  <c r="G872" i="2"/>
  <c r="AX872" i="2"/>
  <c r="AW872" i="2"/>
  <c r="AV872" i="2"/>
  <c r="AU872" i="2"/>
  <c r="AR872" i="2"/>
  <c r="AP872" i="2"/>
  <c r="AO872" i="2"/>
  <c r="U872" i="2"/>
  <c r="AT872" i="2"/>
  <c r="G871" i="2"/>
  <c r="AR871" i="2"/>
  <c r="G870" i="2"/>
  <c r="G883" i="2"/>
  <c r="AX870" i="2"/>
  <c r="AW870" i="2"/>
  <c r="AQ870" i="2"/>
  <c r="AP870" i="2"/>
  <c r="AO870" i="2"/>
  <c r="T882" i="2"/>
  <c r="G884" i="2"/>
  <c r="I860" i="2"/>
  <c r="I867" i="2"/>
  <c r="AM860" i="2"/>
  <c r="AM866" i="2"/>
  <c r="AM865" i="2"/>
  <c r="T860" i="2"/>
  <c r="T865" i="2"/>
  <c r="AX864" i="2"/>
  <c r="AW864" i="2"/>
  <c r="AV864" i="2"/>
  <c r="AU864" i="2"/>
  <c r="AT864" i="2"/>
  <c r="AS864" i="2"/>
  <c r="AR864" i="2"/>
  <c r="AQ864" i="2"/>
  <c r="AP864" i="2"/>
  <c r="AO864" i="2"/>
  <c r="AX863" i="2"/>
  <c r="AW863" i="2"/>
  <c r="AV863" i="2"/>
  <c r="AU863" i="2"/>
  <c r="AT863" i="2"/>
  <c r="AS863" i="2"/>
  <c r="AR863" i="2"/>
  <c r="AQ863" i="2"/>
  <c r="AP863" i="2"/>
  <c r="AO863" i="2"/>
  <c r="AX862" i="2"/>
  <c r="AW862" i="2"/>
  <c r="AV862" i="2"/>
  <c r="AU862" i="2"/>
  <c r="AT862" i="2"/>
  <c r="AS862" i="2"/>
  <c r="AR862" i="2"/>
  <c r="AQ862" i="2"/>
  <c r="AP862" i="2"/>
  <c r="AO862" i="2"/>
  <c r="AX861" i="2"/>
  <c r="AW861" i="2"/>
  <c r="AV861" i="2"/>
  <c r="AU861" i="2"/>
  <c r="AT861" i="2"/>
  <c r="AS861" i="2"/>
  <c r="AR861" i="2"/>
  <c r="AQ861" i="2"/>
  <c r="AP861" i="2"/>
  <c r="AO861" i="2"/>
  <c r="G860" i="2"/>
  <c r="AT860" i="2"/>
  <c r="AR860" i="2"/>
  <c r="AM867" i="2"/>
  <c r="T866" i="2"/>
  <c r="I866" i="2"/>
  <c r="G865" i="2"/>
  <c r="AX859" i="2"/>
  <c r="AW859" i="2"/>
  <c r="AV859" i="2"/>
  <c r="AU859" i="2"/>
  <c r="AT859" i="2"/>
  <c r="AS859" i="2"/>
  <c r="AR859" i="2"/>
  <c r="AQ859" i="2"/>
  <c r="AP859" i="2"/>
  <c r="AO859" i="2"/>
  <c r="AX858" i="2"/>
  <c r="AW858" i="2"/>
  <c r="AV858" i="2"/>
  <c r="AU858" i="2"/>
  <c r="AT858" i="2"/>
  <c r="AS858" i="2"/>
  <c r="AR858" i="2"/>
  <c r="AQ858" i="2"/>
  <c r="AP858" i="2"/>
  <c r="AO858" i="2"/>
  <c r="AX857" i="2"/>
  <c r="AW857" i="2"/>
  <c r="AV857" i="2"/>
  <c r="AU857" i="2"/>
  <c r="AT857" i="2"/>
  <c r="AS857" i="2"/>
  <c r="AR857" i="2"/>
  <c r="AQ857" i="2"/>
  <c r="AP857" i="2"/>
  <c r="AO857" i="2"/>
  <c r="AX856" i="2"/>
  <c r="AW856" i="2"/>
  <c r="AV856" i="2"/>
  <c r="AU856" i="2"/>
  <c r="AT856" i="2"/>
  <c r="AS856" i="2"/>
  <c r="AR856" i="2"/>
  <c r="AQ856" i="2"/>
  <c r="AP856" i="2"/>
  <c r="AO856" i="2"/>
  <c r="AX855" i="2"/>
  <c r="AW855" i="2"/>
  <c r="AV855" i="2"/>
  <c r="AU855" i="2"/>
  <c r="AT855" i="2"/>
  <c r="AS855" i="2"/>
  <c r="AR855" i="2"/>
  <c r="AQ855" i="2"/>
  <c r="AP855" i="2"/>
  <c r="AO855" i="2"/>
  <c r="AX854" i="2"/>
  <c r="AW854" i="2"/>
  <c r="AV854" i="2"/>
  <c r="AU854" i="2"/>
  <c r="AT854" i="2"/>
  <c r="AT853" i="2"/>
  <c r="AT865" i="2"/>
  <c r="AS854" i="2"/>
  <c r="AR854" i="2"/>
  <c r="AQ854" i="2"/>
  <c r="AP854" i="2"/>
  <c r="AO854" i="2"/>
  <c r="AX853" i="2"/>
  <c r="AW853" i="2"/>
  <c r="AV853" i="2"/>
  <c r="AU853" i="2"/>
  <c r="AS853" i="2"/>
  <c r="AR853" i="2"/>
  <c r="AR865" i="2"/>
  <c r="AQ853" i="2"/>
  <c r="AP853" i="2"/>
  <c r="AO853" i="2"/>
  <c r="AM840" i="2"/>
  <c r="AM841" i="2"/>
  <c r="AM842" i="2"/>
  <c r="AM843" i="2"/>
  <c r="AM844" i="2"/>
  <c r="AM845" i="2"/>
  <c r="AM846" i="2"/>
  <c r="AM847" i="2"/>
  <c r="AM848" i="2"/>
  <c r="AM849" i="2"/>
  <c r="E848" i="2"/>
  <c r="AX848" i="2"/>
  <c r="AW848" i="2"/>
  <c r="AV848" i="2"/>
  <c r="AU848" i="2"/>
  <c r="AT848" i="2"/>
  <c r="AS848" i="2"/>
  <c r="AR848" i="2"/>
  <c r="AQ848" i="2"/>
  <c r="AP848" i="2"/>
  <c r="AO848" i="2"/>
  <c r="T848" i="2"/>
  <c r="AW847" i="2"/>
  <c r="AV847" i="2"/>
  <c r="AU847" i="2"/>
  <c r="AT847" i="2"/>
  <c r="AS847" i="2"/>
  <c r="AR847" i="2"/>
  <c r="AQ847" i="2"/>
  <c r="AP847" i="2"/>
  <c r="AO847" i="2"/>
  <c r="T847" i="2"/>
  <c r="E847" i="2"/>
  <c r="AX847" i="2"/>
  <c r="E846" i="2"/>
  <c r="AX846" i="2"/>
  <c r="AW846" i="2"/>
  <c r="AV846" i="2"/>
  <c r="AU846" i="2"/>
  <c r="AT846" i="2"/>
  <c r="AS846" i="2"/>
  <c r="AR846" i="2"/>
  <c r="AQ846" i="2"/>
  <c r="AP846" i="2"/>
  <c r="AO846" i="2"/>
  <c r="T846" i="2"/>
  <c r="AX845" i="2"/>
  <c r="AW845" i="2"/>
  <c r="AV845" i="2"/>
  <c r="AU845" i="2"/>
  <c r="AT845" i="2"/>
  <c r="AS845" i="2"/>
  <c r="AR845" i="2"/>
  <c r="AQ845" i="2"/>
  <c r="AP845" i="2"/>
  <c r="AO845" i="2"/>
  <c r="T845" i="2"/>
  <c r="G844" i="2"/>
  <c r="AX844" i="2"/>
  <c r="AU844" i="2"/>
  <c r="AR844" i="2"/>
  <c r="AQ844" i="2"/>
  <c r="I844" i="2"/>
  <c r="AP844" i="2"/>
  <c r="T844" i="2"/>
  <c r="AW844" i="2"/>
  <c r="G843" i="2"/>
  <c r="AX843" i="2"/>
  <c r="AW843" i="2"/>
  <c r="AV843" i="2"/>
  <c r="I843" i="2"/>
  <c r="AP843" i="2"/>
  <c r="AO843" i="2"/>
  <c r="T843" i="2"/>
  <c r="AU843" i="2"/>
  <c r="G842" i="2"/>
  <c r="AW842" i="2"/>
  <c r="AV842" i="2"/>
  <c r="AU842" i="2"/>
  <c r="AT842" i="2"/>
  <c r="AQ842" i="2"/>
  <c r="AO842" i="2"/>
  <c r="AM851" i="2"/>
  <c r="T842" i="2"/>
  <c r="I842" i="2"/>
  <c r="AS842" i="2"/>
  <c r="G841" i="2"/>
  <c r="AT841" i="2"/>
  <c r="AR841" i="2"/>
  <c r="T841" i="2"/>
  <c r="I841" i="2"/>
  <c r="AQ841" i="2"/>
  <c r="G840" i="2"/>
  <c r="AX840" i="2"/>
  <c r="AU840" i="2"/>
  <c r="AR840" i="2"/>
  <c r="AQ840" i="2"/>
  <c r="I840" i="2"/>
  <c r="AP840" i="2"/>
  <c r="T840" i="2"/>
  <c r="AW840" i="2"/>
  <c r="G839" i="2"/>
  <c r="AX839" i="2"/>
  <c r="AW839" i="2"/>
  <c r="AV839" i="2"/>
  <c r="AU839" i="2"/>
  <c r="AS839" i="2"/>
  <c r="AQ839" i="2"/>
  <c r="I839" i="2"/>
  <c r="AP839" i="2"/>
  <c r="AO839" i="2"/>
  <c r="T839" i="2"/>
  <c r="AT839" i="2"/>
  <c r="G838" i="2"/>
  <c r="AU838" i="2"/>
  <c r="AS838" i="2"/>
  <c r="T838" i="2"/>
  <c r="I838" i="2"/>
  <c r="AR838" i="2"/>
  <c r="G837" i="2"/>
  <c r="AX837" i="2"/>
  <c r="AW837" i="2"/>
  <c r="AV837" i="2"/>
  <c r="AU837" i="2"/>
  <c r="AS837" i="2"/>
  <c r="AR837" i="2"/>
  <c r="AQ837" i="2"/>
  <c r="I837" i="2"/>
  <c r="AP837" i="2"/>
  <c r="AO837" i="2"/>
  <c r="T837" i="2"/>
  <c r="AT837" i="2"/>
  <c r="G836" i="2"/>
  <c r="AX836" i="2"/>
  <c r="AW836" i="2"/>
  <c r="AV836" i="2"/>
  <c r="AU836" i="2"/>
  <c r="AR836" i="2"/>
  <c r="AO836" i="2"/>
  <c r="T836" i="2"/>
  <c r="I836" i="2"/>
  <c r="AP836" i="2"/>
  <c r="AT836" i="2"/>
  <c r="T835" i="2"/>
  <c r="G835" i="2"/>
  <c r="G834" i="2"/>
  <c r="AX834" i="2"/>
  <c r="AW834" i="2"/>
  <c r="AQ834" i="2"/>
  <c r="AO834" i="2"/>
  <c r="T834" i="2"/>
  <c r="AV834" i="2"/>
  <c r="G833" i="2"/>
  <c r="AT833" i="2"/>
  <c r="T833" i="2"/>
  <c r="AV833" i="2"/>
  <c r="AX832" i="2"/>
  <c r="AW832" i="2"/>
  <c r="AV832" i="2"/>
  <c r="AU832" i="2"/>
  <c r="AT832" i="2"/>
  <c r="AS832" i="2"/>
  <c r="AR832" i="2"/>
  <c r="AQ832" i="2"/>
  <c r="AP832" i="2"/>
  <c r="AO832" i="2"/>
  <c r="T832" i="2"/>
  <c r="AX831" i="2"/>
  <c r="AW831" i="2"/>
  <c r="AV831" i="2"/>
  <c r="AU831" i="2"/>
  <c r="AT831" i="2"/>
  <c r="AS831" i="2"/>
  <c r="AR831" i="2"/>
  <c r="AQ831" i="2"/>
  <c r="AP831" i="2"/>
  <c r="AO831" i="2"/>
  <c r="T831" i="2"/>
  <c r="AX830" i="2"/>
  <c r="AW830" i="2"/>
  <c r="AV830" i="2"/>
  <c r="AU830" i="2"/>
  <c r="AT830" i="2"/>
  <c r="AS830" i="2"/>
  <c r="AR830" i="2"/>
  <c r="AQ830" i="2"/>
  <c r="AP830" i="2"/>
  <c r="AO830" i="2"/>
  <c r="T830" i="2"/>
  <c r="AX829" i="2"/>
  <c r="AW829" i="2"/>
  <c r="AV829" i="2"/>
  <c r="AU829" i="2"/>
  <c r="AT829" i="2"/>
  <c r="AS829" i="2"/>
  <c r="AR829" i="2"/>
  <c r="AQ829" i="2"/>
  <c r="AP829" i="2"/>
  <c r="AO829" i="2"/>
  <c r="T829" i="2"/>
  <c r="AX828" i="2"/>
  <c r="AW828" i="2"/>
  <c r="AV828" i="2"/>
  <c r="AU828" i="2"/>
  <c r="AT828" i="2"/>
  <c r="AS828" i="2"/>
  <c r="AR828" i="2"/>
  <c r="AQ828" i="2"/>
  <c r="AP828" i="2"/>
  <c r="AO828" i="2"/>
  <c r="T828" i="2"/>
  <c r="AX827" i="2"/>
  <c r="AW827" i="2"/>
  <c r="AV827" i="2"/>
  <c r="AU827" i="2"/>
  <c r="AT827" i="2"/>
  <c r="AS827" i="2"/>
  <c r="AR827" i="2"/>
  <c r="AQ827" i="2"/>
  <c r="AP827" i="2"/>
  <c r="AO827" i="2"/>
  <c r="T827" i="2"/>
  <c r="S821" i="2"/>
  <c r="S824" i="2"/>
  <c r="H824" i="2"/>
  <c r="G824" i="2"/>
  <c r="H823" i="2"/>
  <c r="G823" i="2"/>
  <c r="S822" i="2"/>
  <c r="G822" i="2"/>
  <c r="AX821" i="2"/>
  <c r="AW821" i="2"/>
  <c r="AV821" i="2"/>
  <c r="AU821" i="2"/>
  <c r="AT821" i="2"/>
  <c r="AS821" i="2"/>
  <c r="AR821" i="2"/>
  <c r="AO821" i="2"/>
  <c r="AM821" i="2"/>
  <c r="U821" i="2"/>
  <c r="T821" i="2"/>
  <c r="S823" i="2"/>
  <c r="AX820" i="2"/>
  <c r="AW820" i="2"/>
  <c r="AV820" i="2"/>
  <c r="AU820" i="2"/>
  <c r="AT820" i="2"/>
  <c r="AS820" i="2"/>
  <c r="AR820" i="2"/>
  <c r="AQ820" i="2"/>
  <c r="AP820" i="2"/>
  <c r="AO820" i="2"/>
  <c r="R820" i="2"/>
  <c r="AH820" i="2"/>
  <c r="AX819" i="2"/>
  <c r="AW819" i="2"/>
  <c r="AV819" i="2"/>
  <c r="AU819" i="2"/>
  <c r="AT819" i="2"/>
  <c r="AS819" i="2"/>
  <c r="AR819" i="2"/>
  <c r="AQ819" i="2"/>
  <c r="AP819" i="2"/>
  <c r="AO819" i="2"/>
  <c r="R819" i="2"/>
  <c r="AH819" i="2"/>
  <c r="AX818" i="2"/>
  <c r="AW818" i="2"/>
  <c r="AV818" i="2"/>
  <c r="AU818" i="2"/>
  <c r="AT818" i="2"/>
  <c r="AS818" i="2"/>
  <c r="AR818" i="2"/>
  <c r="AQ818" i="2"/>
  <c r="AP818" i="2"/>
  <c r="AO818" i="2"/>
  <c r="R818" i="2"/>
  <c r="AH818" i="2"/>
  <c r="AX817" i="2"/>
  <c r="AW817" i="2"/>
  <c r="AV817" i="2"/>
  <c r="AU817" i="2"/>
  <c r="AT817" i="2"/>
  <c r="AS817" i="2"/>
  <c r="AR817" i="2"/>
  <c r="AQ817" i="2"/>
  <c r="AP817" i="2"/>
  <c r="AO817" i="2"/>
  <c r="R817" i="2"/>
  <c r="AH817" i="2"/>
  <c r="AX816" i="2"/>
  <c r="AW816" i="2"/>
  <c r="AV816" i="2"/>
  <c r="AU816" i="2"/>
  <c r="AT816" i="2"/>
  <c r="AS816" i="2"/>
  <c r="AR816" i="2"/>
  <c r="AQ816" i="2"/>
  <c r="AP816" i="2"/>
  <c r="AO816" i="2"/>
  <c r="AM816" i="2"/>
  <c r="R816" i="2"/>
  <c r="AH816" i="2"/>
  <c r="AX815" i="2"/>
  <c r="AW815" i="2"/>
  <c r="AV815" i="2"/>
  <c r="AU815" i="2"/>
  <c r="AT815" i="2"/>
  <c r="AS815" i="2"/>
  <c r="AR815" i="2"/>
  <c r="AQ815" i="2"/>
  <c r="AP815" i="2"/>
  <c r="AO815" i="2"/>
  <c r="R815" i="2"/>
  <c r="AH815" i="2"/>
  <c r="AX814" i="2"/>
  <c r="AW814" i="2"/>
  <c r="AV814" i="2"/>
  <c r="AU814" i="2"/>
  <c r="AT814" i="2"/>
  <c r="AS814" i="2"/>
  <c r="AR814" i="2"/>
  <c r="AQ814" i="2"/>
  <c r="AP814" i="2"/>
  <c r="AO814" i="2"/>
  <c r="R814" i="2"/>
  <c r="AH814" i="2"/>
  <c r="AX813" i="2"/>
  <c r="AW813" i="2"/>
  <c r="AV813" i="2"/>
  <c r="AU813" i="2"/>
  <c r="AT813" i="2"/>
  <c r="AS813" i="2"/>
  <c r="AR813" i="2"/>
  <c r="AQ813" i="2"/>
  <c r="AP813" i="2"/>
  <c r="AO813" i="2"/>
  <c r="AM813" i="2"/>
  <c r="R813" i="2"/>
  <c r="AH813" i="2"/>
  <c r="AX812" i="2"/>
  <c r="AW812" i="2"/>
  <c r="AV812" i="2"/>
  <c r="AU812" i="2"/>
  <c r="AT812" i="2"/>
  <c r="AS812" i="2"/>
  <c r="AR812" i="2"/>
  <c r="AQ812" i="2"/>
  <c r="AP812" i="2"/>
  <c r="AO812" i="2"/>
  <c r="AM812" i="2"/>
  <c r="R812" i="2"/>
  <c r="AH812" i="2"/>
  <c r="AX811" i="2"/>
  <c r="AW811" i="2"/>
  <c r="AV811" i="2"/>
  <c r="AU811" i="2"/>
  <c r="AT811" i="2"/>
  <c r="AS811" i="2"/>
  <c r="AR811" i="2"/>
  <c r="AQ811" i="2"/>
  <c r="AP811" i="2"/>
  <c r="AO811" i="2"/>
  <c r="AM811" i="2"/>
  <c r="R811" i="2"/>
  <c r="AH811" i="2"/>
  <c r="AX810" i="2"/>
  <c r="AW810" i="2"/>
  <c r="AV810" i="2"/>
  <c r="AU810" i="2"/>
  <c r="AT810" i="2"/>
  <c r="AS810" i="2"/>
  <c r="AR810" i="2"/>
  <c r="AQ810" i="2"/>
  <c r="AP810" i="2"/>
  <c r="AO810" i="2"/>
  <c r="AM810" i="2"/>
  <c r="R810" i="2"/>
  <c r="AH810" i="2"/>
  <c r="AX809" i="2"/>
  <c r="AW809" i="2"/>
  <c r="AV809" i="2"/>
  <c r="AU809" i="2"/>
  <c r="AT809" i="2"/>
  <c r="AS809" i="2"/>
  <c r="AR809" i="2"/>
  <c r="AQ809" i="2"/>
  <c r="AP809" i="2"/>
  <c r="AO809" i="2"/>
  <c r="AM809" i="2"/>
  <c r="R809" i="2"/>
  <c r="AH809" i="2"/>
  <c r="AX808" i="2"/>
  <c r="AW808" i="2"/>
  <c r="AV808" i="2"/>
  <c r="AU808" i="2"/>
  <c r="AT808" i="2"/>
  <c r="AS808" i="2"/>
  <c r="AR808" i="2"/>
  <c r="AQ808" i="2"/>
  <c r="AP808" i="2"/>
  <c r="AO808" i="2"/>
  <c r="AM808" i="2"/>
  <c r="R808" i="2"/>
  <c r="AH808" i="2"/>
  <c r="AX807" i="2"/>
  <c r="AW807" i="2"/>
  <c r="AV807" i="2"/>
  <c r="AU807" i="2"/>
  <c r="AT807" i="2"/>
  <c r="AS807" i="2"/>
  <c r="AR807" i="2"/>
  <c r="AQ807" i="2"/>
  <c r="AP807" i="2"/>
  <c r="AO807" i="2"/>
  <c r="AM807" i="2"/>
  <c r="R807" i="2"/>
  <c r="AH807" i="2"/>
  <c r="AX806" i="2"/>
  <c r="AW806" i="2"/>
  <c r="AV806" i="2"/>
  <c r="AU806" i="2"/>
  <c r="AT806" i="2"/>
  <c r="AS806" i="2"/>
  <c r="AR806" i="2"/>
  <c r="AQ806" i="2"/>
  <c r="AP806" i="2"/>
  <c r="AO806" i="2"/>
  <c r="AM806" i="2"/>
  <c r="R806" i="2"/>
  <c r="AH806" i="2"/>
  <c r="AX805" i="2"/>
  <c r="AW805" i="2"/>
  <c r="AV805" i="2"/>
  <c r="AU805" i="2"/>
  <c r="AT805" i="2"/>
  <c r="AS805" i="2"/>
  <c r="AR805" i="2"/>
  <c r="AQ805" i="2"/>
  <c r="AP805" i="2"/>
  <c r="AO805" i="2"/>
  <c r="AM805" i="2"/>
  <c r="R805" i="2"/>
  <c r="AH805" i="2"/>
  <c r="AX804" i="2"/>
  <c r="AW804" i="2"/>
  <c r="AW794" i="2"/>
  <c r="AW795" i="2"/>
  <c r="AW796" i="2"/>
  <c r="AW797" i="2"/>
  <c r="AW798" i="2"/>
  <c r="AW799" i="2"/>
  <c r="AW800" i="2"/>
  <c r="AW801" i="2"/>
  <c r="AW802" i="2"/>
  <c r="AW803" i="2"/>
  <c r="AW822" i="2"/>
  <c r="AV804" i="2"/>
  <c r="AU804" i="2"/>
  <c r="AT804" i="2"/>
  <c r="AS804" i="2"/>
  <c r="AR804" i="2"/>
  <c r="AQ804" i="2"/>
  <c r="AP804" i="2"/>
  <c r="AO804" i="2"/>
  <c r="AO794" i="2"/>
  <c r="AO795" i="2"/>
  <c r="AO796" i="2"/>
  <c r="AO797" i="2"/>
  <c r="AO798" i="2"/>
  <c r="AO799" i="2"/>
  <c r="AO800" i="2"/>
  <c r="AO801" i="2"/>
  <c r="AO802" i="2"/>
  <c r="AO803" i="2"/>
  <c r="AO822" i="2"/>
  <c r="H822" i="2"/>
  <c r="AM804" i="2"/>
  <c r="R804" i="2"/>
  <c r="AH804" i="2"/>
  <c r="AX803" i="2"/>
  <c r="AV803" i="2"/>
  <c r="AU803" i="2"/>
  <c r="AT803" i="2"/>
  <c r="AS803" i="2"/>
  <c r="AR803" i="2"/>
  <c r="AQ803" i="2"/>
  <c r="AP803" i="2"/>
  <c r="AM803" i="2"/>
  <c r="R803" i="2"/>
  <c r="AH803" i="2"/>
  <c r="AX802" i="2"/>
  <c r="AV802" i="2"/>
  <c r="AU802" i="2"/>
  <c r="AT802" i="2"/>
  <c r="AS802" i="2"/>
  <c r="AR802" i="2"/>
  <c r="AQ802" i="2"/>
  <c r="AP802" i="2"/>
  <c r="AM802" i="2"/>
  <c r="R802" i="2"/>
  <c r="AH802" i="2"/>
  <c r="AX801" i="2"/>
  <c r="AV801" i="2"/>
  <c r="AU801" i="2"/>
  <c r="AT801" i="2"/>
  <c r="AS801" i="2"/>
  <c r="AR801" i="2"/>
  <c r="AQ801" i="2"/>
  <c r="AP801" i="2"/>
  <c r="AM801" i="2"/>
  <c r="R801" i="2"/>
  <c r="AH801" i="2"/>
  <c r="AX800" i="2"/>
  <c r="AV800" i="2"/>
  <c r="AU800" i="2"/>
  <c r="AT800" i="2"/>
  <c r="AS800" i="2"/>
  <c r="AR800" i="2"/>
  <c r="AQ800" i="2"/>
  <c r="AP800" i="2"/>
  <c r="AM800" i="2"/>
  <c r="R800" i="2"/>
  <c r="AH800" i="2"/>
  <c r="AX799" i="2"/>
  <c r="AV799" i="2"/>
  <c r="AU799" i="2"/>
  <c r="AT799" i="2"/>
  <c r="AS799" i="2"/>
  <c r="AR799" i="2"/>
  <c r="AQ799" i="2"/>
  <c r="AP799" i="2"/>
  <c r="AM799" i="2"/>
  <c r="R799" i="2"/>
  <c r="AH799" i="2"/>
  <c r="AX798" i="2"/>
  <c r="AV798" i="2"/>
  <c r="AU798" i="2"/>
  <c r="AT798" i="2"/>
  <c r="AS798" i="2"/>
  <c r="AR798" i="2"/>
  <c r="AQ798" i="2"/>
  <c r="AP798" i="2"/>
  <c r="AM798" i="2"/>
  <c r="R798" i="2"/>
  <c r="AH798" i="2"/>
  <c r="AX797" i="2"/>
  <c r="AV797" i="2"/>
  <c r="AU797" i="2"/>
  <c r="AT797" i="2"/>
  <c r="AS797" i="2"/>
  <c r="AR797" i="2"/>
  <c r="AQ797" i="2"/>
  <c r="AP797" i="2"/>
  <c r="AM797" i="2"/>
  <c r="R797" i="2"/>
  <c r="AH797" i="2"/>
  <c r="AX796" i="2"/>
  <c r="AV796" i="2"/>
  <c r="AU796" i="2"/>
  <c r="AT796" i="2"/>
  <c r="AS796" i="2"/>
  <c r="AR796" i="2"/>
  <c r="AQ796" i="2"/>
  <c r="AP796" i="2"/>
  <c r="AM796" i="2"/>
  <c r="R796" i="2"/>
  <c r="AH796" i="2"/>
  <c r="AX795" i="2"/>
  <c r="AV795" i="2"/>
  <c r="AU795" i="2"/>
  <c r="AT795" i="2"/>
  <c r="AS795" i="2"/>
  <c r="AR795" i="2"/>
  <c r="AQ795" i="2"/>
  <c r="AP795" i="2"/>
  <c r="AM795" i="2"/>
  <c r="R795" i="2"/>
  <c r="AH795" i="2"/>
  <c r="AX794" i="2"/>
  <c r="AV794" i="2"/>
  <c r="AU794" i="2"/>
  <c r="AT794" i="2"/>
  <c r="AT822" i="2"/>
  <c r="AS794" i="2"/>
  <c r="AR794" i="2"/>
  <c r="AQ794" i="2"/>
  <c r="AP794" i="2"/>
  <c r="AM794" i="2"/>
  <c r="R794" i="2"/>
  <c r="AM787" i="2"/>
  <c r="AM789" i="2"/>
  <c r="AM792" i="2"/>
  <c r="S792" i="2"/>
  <c r="R792" i="2"/>
  <c r="J792" i="2"/>
  <c r="I792" i="2"/>
  <c r="H792" i="2"/>
  <c r="G792" i="2"/>
  <c r="AM791" i="2"/>
  <c r="S791" i="2"/>
  <c r="R791" i="2"/>
  <c r="J791" i="2"/>
  <c r="I791" i="2"/>
  <c r="H791" i="2"/>
  <c r="G791" i="2"/>
  <c r="AP787" i="2"/>
  <c r="AP788" i="2"/>
  <c r="AP789" i="2"/>
  <c r="AP790" i="2"/>
  <c r="G790" i="2"/>
  <c r="I790" i="2"/>
  <c r="S790" i="2"/>
  <c r="R790" i="2"/>
  <c r="AX789" i="2"/>
  <c r="AW789" i="2"/>
  <c r="AV789" i="2"/>
  <c r="AU789" i="2"/>
  <c r="AT789" i="2"/>
  <c r="AS789" i="2"/>
  <c r="AR789" i="2"/>
  <c r="AQ789" i="2"/>
  <c r="AO789" i="2"/>
  <c r="U789" i="2"/>
  <c r="T789" i="2"/>
  <c r="AX788" i="2"/>
  <c r="AX787" i="2"/>
  <c r="AX790" i="2"/>
  <c r="AW788" i="2"/>
  <c r="AV788" i="2"/>
  <c r="AU788" i="2"/>
  <c r="AT788" i="2"/>
  <c r="AS788" i="2"/>
  <c r="AR788" i="2"/>
  <c r="AQ788" i="2"/>
  <c r="AQ787" i="2"/>
  <c r="AQ790" i="2"/>
  <c r="J790" i="2"/>
  <c r="AO788" i="2"/>
  <c r="AW787" i="2"/>
  <c r="AW790" i="2"/>
  <c r="AV787" i="2"/>
  <c r="AV790" i="2"/>
  <c r="AU787" i="2"/>
  <c r="AT787" i="2"/>
  <c r="AT790" i="2"/>
  <c r="AS787" i="2"/>
  <c r="AS790" i="2"/>
  <c r="AR787" i="2"/>
  <c r="AR790" i="2"/>
  <c r="AO787" i="2"/>
  <c r="AO790" i="2"/>
  <c r="H790" i="2"/>
  <c r="AM790" i="2"/>
  <c r="AM785" i="2"/>
  <c r="AL785" i="2"/>
  <c r="AJ785" i="2"/>
  <c r="AI785" i="2"/>
  <c r="W785" i="2"/>
  <c r="S785" i="2"/>
  <c r="R785" i="2"/>
  <c r="J777" i="2"/>
  <c r="J778" i="2"/>
  <c r="J785" i="2"/>
  <c r="H785" i="2"/>
  <c r="G785" i="2"/>
  <c r="AM784" i="2"/>
  <c r="AL784" i="2"/>
  <c r="AJ784" i="2"/>
  <c r="AI784" i="2"/>
  <c r="W784" i="2"/>
  <c r="S784" i="2"/>
  <c r="R784" i="2"/>
  <c r="H784" i="2"/>
  <c r="G784" i="2"/>
  <c r="AW765" i="2"/>
  <c r="AW766" i="2"/>
  <c r="AW767" i="2"/>
  <c r="AW768" i="2"/>
  <c r="AW769" i="2"/>
  <c r="AW770" i="2"/>
  <c r="AW771" i="2"/>
  <c r="AW772" i="2"/>
  <c r="AW773" i="2"/>
  <c r="AW774" i="2"/>
  <c r="AW775" i="2"/>
  <c r="AW776" i="2"/>
  <c r="AW777" i="2"/>
  <c r="AW778" i="2"/>
  <c r="AW779" i="2"/>
  <c r="AW780" i="2"/>
  <c r="AW781" i="2"/>
  <c r="AW782" i="2"/>
  <c r="AW783" i="2"/>
  <c r="AM783" i="2"/>
  <c r="AL783" i="2"/>
  <c r="AI783" i="2"/>
  <c r="AJ783" i="2"/>
  <c r="W783" i="2"/>
  <c r="S783" i="2"/>
  <c r="R783" i="2"/>
  <c r="G783" i="2"/>
  <c r="AX782" i="2"/>
  <c r="AV782" i="2"/>
  <c r="AU782" i="2"/>
  <c r="AT782" i="2"/>
  <c r="AS782" i="2"/>
  <c r="AQ782" i="2"/>
  <c r="AP782" i="2"/>
  <c r="AO782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3" i="2"/>
  <c r="H783" i="2"/>
  <c r="V782" i="2"/>
  <c r="U782" i="2"/>
  <c r="K782" i="2"/>
  <c r="AR782" i="2"/>
  <c r="AX781" i="2"/>
  <c r="AV781" i="2"/>
  <c r="AU781" i="2"/>
  <c r="AT781" i="2"/>
  <c r="AS781" i="2"/>
  <c r="AQ781" i="2"/>
  <c r="AP781" i="2"/>
  <c r="V781" i="2"/>
  <c r="U781" i="2"/>
  <c r="K781" i="2"/>
  <c r="AR781" i="2"/>
  <c r="AX780" i="2"/>
  <c r="AV780" i="2"/>
  <c r="AU780" i="2"/>
  <c r="AT780" i="2"/>
  <c r="AS780" i="2"/>
  <c r="K780" i="2"/>
  <c r="AR780" i="2"/>
  <c r="AQ780" i="2"/>
  <c r="AP780" i="2"/>
  <c r="V780" i="2"/>
  <c r="U780" i="2"/>
  <c r="AX779" i="2"/>
  <c r="AV779" i="2"/>
  <c r="AU779" i="2"/>
  <c r="AT779" i="2"/>
  <c r="AS779" i="2"/>
  <c r="K779" i="2"/>
  <c r="AR779" i="2"/>
  <c r="AQ779" i="2"/>
  <c r="AP779" i="2"/>
  <c r="V779" i="2"/>
  <c r="U779" i="2"/>
  <c r="AX778" i="2"/>
  <c r="AV778" i="2"/>
  <c r="AU778" i="2"/>
  <c r="AT778" i="2"/>
  <c r="AS778" i="2"/>
  <c r="K778" i="2"/>
  <c r="AR778" i="2"/>
  <c r="AP778" i="2"/>
  <c r="V778" i="2"/>
  <c r="AQ778" i="2"/>
  <c r="AX777" i="2"/>
  <c r="AV777" i="2"/>
  <c r="AU777" i="2"/>
  <c r="AT777" i="2"/>
  <c r="AS777" i="2"/>
  <c r="K777" i="2"/>
  <c r="AR777" i="2"/>
  <c r="AP777" i="2"/>
  <c r="V777" i="2"/>
  <c r="J784" i="2"/>
  <c r="AX776" i="2"/>
  <c r="AV776" i="2"/>
  <c r="AU776" i="2"/>
  <c r="AT776" i="2"/>
  <c r="AS776" i="2"/>
  <c r="AQ776" i="2"/>
  <c r="AP776" i="2"/>
  <c r="V776" i="2"/>
  <c r="U776" i="2"/>
  <c r="K776" i="2"/>
  <c r="AR776" i="2"/>
  <c r="AX775" i="2"/>
  <c r="AV775" i="2"/>
  <c r="AU775" i="2"/>
  <c r="AT775" i="2"/>
  <c r="AS775" i="2"/>
  <c r="K775" i="2"/>
  <c r="AR775" i="2"/>
  <c r="AQ775" i="2"/>
  <c r="AP775" i="2"/>
  <c r="V775" i="2"/>
  <c r="U775" i="2"/>
  <c r="AX774" i="2"/>
  <c r="AV774" i="2"/>
  <c r="AU774" i="2"/>
  <c r="AT774" i="2"/>
  <c r="AS774" i="2"/>
  <c r="AQ774" i="2"/>
  <c r="AP774" i="2"/>
  <c r="V774" i="2"/>
  <c r="U774" i="2"/>
  <c r="K774" i="2"/>
  <c r="AR774" i="2"/>
  <c r="AX773" i="2"/>
  <c r="AV773" i="2"/>
  <c r="AU773" i="2"/>
  <c r="AT773" i="2"/>
  <c r="AS773" i="2"/>
  <c r="AQ773" i="2"/>
  <c r="AP773" i="2"/>
  <c r="V773" i="2"/>
  <c r="V771" i="2"/>
  <c r="V772" i="2"/>
  <c r="V784" i="2"/>
  <c r="U773" i="2"/>
  <c r="K773" i="2"/>
  <c r="AR773" i="2"/>
  <c r="AX772" i="2"/>
  <c r="AV772" i="2"/>
  <c r="AU772" i="2"/>
  <c r="AT772" i="2"/>
  <c r="AS772" i="2"/>
  <c r="K772" i="2"/>
  <c r="AR772" i="2"/>
  <c r="AQ772" i="2"/>
  <c r="AP772" i="2"/>
  <c r="U772" i="2"/>
  <c r="AX771" i="2"/>
  <c r="AV771" i="2"/>
  <c r="AU771" i="2"/>
  <c r="AT771" i="2"/>
  <c r="AS771" i="2"/>
  <c r="K771" i="2"/>
  <c r="AR771" i="2"/>
  <c r="AQ771" i="2"/>
  <c r="AP771" i="2"/>
  <c r="U771" i="2"/>
  <c r="AX770" i="2"/>
  <c r="AV770" i="2"/>
  <c r="AU770" i="2"/>
  <c r="AT770" i="2"/>
  <c r="AS770" i="2"/>
  <c r="AR770" i="2"/>
  <c r="AQ770" i="2"/>
  <c r="AP770" i="2"/>
  <c r="U770" i="2"/>
  <c r="AX769" i="2"/>
  <c r="AV769" i="2"/>
  <c r="AU769" i="2"/>
  <c r="AT769" i="2"/>
  <c r="AS769" i="2"/>
  <c r="AR769" i="2"/>
  <c r="AQ769" i="2"/>
  <c r="AP769" i="2"/>
  <c r="U769" i="2"/>
  <c r="AX768" i="2"/>
  <c r="AV768" i="2"/>
  <c r="AU768" i="2"/>
  <c r="AT768" i="2"/>
  <c r="AS768" i="2"/>
  <c r="AR768" i="2"/>
  <c r="AQ768" i="2"/>
  <c r="AP768" i="2"/>
  <c r="U768" i="2"/>
  <c r="AX767" i="2"/>
  <c r="AV767" i="2"/>
  <c r="AU767" i="2"/>
  <c r="AT767" i="2"/>
  <c r="AS767" i="2"/>
  <c r="AR767" i="2"/>
  <c r="AQ767" i="2"/>
  <c r="AP767" i="2"/>
  <c r="U767" i="2"/>
  <c r="U765" i="2"/>
  <c r="U766" i="2"/>
  <c r="U784" i="2"/>
  <c r="AX766" i="2"/>
  <c r="AV766" i="2"/>
  <c r="AU766" i="2"/>
  <c r="AT766" i="2"/>
  <c r="AS766" i="2"/>
  <c r="AR766" i="2"/>
  <c r="AQ766" i="2"/>
  <c r="AP766" i="2"/>
  <c r="AX765" i="2"/>
  <c r="AV765" i="2"/>
  <c r="AU765" i="2"/>
  <c r="AT765" i="2"/>
  <c r="AT783" i="2"/>
  <c r="AS765" i="2"/>
  <c r="AR765" i="2"/>
  <c r="AQ765" i="2"/>
  <c r="AP765" i="2"/>
  <c r="AX764" i="2"/>
  <c r="AW764" i="2"/>
  <c r="AV764" i="2"/>
  <c r="AU764" i="2"/>
  <c r="AT764" i="2"/>
  <c r="AS764" i="2"/>
  <c r="AR764" i="2"/>
  <c r="AQ764" i="2"/>
  <c r="AP764" i="2"/>
  <c r="AO764" i="2"/>
  <c r="AM762" i="2"/>
  <c r="W762" i="2"/>
  <c r="U750" i="2"/>
  <c r="U751" i="2"/>
  <c r="U752" i="2"/>
  <c r="U753" i="2"/>
  <c r="U754" i="2"/>
  <c r="U755" i="2"/>
  <c r="U756" i="2"/>
  <c r="U757" i="2"/>
  <c r="U762" i="2"/>
  <c r="S762" i="2"/>
  <c r="K762" i="2"/>
  <c r="H762" i="2"/>
  <c r="G762" i="2"/>
  <c r="AM761" i="2"/>
  <c r="W761" i="2"/>
  <c r="U761" i="2"/>
  <c r="S761" i="2"/>
  <c r="K761" i="2"/>
  <c r="J758" i="2"/>
  <c r="J759" i="2"/>
  <c r="J761" i="2"/>
  <c r="H761" i="2"/>
  <c r="G761" i="2"/>
  <c r="AM760" i="2"/>
  <c r="W760" i="2"/>
  <c r="U760" i="2"/>
  <c r="S760" i="2"/>
  <c r="G760" i="2"/>
  <c r="AX759" i="2"/>
  <c r="AW759" i="2"/>
  <c r="AV759" i="2"/>
  <c r="AU759" i="2"/>
  <c r="AT759" i="2"/>
  <c r="AS759" i="2"/>
  <c r="AR759" i="2"/>
  <c r="AQ759" i="2"/>
  <c r="I759" i="2"/>
  <c r="AP759" i="2"/>
  <c r="AO759" i="2"/>
  <c r="AX758" i="2"/>
  <c r="AW758" i="2"/>
  <c r="AV758" i="2"/>
  <c r="AU758" i="2"/>
  <c r="AT758" i="2"/>
  <c r="AT750" i="2"/>
  <c r="AT751" i="2"/>
  <c r="AT752" i="2"/>
  <c r="AT753" i="2"/>
  <c r="AT754" i="2"/>
  <c r="AT755" i="2"/>
  <c r="AT756" i="2"/>
  <c r="AT757" i="2"/>
  <c r="AT760" i="2"/>
  <c r="AS758" i="2"/>
  <c r="AR758" i="2"/>
  <c r="AQ758" i="2"/>
  <c r="AO758" i="2"/>
  <c r="J762" i="2"/>
  <c r="I758" i="2"/>
  <c r="AX757" i="2"/>
  <c r="AW757" i="2"/>
  <c r="AV757" i="2"/>
  <c r="AU757" i="2"/>
  <c r="AS757" i="2"/>
  <c r="AR757" i="2"/>
  <c r="AQ757" i="2"/>
  <c r="AP757" i="2"/>
  <c r="AO757" i="2"/>
  <c r="T757" i="2"/>
  <c r="AX756" i="2"/>
  <c r="AW756" i="2"/>
  <c r="AV756" i="2"/>
  <c r="AU756" i="2"/>
  <c r="AS756" i="2"/>
  <c r="AR756" i="2"/>
  <c r="AQ756" i="2"/>
  <c r="AP756" i="2"/>
  <c r="AO756" i="2"/>
  <c r="T756" i="2"/>
  <c r="AX755" i="2"/>
  <c r="AW755" i="2"/>
  <c r="AV755" i="2"/>
  <c r="AU755" i="2"/>
  <c r="AS755" i="2"/>
  <c r="AR755" i="2"/>
  <c r="AQ755" i="2"/>
  <c r="AP755" i="2"/>
  <c r="AO755" i="2"/>
  <c r="T755" i="2"/>
  <c r="AX754" i="2"/>
  <c r="AW754" i="2"/>
  <c r="AV754" i="2"/>
  <c r="AU754" i="2"/>
  <c r="AS754" i="2"/>
  <c r="AR754" i="2"/>
  <c r="AQ754" i="2"/>
  <c r="AP754" i="2"/>
  <c r="AO754" i="2"/>
  <c r="T754" i="2"/>
  <c r="AX753" i="2"/>
  <c r="AW753" i="2"/>
  <c r="AV753" i="2"/>
  <c r="AU753" i="2"/>
  <c r="AS753" i="2"/>
  <c r="AR753" i="2"/>
  <c r="AQ753" i="2"/>
  <c r="AP753" i="2"/>
  <c r="AO753" i="2"/>
  <c r="T753" i="2"/>
  <c r="AX752" i="2"/>
  <c r="AW752" i="2"/>
  <c r="AV752" i="2"/>
  <c r="AU752" i="2"/>
  <c r="AS752" i="2"/>
  <c r="AR752" i="2"/>
  <c r="AQ752" i="2"/>
  <c r="AP752" i="2"/>
  <c r="AO752" i="2"/>
  <c r="T752" i="2"/>
  <c r="AX751" i="2"/>
  <c r="AW751" i="2"/>
  <c r="AV751" i="2"/>
  <c r="AU751" i="2"/>
  <c r="AS751" i="2"/>
  <c r="AR751" i="2"/>
  <c r="AQ751" i="2"/>
  <c r="AP751" i="2"/>
  <c r="AO751" i="2"/>
  <c r="T751" i="2"/>
  <c r="AX750" i="2"/>
  <c r="AW750" i="2"/>
  <c r="AW760" i="2"/>
  <c r="AV750" i="2"/>
  <c r="AV760" i="2"/>
  <c r="AU750" i="2"/>
  <c r="AU760" i="2"/>
  <c r="AS750" i="2"/>
  <c r="AS760" i="2"/>
  <c r="AR750" i="2"/>
  <c r="AR760" i="2"/>
  <c r="K760" i="2"/>
  <c r="AQ750" i="2"/>
  <c r="AP750" i="2"/>
  <c r="AO750" i="2"/>
  <c r="AO760" i="2"/>
  <c r="H760" i="2"/>
  <c r="T750" i="2"/>
  <c r="S748" i="2"/>
  <c r="J748" i="2"/>
  <c r="H748" i="2"/>
  <c r="G748" i="2"/>
  <c r="S747" i="2"/>
  <c r="J747" i="2"/>
  <c r="H747" i="2"/>
  <c r="G747" i="2"/>
  <c r="S746" i="2"/>
  <c r="G746" i="2"/>
  <c r="AX745" i="2"/>
  <c r="AW745" i="2"/>
  <c r="AV745" i="2"/>
  <c r="AU745" i="2"/>
  <c r="AT745" i="2"/>
  <c r="AS745" i="2"/>
  <c r="AR745" i="2"/>
  <c r="AQ745" i="2"/>
  <c r="AP745" i="2"/>
  <c r="AO745" i="2"/>
  <c r="U745" i="2"/>
  <c r="AX744" i="2"/>
  <c r="AW744" i="2"/>
  <c r="AV744" i="2"/>
  <c r="AU744" i="2"/>
  <c r="AT744" i="2"/>
  <c r="AS744" i="2"/>
  <c r="AR744" i="2"/>
  <c r="AQ744" i="2"/>
  <c r="AP744" i="2"/>
  <c r="AO744" i="2"/>
  <c r="U744" i="2"/>
  <c r="AX743" i="2"/>
  <c r="AW743" i="2"/>
  <c r="AV743" i="2"/>
  <c r="AU743" i="2"/>
  <c r="AT743" i="2"/>
  <c r="AS743" i="2"/>
  <c r="AR743" i="2"/>
  <c r="AQ743" i="2"/>
  <c r="AP743" i="2"/>
  <c r="AO743" i="2"/>
  <c r="AH743" i="2"/>
  <c r="U743" i="2"/>
  <c r="R743" i="2"/>
  <c r="AX742" i="2"/>
  <c r="AW742" i="2"/>
  <c r="AV742" i="2"/>
  <c r="AU742" i="2"/>
  <c r="AT742" i="2"/>
  <c r="AS742" i="2"/>
  <c r="AR742" i="2"/>
  <c r="AQ742" i="2"/>
  <c r="AP742" i="2"/>
  <c r="AO742" i="2"/>
  <c r="U742" i="2"/>
  <c r="AX741" i="2"/>
  <c r="AW741" i="2"/>
  <c r="AV741" i="2"/>
  <c r="AU741" i="2"/>
  <c r="AT741" i="2"/>
  <c r="AS741" i="2"/>
  <c r="AR741" i="2"/>
  <c r="AQ741" i="2"/>
  <c r="AP741" i="2"/>
  <c r="AO741" i="2"/>
  <c r="U741" i="2"/>
  <c r="AX740" i="2"/>
  <c r="AW740" i="2"/>
  <c r="AV740" i="2"/>
  <c r="AU740" i="2"/>
  <c r="AT740" i="2"/>
  <c r="AS740" i="2"/>
  <c r="AR740" i="2"/>
  <c r="AQ740" i="2"/>
  <c r="AP740" i="2"/>
  <c r="AO740" i="2"/>
  <c r="AH740" i="2"/>
  <c r="U740" i="2"/>
  <c r="R740" i="2"/>
  <c r="AX739" i="2"/>
  <c r="AW739" i="2"/>
  <c r="AV739" i="2"/>
  <c r="AU739" i="2"/>
  <c r="AT739" i="2"/>
  <c r="AS739" i="2"/>
  <c r="AR739" i="2"/>
  <c r="AQ739" i="2"/>
  <c r="AP739" i="2"/>
  <c r="AO739" i="2"/>
  <c r="AH739" i="2"/>
  <c r="U739" i="2"/>
  <c r="R739" i="2"/>
  <c r="AX738" i="2"/>
  <c r="AW738" i="2"/>
  <c r="AV738" i="2"/>
  <c r="AU738" i="2"/>
  <c r="AT738" i="2"/>
  <c r="AS738" i="2"/>
  <c r="AR738" i="2"/>
  <c r="AQ738" i="2"/>
  <c r="AP738" i="2"/>
  <c r="AO738" i="2"/>
  <c r="AH738" i="2"/>
  <c r="U738" i="2"/>
  <c r="R738" i="2"/>
  <c r="AX737" i="2"/>
  <c r="AW737" i="2"/>
  <c r="AV737" i="2"/>
  <c r="AU737" i="2"/>
  <c r="AT737" i="2"/>
  <c r="AS737" i="2"/>
  <c r="AR737" i="2"/>
  <c r="AQ737" i="2"/>
  <c r="AP737" i="2"/>
  <c r="AO737" i="2"/>
  <c r="AH737" i="2"/>
  <c r="U737" i="2"/>
  <c r="R737" i="2"/>
  <c r="AX736" i="2"/>
  <c r="AW736" i="2"/>
  <c r="AV736" i="2"/>
  <c r="AU736" i="2"/>
  <c r="AT736" i="2"/>
  <c r="AS736" i="2"/>
  <c r="AR736" i="2"/>
  <c r="AQ736" i="2"/>
  <c r="AP736" i="2"/>
  <c r="AO736" i="2"/>
  <c r="AH736" i="2"/>
  <c r="U736" i="2"/>
  <c r="R736" i="2"/>
  <c r="AX735" i="2"/>
  <c r="AW735" i="2"/>
  <c r="AV735" i="2"/>
  <c r="AU735" i="2"/>
  <c r="AT735" i="2"/>
  <c r="AS735" i="2"/>
  <c r="AR735" i="2"/>
  <c r="AQ735" i="2"/>
  <c r="AP735" i="2"/>
  <c r="AO735" i="2"/>
  <c r="AH735" i="2"/>
  <c r="U735" i="2"/>
  <c r="R735" i="2"/>
  <c r="AX734" i="2"/>
  <c r="AW734" i="2"/>
  <c r="AV734" i="2"/>
  <c r="AU734" i="2"/>
  <c r="AT734" i="2"/>
  <c r="AS734" i="2"/>
  <c r="AR734" i="2"/>
  <c r="AQ734" i="2"/>
  <c r="AP734" i="2"/>
  <c r="AO734" i="2"/>
  <c r="AH734" i="2"/>
  <c r="U734" i="2"/>
  <c r="R734" i="2"/>
  <c r="AX733" i="2"/>
  <c r="AW733" i="2"/>
  <c r="AV733" i="2"/>
  <c r="AU733" i="2"/>
  <c r="AT733" i="2"/>
  <c r="AS733" i="2"/>
  <c r="AR733" i="2"/>
  <c r="AQ733" i="2"/>
  <c r="AP733" i="2"/>
  <c r="AO733" i="2"/>
  <c r="AH733" i="2"/>
  <c r="U733" i="2"/>
  <c r="R733" i="2"/>
  <c r="AX732" i="2"/>
  <c r="AW732" i="2"/>
  <c r="AV732" i="2"/>
  <c r="AU732" i="2"/>
  <c r="AT732" i="2"/>
  <c r="AS732" i="2"/>
  <c r="AR732" i="2"/>
  <c r="AQ732" i="2"/>
  <c r="AP732" i="2"/>
  <c r="AO732" i="2"/>
  <c r="AH732" i="2"/>
  <c r="U732" i="2"/>
  <c r="R732" i="2"/>
  <c r="AX731" i="2"/>
  <c r="AW731" i="2"/>
  <c r="AV731" i="2"/>
  <c r="AU731" i="2"/>
  <c r="AT731" i="2"/>
  <c r="AS731" i="2"/>
  <c r="AR731" i="2"/>
  <c r="AQ731" i="2"/>
  <c r="AP731" i="2"/>
  <c r="AO731" i="2"/>
  <c r="AH731" i="2"/>
  <c r="U731" i="2"/>
  <c r="R731" i="2"/>
  <c r="AX730" i="2"/>
  <c r="AW730" i="2"/>
  <c r="AV730" i="2"/>
  <c r="AU730" i="2"/>
  <c r="AT730" i="2"/>
  <c r="AS730" i="2"/>
  <c r="AR730" i="2"/>
  <c r="AQ730" i="2"/>
  <c r="AP730" i="2"/>
  <c r="AO730" i="2"/>
  <c r="AH730" i="2"/>
  <c r="U730" i="2"/>
  <c r="R730" i="2"/>
  <c r="AX729" i="2"/>
  <c r="AW729" i="2"/>
  <c r="AV729" i="2"/>
  <c r="AU729" i="2"/>
  <c r="AT729" i="2"/>
  <c r="AS729" i="2"/>
  <c r="AR729" i="2"/>
  <c r="AQ729" i="2"/>
  <c r="AP729" i="2"/>
  <c r="AO729" i="2"/>
  <c r="AH729" i="2"/>
  <c r="U729" i="2"/>
  <c r="R729" i="2"/>
  <c r="AX728" i="2"/>
  <c r="AW728" i="2"/>
  <c r="AV728" i="2"/>
  <c r="AU728" i="2"/>
  <c r="AT728" i="2"/>
  <c r="AS728" i="2"/>
  <c r="AR728" i="2"/>
  <c r="AQ728" i="2"/>
  <c r="AP728" i="2"/>
  <c r="AO728" i="2"/>
  <c r="AH728" i="2"/>
  <c r="U728" i="2"/>
  <c r="R728" i="2"/>
  <c r="AX727" i="2"/>
  <c r="AW727" i="2"/>
  <c r="AV727" i="2"/>
  <c r="AU727" i="2"/>
  <c r="AT727" i="2"/>
  <c r="AS727" i="2"/>
  <c r="AR727" i="2"/>
  <c r="AQ727" i="2"/>
  <c r="AP727" i="2"/>
  <c r="AO727" i="2"/>
  <c r="AH727" i="2"/>
  <c r="U727" i="2"/>
  <c r="R727" i="2"/>
  <c r="AX726" i="2"/>
  <c r="AW726" i="2"/>
  <c r="AV726" i="2"/>
  <c r="AU726" i="2"/>
  <c r="AT726" i="2"/>
  <c r="AS726" i="2"/>
  <c r="AR726" i="2"/>
  <c r="AQ726" i="2"/>
  <c r="AP726" i="2"/>
  <c r="AO726" i="2"/>
  <c r="AH726" i="2"/>
  <c r="U726" i="2"/>
  <c r="R726" i="2"/>
  <c r="AX725" i="2"/>
  <c r="AW725" i="2"/>
  <c r="AV725" i="2"/>
  <c r="AU725" i="2"/>
  <c r="AT725" i="2"/>
  <c r="AS725" i="2"/>
  <c r="AR725" i="2"/>
  <c r="AQ725" i="2"/>
  <c r="AP725" i="2"/>
  <c r="AO725" i="2"/>
  <c r="AH725" i="2"/>
  <c r="U725" i="2"/>
  <c r="R725" i="2"/>
  <c r="AX724" i="2"/>
  <c r="AW724" i="2"/>
  <c r="AV724" i="2"/>
  <c r="AU724" i="2"/>
  <c r="AT724" i="2"/>
  <c r="AS724" i="2"/>
  <c r="AR724" i="2"/>
  <c r="AQ724" i="2"/>
  <c r="AP724" i="2"/>
  <c r="AO724" i="2"/>
  <c r="AH724" i="2"/>
  <c r="U724" i="2"/>
  <c r="R724" i="2"/>
  <c r="AX723" i="2"/>
  <c r="AW723" i="2"/>
  <c r="AV723" i="2"/>
  <c r="AU723" i="2"/>
  <c r="AT723" i="2"/>
  <c r="AS723" i="2"/>
  <c r="AR723" i="2"/>
  <c r="AQ723" i="2"/>
  <c r="AP723" i="2"/>
  <c r="AO723" i="2"/>
  <c r="AH723" i="2"/>
  <c r="U723" i="2"/>
  <c r="R723" i="2"/>
  <c r="AX722" i="2"/>
  <c r="AW722" i="2"/>
  <c r="AV722" i="2"/>
  <c r="AU722" i="2"/>
  <c r="AT722" i="2"/>
  <c r="AS722" i="2"/>
  <c r="AR722" i="2"/>
  <c r="AQ722" i="2"/>
  <c r="AP722" i="2"/>
  <c r="AO722" i="2"/>
  <c r="AH722" i="2"/>
  <c r="U722" i="2"/>
  <c r="R722" i="2"/>
  <c r="AX721" i="2"/>
  <c r="AW721" i="2"/>
  <c r="AV721" i="2"/>
  <c r="AU721" i="2"/>
  <c r="AT721" i="2"/>
  <c r="AS721" i="2"/>
  <c r="AR721" i="2"/>
  <c r="AQ721" i="2"/>
  <c r="AP721" i="2"/>
  <c r="AO721" i="2"/>
  <c r="AH721" i="2"/>
  <c r="U721" i="2"/>
  <c r="R721" i="2"/>
  <c r="AX720" i="2"/>
  <c r="AW720" i="2"/>
  <c r="AV720" i="2"/>
  <c r="AU720" i="2"/>
  <c r="AT720" i="2"/>
  <c r="AS720" i="2"/>
  <c r="AR720" i="2"/>
  <c r="AQ720" i="2"/>
  <c r="AP720" i="2"/>
  <c r="AO720" i="2"/>
  <c r="AH720" i="2"/>
  <c r="U720" i="2"/>
  <c r="R720" i="2"/>
  <c r="AX719" i="2"/>
  <c r="AW719" i="2"/>
  <c r="AV719" i="2"/>
  <c r="AU719" i="2"/>
  <c r="AT719" i="2"/>
  <c r="AS719" i="2"/>
  <c r="AR719" i="2"/>
  <c r="AQ719" i="2"/>
  <c r="AP719" i="2"/>
  <c r="AO719" i="2"/>
  <c r="AH719" i="2"/>
  <c r="U719" i="2"/>
  <c r="R719" i="2"/>
  <c r="AX718" i="2"/>
  <c r="AW718" i="2"/>
  <c r="AV718" i="2"/>
  <c r="AU718" i="2"/>
  <c r="AT718" i="2"/>
  <c r="AS718" i="2"/>
  <c r="AR718" i="2"/>
  <c r="AQ718" i="2"/>
  <c r="AP718" i="2"/>
  <c r="AO718" i="2"/>
  <c r="AH718" i="2"/>
  <c r="U718" i="2"/>
  <c r="R718" i="2"/>
  <c r="AX717" i="2"/>
  <c r="AW717" i="2"/>
  <c r="AV717" i="2"/>
  <c r="AU717" i="2"/>
  <c r="AT717" i="2"/>
  <c r="AS717" i="2"/>
  <c r="AR717" i="2"/>
  <c r="AQ717" i="2"/>
  <c r="AP717" i="2"/>
  <c r="AO717" i="2"/>
  <c r="AH717" i="2"/>
  <c r="U717" i="2"/>
  <c r="R717" i="2"/>
  <c r="AX716" i="2"/>
  <c r="AW716" i="2"/>
  <c r="AV716" i="2"/>
  <c r="AU716" i="2"/>
  <c r="AT716" i="2"/>
  <c r="AS716" i="2"/>
  <c r="AR716" i="2"/>
  <c r="AQ716" i="2"/>
  <c r="AP716" i="2"/>
  <c r="AO716" i="2"/>
  <c r="U716" i="2"/>
  <c r="R716" i="2"/>
  <c r="AH716" i="2"/>
  <c r="AX715" i="2"/>
  <c r="AW715" i="2"/>
  <c r="AV715" i="2"/>
  <c r="AU715" i="2"/>
  <c r="AT715" i="2"/>
  <c r="AS715" i="2"/>
  <c r="AR715" i="2"/>
  <c r="AQ715" i="2"/>
  <c r="AP715" i="2"/>
  <c r="AO715" i="2"/>
  <c r="R715" i="2"/>
  <c r="AH715" i="2"/>
  <c r="U715" i="2"/>
  <c r="AX714" i="2"/>
  <c r="AW714" i="2"/>
  <c r="AV714" i="2"/>
  <c r="AU714" i="2"/>
  <c r="AT714" i="2"/>
  <c r="AS714" i="2"/>
  <c r="AR714" i="2"/>
  <c r="AQ714" i="2"/>
  <c r="AP714" i="2"/>
  <c r="AO714" i="2"/>
  <c r="R714" i="2"/>
  <c r="AH714" i="2"/>
  <c r="U714" i="2"/>
  <c r="AX713" i="2"/>
  <c r="AW713" i="2"/>
  <c r="AV713" i="2"/>
  <c r="AU713" i="2"/>
  <c r="AT713" i="2"/>
  <c r="AS713" i="2"/>
  <c r="AR713" i="2"/>
  <c r="AQ713" i="2"/>
  <c r="AP713" i="2"/>
  <c r="AO713" i="2"/>
  <c r="U713" i="2"/>
  <c r="R713" i="2"/>
  <c r="AH713" i="2"/>
  <c r="AX712" i="2"/>
  <c r="AW712" i="2"/>
  <c r="AV712" i="2"/>
  <c r="AU712" i="2"/>
  <c r="AT712" i="2"/>
  <c r="AS712" i="2"/>
  <c r="AR712" i="2"/>
  <c r="AQ712" i="2"/>
  <c r="AP712" i="2"/>
  <c r="AO712" i="2"/>
  <c r="U712" i="2"/>
  <c r="R712" i="2"/>
  <c r="AH712" i="2"/>
  <c r="AX711" i="2"/>
  <c r="AW711" i="2"/>
  <c r="AV711" i="2"/>
  <c r="AU711" i="2"/>
  <c r="AT711" i="2"/>
  <c r="AS711" i="2"/>
  <c r="AR711" i="2"/>
  <c r="AQ711" i="2"/>
  <c r="AP711" i="2"/>
  <c r="AO711" i="2"/>
  <c r="U711" i="2"/>
  <c r="R711" i="2"/>
  <c r="AH711" i="2"/>
  <c r="AX710" i="2"/>
  <c r="AW710" i="2"/>
  <c r="AV710" i="2"/>
  <c r="AU710" i="2"/>
  <c r="AT710" i="2"/>
  <c r="AS710" i="2"/>
  <c r="AR710" i="2"/>
  <c r="AQ710" i="2"/>
  <c r="AP710" i="2"/>
  <c r="AO710" i="2"/>
  <c r="R710" i="2"/>
  <c r="AH710" i="2"/>
  <c r="U710" i="2"/>
  <c r="AX709" i="2"/>
  <c r="AW709" i="2"/>
  <c r="AV709" i="2"/>
  <c r="AU709" i="2"/>
  <c r="AT709" i="2"/>
  <c r="AS709" i="2"/>
  <c r="AR709" i="2"/>
  <c r="AQ709" i="2"/>
  <c r="AP709" i="2"/>
  <c r="AO709" i="2"/>
  <c r="U709" i="2"/>
  <c r="R709" i="2"/>
  <c r="AH709" i="2"/>
  <c r="AX708" i="2"/>
  <c r="AW708" i="2"/>
  <c r="AV708" i="2"/>
  <c r="AU708" i="2"/>
  <c r="AT708" i="2"/>
  <c r="AS708" i="2"/>
  <c r="AR708" i="2"/>
  <c r="AQ708" i="2"/>
  <c r="AP708" i="2"/>
  <c r="AO708" i="2"/>
  <c r="U708" i="2"/>
  <c r="R708" i="2"/>
  <c r="AH708" i="2"/>
  <c r="AX707" i="2"/>
  <c r="AW707" i="2"/>
  <c r="AV707" i="2"/>
  <c r="AU707" i="2"/>
  <c r="AT707" i="2"/>
  <c r="AS707" i="2"/>
  <c r="AR707" i="2"/>
  <c r="AQ707" i="2"/>
  <c r="AP707" i="2"/>
  <c r="AO707" i="2"/>
  <c r="R707" i="2"/>
  <c r="AH707" i="2"/>
  <c r="U707" i="2"/>
  <c r="AX706" i="2"/>
  <c r="AW706" i="2"/>
  <c r="AV706" i="2"/>
  <c r="AU706" i="2"/>
  <c r="AT706" i="2"/>
  <c r="AS706" i="2"/>
  <c r="AR706" i="2"/>
  <c r="AQ706" i="2"/>
  <c r="AP706" i="2"/>
  <c r="AO706" i="2"/>
  <c r="R706" i="2"/>
  <c r="AH706" i="2"/>
  <c r="U706" i="2"/>
  <c r="AX705" i="2"/>
  <c r="AW705" i="2"/>
  <c r="AV705" i="2"/>
  <c r="AU705" i="2"/>
  <c r="AT705" i="2"/>
  <c r="AS705" i="2"/>
  <c r="AR705" i="2"/>
  <c r="AQ705" i="2"/>
  <c r="AP705" i="2"/>
  <c r="AO705" i="2"/>
  <c r="U705" i="2"/>
  <c r="R705" i="2"/>
  <c r="AH705" i="2"/>
  <c r="AX704" i="2"/>
  <c r="AW704" i="2"/>
  <c r="AV704" i="2"/>
  <c r="AU704" i="2"/>
  <c r="AT704" i="2"/>
  <c r="AS704" i="2"/>
  <c r="AR704" i="2"/>
  <c r="AQ704" i="2"/>
  <c r="AP704" i="2"/>
  <c r="AO704" i="2"/>
  <c r="U704" i="2"/>
  <c r="R704" i="2"/>
  <c r="AH704" i="2"/>
  <c r="AX703" i="2"/>
  <c r="AW703" i="2"/>
  <c r="AV703" i="2"/>
  <c r="AU703" i="2"/>
  <c r="AT703" i="2"/>
  <c r="AS703" i="2"/>
  <c r="AR703" i="2"/>
  <c r="AQ703" i="2"/>
  <c r="AP703" i="2"/>
  <c r="AO703" i="2"/>
  <c r="U703" i="2"/>
  <c r="R703" i="2"/>
  <c r="AH703" i="2"/>
  <c r="AX702" i="2"/>
  <c r="AW702" i="2"/>
  <c r="AV702" i="2"/>
  <c r="AU702" i="2"/>
  <c r="AT702" i="2"/>
  <c r="AS702" i="2"/>
  <c r="AR702" i="2"/>
  <c r="AQ702" i="2"/>
  <c r="AP702" i="2"/>
  <c r="AO702" i="2"/>
  <c r="R702" i="2"/>
  <c r="AH702" i="2"/>
  <c r="U702" i="2"/>
  <c r="AX701" i="2"/>
  <c r="AW701" i="2"/>
  <c r="AV701" i="2"/>
  <c r="AU701" i="2"/>
  <c r="AT701" i="2"/>
  <c r="AS701" i="2"/>
  <c r="AR701" i="2"/>
  <c r="AQ701" i="2"/>
  <c r="AP701" i="2"/>
  <c r="AO701" i="2"/>
  <c r="U701" i="2"/>
  <c r="R701" i="2"/>
  <c r="AH701" i="2"/>
  <c r="AX700" i="2"/>
  <c r="AW700" i="2"/>
  <c r="AV700" i="2"/>
  <c r="AU700" i="2"/>
  <c r="AT700" i="2"/>
  <c r="AS700" i="2"/>
  <c r="AR700" i="2"/>
  <c r="AQ700" i="2"/>
  <c r="AP700" i="2"/>
  <c r="AO700" i="2"/>
  <c r="U700" i="2"/>
  <c r="R700" i="2"/>
  <c r="AH700" i="2"/>
  <c r="AX699" i="2"/>
  <c r="AW699" i="2"/>
  <c r="AV699" i="2"/>
  <c r="AU699" i="2"/>
  <c r="AT699" i="2"/>
  <c r="AS699" i="2"/>
  <c r="AR699" i="2"/>
  <c r="AQ699" i="2"/>
  <c r="AP699" i="2"/>
  <c r="AO699" i="2"/>
  <c r="R699" i="2"/>
  <c r="AH699" i="2"/>
  <c r="U699" i="2"/>
  <c r="AX698" i="2"/>
  <c r="AW698" i="2"/>
  <c r="AV698" i="2"/>
  <c r="AU698" i="2"/>
  <c r="AT698" i="2"/>
  <c r="AS698" i="2"/>
  <c r="AR698" i="2"/>
  <c r="AQ698" i="2"/>
  <c r="AP698" i="2"/>
  <c r="AO698" i="2"/>
  <c r="R698" i="2"/>
  <c r="AH698" i="2"/>
  <c r="U698" i="2"/>
  <c r="AX697" i="2"/>
  <c r="AW697" i="2"/>
  <c r="AV697" i="2"/>
  <c r="AU697" i="2"/>
  <c r="AT697" i="2"/>
  <c r="AS697" i="2"/>
  <c r="AR697" i="2"/>
  <c r="AQ697" i="2"/>
  <c r="AP697" i="2"/>
  <c r="AO697" i="2"/>
  <c r="U697" i="2"/>
  <c r="R697" i="2"/>
  <c r="AH697" i="2"/>
  <c r="AX696" i="2"/>
  <c r="AW696" i="2"/>
  <c r="AV696" i="2"/>
  <c r="AU696" i="2"/>
  <c r="AT696" i="2"/>
  <c r="AS696" i="2"/>
  <c r="AR696" i="2"/>
  <c r="AQ696" i="2"/>
  <c r="AP696" i="2"/>
  <c r="AO696" i="2"/>
  <c r="U696" i="2"/>
  <c r="R696" i="2"/>
  <c r="AH696" i="2"/>
  <c r="AX695" i="2"/>
  <c r="AW695" i="2"/>
  <c r="AV695" i="2"/>
  <c r="AU695" i="2"/>
  <c r="AT695" i="2"/>
  <c r="AS695" i="2"/>
  <c r="AR695" i="2"/>
  <c r="AQ695" i="2"/>
  <c r="AP695" i="2"/>
  <c r="AO695" i="2"/>
  <c r="U695" i="2"/>
  <c r="R695" i="2"/>
  <c r="AH695" i="2"/>
  <c r="AX694" i="2"/>
  <c r="AW694" i="2"/>
  <c r="AV694" i="2"/>
  <c r="AU694" i="2"/>
  <c r="AT694" i="2"/>
  <c r="AS694" i="2"/>
  <c r="AR694" i="2"/>
  <c r="AQ694" i="2"/>
  <c r="AP694" i="2"/>
  <c r="AO694" i="2"/>
  <c r="R694" i="2"/>
  <c r="AH694" i="2"/>
  <c r="U694" i="2"/>
  <c r="AX693" i="2"/>
  <c r="AW693" i="2"/>
  <c r="AV693" i="2"/>
  <c r="AU693" i="2"/>
  <c r="AT693" i="2"/>
  <c r="AS693" i="2"/>
  <c r="AR693" i="2"/>
  <c r="AQ693" i="2"/>
  <c r="AP693" i="2"/>
  <c r="AO693" i="2"/>
  <c r="U693" i="2"/>
  <c r="R693" i="2"/>
  <c r="AH693" i="2"/>
  <c r="AX692" i="2"/>
  <c r="AW692" i="2"/>
  <c r="AV692" i="2"/>
  <c r="AU692" i="2"/>
  <c r="AT692" i="2"/>
  <c r="AS692" i="2"/>
  <c r="AR692" i="2"/>
  <c r="AQ692" i="2"/>
  <c r="AP692" i="2"/>
  <c r="AO692" i="2"/>
  <c r="U692" i="2"/>
  <c r="R692" i="2"/>
  <c r="AH692" i="2"/>
  <c r="AX691" i="2"/>
  <c r="AW691" i="2"/>
  <c r="AV691" i="2"/>
  <c r="AU691" i="2"/>
  <c r="AT691" i="2"/>
  <c r="AS691" i="2"/>
  <c r="AR691" i="2"/>
  <c r="AQ691" i="2"/>
  <c r="AP691" i="2"/>
  <c r="AO691" i="2"/>
  <c r="R691" i="2"/>
  <c r="AH691" i="2"/>
  <c r="U691" i="2"/>
  <c r="AX690" i="2"/>
  <c r="AW690" i="2"/>
  <c r="AV690" i="2"/>
  <c r="AU690" i="2"/>
  <c r="AT690" i="2"/>
  <c r="AS690" i="2"/>
  <c r="AR690" i="2"/>
  <c r="AQ690" i="2"/>
  <c r="AP690" i="2"/>
  <c r="AO690" i="2"/>
  <c r="R690" i="2"/>
  <c r="AH690" i="2"/>
  <c r="U690" i="2"/>
  <c r="AX689" i="2"/>
  <c r="AW689" i="2"/>
  <c r="AV689" i="2"/>
  <c r="AU689" i="2"/>
  <c r="AT689" i="2"/>
  <c r="AS689" i="2"/>
  <c r="AR689" i="2"/>
  <c r="AQ689" i="2"/>
  <c r="AP689" i="2"/>
  <c r="AO689" i="2"/>
  <c r="U689" i="2"/>
  <c r="R689" i="2"/>
  <c r="AH689" i="2"/>
  <c r="AX688" i="2"/>
  <c r="AW688" i="2"/>
  <c r="AV688" i="2"/>
  <c r="AU688" i="2"/>
  <c r="AT688" i="2"/>
  <c r="AS688" i="2"/>
  <c r="AR688" i="2"/>
  <c r="AQ688" i="2"/>
  <c r="AP688" i="2"/>
  <c r="AO688" i="2"/>
  <c r="U688" i="2"/>
  <c r="U684" i="2"/>
  <c r="U685" i="2"/>
  <c r="U686" i="2"/>
  <c r="U687" i="2"/>
  <c r="U747" i="2"/>
  <c r="R688" i="2"/>
  <c r="AH688" i="2"/>
  <c r="AX687" i="2"/>
  <c r="AW687" i="2"/>
  <c r="AV687" i="2"/>
  <c r="AU687" i="2"/>
  <c r="AT687" i="2"/>
  <c r="AS687" i="2"/>
  <c r="AR687" i="2"/>
  <c r="AQ687" i="2"/>
  <c r="AP687" i="2"/>
  <c r="AO687" i="2"/>
  <c r="R687" i="2"/>
  <c r="AH687" i="2"/>
  <c r="AX686" i="2"/>
  <c r="AW686" i="2"/>
  <c r="AW684" i="2"/>
  <c r="AW685" i="2"/>
  <c r="AW746" i="2"/>
  <c r="AV686" i="2"/>
  <c r="AV684" i="2"/>
  <c r="AV685" i="2"/>
  <c r="AV746" i="2"/>
  <c r="AU686" i="2"/>
  <c r="AT686" i="2"/>
  <c r="AS686" i="2"/>
  <c r="AR686" i="2"/>
  <c r="AQ686" i="2"/>
  <c r="AP686" i="2"/>
  <c r="AO686" i="2"/>
  <c r="AO684" i="2"/>
  <c r="AO685" i="2"/>
  <c r="AO746" i="2"/>
  <c r="H746" i="2"/>
  <c r="R686" i="2"/>
  <c r="AH686" i="2"/>
  <c r="AX685" i="2"/>
  <c r="AU685" i="2"/>
  <c r="AT685" i="2"/>
  <c r="AS685" i="2"/>
  <c r="AR685" i="2"/>
  <c r="AQ685" i="2"/>
  <c r="AP685" i="2"/>
  <c r="R685" i="2"/>
  <c r="AH685" i="2"/>
  <c r="AX684" i="2"/>
  <c r="AU684" i="2"/>
  <c r="AU746" i="2"/>
  <c r="AT684" i="2"/>
  <c r="AS684" i="2"/>
  <c r="AR684" i="2"/>
  <c r="AQ684" i="2"/>
  <c r="AP684" i="2"/>
  <c r="R684" i="2"/>
  <c r="R747" i="2"/>
  <c r="AM682" i="2"/>
  <c r="AI682" i="2"/>
  <c r="W682" i="2"/>
  <c r="U682" i="2"/>
  <c r="T682" i="2"/>
  <c r="S682" i="2"/>
  <c r="K682" i="2"/>
  <c r="J682" i="2"/>
  <c r="I682" i="2"/>
  <c r="G682" i="2"/>
  <c r="AM681" i="2"/>
  <c r="AI681" i="2"/>
  <c r="W681" i="2"/>
  <c r="U681" i="2"/>
  <c r="T681" i="2"/>
  <c r="S681" i="2"/>
  <c r="K681" i="2"/>
  <c r="J681" i="2"/>
  <c r="I681" i="2"/>
  <c r="G681" i="2"/>
  <c r="AV675" i="2"/>
  <c r="AV676" i="2"/>
  <c r="AV677" i="2"/>
  <c r="AV678" i="2"/>
  <c r="AV679" i="2"/>
  <c r="AV680" i="2"/>
  <c r="AT675" i="2"/>
  <c r="AT676" i="2"/>
  <c r="AT677" i="2"/>
  <c r="AT678" i="2"/>
  <c r="AT679" i="2"/>
  <c r="AT680" i="2"/>
  <c r="AM680" i="2"/>
  <c r="AI680" i="2"/>
  <c r="W680" i="2"/>
  <c r="U680" i="2"/>
  <c r="T680" i="2"/>
  <c r="S680" i="2"/>
  <c r="G680" i="2"/>
  <c r="AX679" i="2"/>
  <c r="AW679" i="2"/>
  <c r="AU679" i="2"/>
  <c r="AS679" i="2"/>
  <c r="AR679" i="2"/>
  <c r="AQ679" i="2"/>
  <c r="AP679" i="2"/>
  <c r="AO679" i="2"/>
  <c r="AX678" i="2"/>
  <c r="AW678" i="2"/>
  <c r="AU678" i="2"/>
  <c r="AS678" i="2"/>
  <c r="AS675" i="2"/>
  <c r="AS676" i="2"/>
  <c r="AS677" i="2"/>
  <c r="AS680" i="2"/>
  <c r="AR678" i="2"/>
  <c r="AQ678" i="2"/>
  <c r="AP678" i="2"/>
  <c r="AO678" i="2"/>
  <c r="AX677" i="2"/>
  <c r="AW677" i="2"/>
  <c r="AU677" i="2"/>
  <c r="AR677" i="2"/>
  <c r="AQ677" i="2"/>
  <c r="AP677" i="2"/>
  <c r="H677" i="2"/>
  <c r="AO677" i="2"/>
  <c r="AX676" i="2"/>
  <c r="AX675" i="2"/>
  <c r="AX680" i="2"/>
  <c r="AW676" i="2"/>
  <c r="AW675" i="2"/>
  <c r="AW680" i="2"/>
  <c r="AU676" i="2"/>
  <c r="AR676" i="2"/>
  <c r="AQ676" i="2"/>
  <c r="AP676" i="2"/>
  <c r="AP675" i="2"/>
  <c r="AP680" i="2"/>
  <c r="I680" i="2"/>
  <c r="AO676" i="2"/>
  <c r="AU675" i="2"/>
  <c r="AR675" i="2"/>
  <c r="AR680" i="2"/>
  <c r="K680" i="2"/>
  <c r="AQ675" i="2"/>
  <c r="H675" i="2"/>
  <c r="H681" i="2"/>
  <c r="S670" i="2"/>
  <c r="S673" i="2"/>
  <c r="H673" i="2"/>
  <c r="S672" i="2"/>
  <c r="H672" i="2"/>
  <c r="S671" i="2"/>
  <c r="AX670" i="2"/>
  <c r="AW670" i="2"/>
  <c r="AV670" i="2"/>
  <c r="AU670" i="2"/>
  <c r="AT670" i="2"/>
  <c r="AS670" i="2"/>
  <c r="AR670" i="2"/>
  <c r="AQ670" i="2"/>
  <c r="AP670" i="2"/>
  <c r="AO670" i="2"/>
  <c r="G669" i="2"/>
  <c r="AW669" i="2"/>
  <c r="AU669" i="2"/>
  <c r="AS669" i="2"/>
  <c r="AR669" i="2"/>
  <c r="AO669" i="2"/>
  <c r="AQ669" i="2"/>
  <c r="G668" i="2"/>
  <c r="G667" i="2"/>
  <c r="AX667" i="2"/>
  <c r="AW667" i="2"/>
  <c r="AU667" i="2"/>
  <c r="AT667" i="2"/>
  <c r="AS667" i="2"/>
  <c r="AQ667" i="2"/>
  <c r="AP667" i="2"/>
  <c r="AO667" i="2"/>
  <c r="AV667" i="2"/>
  <c r="G666" i="2"/>
  <c r="AT666" i="2"/>
  <c r="AS666" i="2"/>
  <c r="AR666" i="2"/>
  <c r="G665" i="2"/>
  <c r="AW665" i="2"/>
  <c r="AX664" i="2"/>
  <c r="AW664" i="2"/>
  <c r="AV664" i="2"/>
  <c r="AU664" i="2"/>
  <c r="AT664" i="2"/>
  <c r="AS664" i="2"/>
  <c r="AR664" i="2"/>
  <c r="AQ664" i="2"/>
  <c r="AP664" i="2"/>
  <c r="AO664" i="2"/>
  <c r="AX663" i="2"/>
  <c r="AW663" i="2"/>
  <c r="AV663" i="2"/>
  <c r="AU663" i="2"/>
  <c r="AT663" i="2"/>
  <c r="AS663" i="2"/>
  <c r="AR663" i="2"/>
  <c r="AQ663" i="2"/>
  <c r="AP663" i="2"/>
  <c r="AO663" i="2"/>
  <c r="AX662" i="2"/>
  <c r="AW662" i="2"/>
  <c r="AV662" i="2"/>
  <c r="AU662" i="2"/>
  <c r="AT662" i="2"/>
  <c r="AS662" i="2"/>
  <c r="AR662" i="2"/>
  <c r="AQ662" i="2"/>
  <c r="AP662" i="2"/>
  <c r="AO662" i="2"/>
  <c r="AX661" i="2"/>
  <c r="AW661" i="2"/>
  <c r="AV661" i="2"/>
  <c r="AU661" i="2"/>
  <c r="AT661" i="2"/>
  <c r="AS661" i="2"/>
  <c r="AR661" i="2"/>
  <c r="AQ661" i="2"/>
  <c r="AP661" i="2"/>
  <c r="AO661" i="2"/>
  <c r="AX660" i="2"/>
  <c r="AW660" i="2"/>
  <c r="AV660" i="2"/>
  <c r="AU660" i="2"/>
  <c r="AT660" i="2"/>
  <c r="AS660" i="2"/>
  <c r="AR660" i="2"/>
  <c r="AQ660" i="2"/>
  <c r="AP660" i="2"/>
  <c r="AO660" i="2"/>
  <c r="G658" i="2"/>
  <c r="G657" i="2"/>
  <c r="R656" i="2"/>
  <c r="G656" i="2"/>
  <c r="AX655" i="2"/>
  <c r="AW655" i="2"/>
  <c r="AV655" i="2"/>
  <c r="AU655" i="2"/>
  <c r="AT655" i="2"/>
  <c r="AT647" i="2"/>
  <c r="AT648" i="2"/>
  <c r="AT649" i="2"/>
  <c r="AT650" i="2"/>
  <c r="AT651" i="2"/>
  <c r="AT652" i="2"/>
  <c r="AT653" i="2"/>
  <c r="AT654" i="2"/>
  <c r="AT656" i="2"/>
  <c r="AS655" i="2"/>
  <c r="AS647" i="2"/>
  <c r="AS648" i="2"/>
  <c r="AS649" i="2"/>
  <c r="AS650" i="2"/>
  <c r="AS651" i="2"/>
  <c r="AS652" i="2"/>
  <c r="AS653" i="2"/>
  <c r="AS654" i="2"/>
  <c r="AS656" i="2"/>
  <c r="AR655" i="2"/>
  <c r="AP655" i="2"/>
  <c r="AO655" i="2"/>
  <c r="AH655" i="2"/>
  <c r="AH647" i="2"/>
  <c r="AH648" i="2"/>
  <c r="AH649" i="2"/>
  <c r="AH650" i="2"/>
  <c r="AH651" i="2"/>
  <c r="AH652" i="2"/>
  <c r="AH653" i="2"/>
  <c r="AH654" i="2"/>
  <c r="AH656" i="2"/>
  <c r="U655" i="2"/>
  <c r="T655" i="2"/>
  <c r="S655" i="2"/>
  <c r="S647" i="2"/>
  <c r="S648" i="2"/>
  <c r="S649" i="2"/>
  <c r="S650" i="2"/>
  <c r="S651" i="2"/>
  <c r="S652" i="2"/>
  <c r="S653" i="2"/>
  <c r="S654" i="2"/>
  <c r="S656" i="2"/>
  <c r="AX654" i="2"/>
  <c r="AW654" i="2"/>
  <c r="AV654" i="2"/>
  <c r="AU654" i="2"/>
  <c r="AR654" i="2"/>
  <c r="AP654" i="2"/>
  <c r="AO654" i="2"/>
  <c r="AM654" i="2"/>
  <c r="U654" i="2"/>
  <c r="T654" i="2"/>
  <c r="J654" i="2"/>
  <c r="AQ654" i="2"/>
  <c r="AX653" i="2"/>
  <c r="AW653" i="2"/>
  <c r="AV653" i="2"/>
  <c r="AU653" i="2"/>
  <c r="AR653" i="2"/>
  <c r="AP653" i="2"/>
  <c r="AO653" i="2"/>
  <c r="AM653" i="2"/>
  <c r="U653" i="2"/>
  <c r="T653" i="2"/>
  <c r="J653" i="2"/>
  <c r="AX652" i="2"/>
  <c r="AW652" i="2"/>
  <c r="AV652" i="2"/>
  <c r="AU652" i="2"/>
  <c r="AR652" i="2"/>
  <c r="AQ652" i="2"/>
  <c r="AP652" i="2"/>
  <c r="AO652" i="2"/>
  <c r="AM652" i="2"/>
  <c r="U652" i="2"/>
  <c r="T652" i="2"/>
  <c r="AX651" i="2"/>
  <c r="AW651" i="2"/>
  <c r="AV651" i="2"/>
  <c r="AU651" i="2"/>
  <c r="AR651" i="2"/>
  <c r="AQ651" i="2"/>
  <c r="AP651" i="2"/>
  <c r="AO651" i="2"/>
  <c r="AM651" i="2"/>
  <c r="U651" i="2"/>
  <c r="T651" i="2"/>
  <c r="AX650" i="2"/>
  <c r="AX647" i="2"/>
  <c r="AX648" i="2"/>
  <c r="AX649" i="2"/>
  <c r="AX656" i="2"/>
  <c r="AW650" i="2"/>
  <c r="AV650" i="2"/>
  <c r="AU650" i="2"/>
  <c r="AR650" i="2"/>
  <c r="AQ650" i="2"/>
  <c r="AP650" i="2"/>
  <c r="T647" i="2"/>
  <c r="I647" i="2"/>
  <c r="AP647" i="2"/>
  <c r="AP648" i="2"/>
  <c r="AP649" i="2"/>
  <c r="AP656" i="2"/>
  <c r="I656" i="2"/>
  <c r="AO650" i="2"/>
  <c r="AM650" i="2"/>
  <c r="U650" i="2"/>
  <c r="T650" i="2"/>
  <c r="AW649" i="2"/>
  <c r="AW647" i="2"/>
  <c r="AW648" i="2"/>
  <c r="AW656" i="2"/>
  <c r="AV649" i="2"/>
  <c r="AU649" i="2"/>
  <c r="AR649" i="2"/>
  <c r="AQ649" i="2"/>
  <c r="AO649" i="2"/>
  <c r="AM649" i="2"/>
  <c r="U649" i="2"/>
  <c r="U647" i="2"/>
  <c r="U648" i="2"/>
  <c r="U656" i="2"/>
  <c r="T649" i="2"/>
  <c r="AV648" i="2"/>
  <c r="AU648" i="2"/>
  <c r="AR648" i="2"/>
  <c r="AQ648" i="2"/>
  <c r="AO648" i="2"/>
  <c r="AM648" i="2"/>
  <c r="T648" i="2"/>
  <c r="AV647" i="2"/>
  <c r="AU647" i="2"/>
  <c r="AU656" i="2"/>
  <c r="AR647" i="2"/>
  <c r="AQ647" i="2"/>
  <c r="AM647" i="2"/>
  <c r="I658" i="2"/>
  <c r="H647" i="2"/>
  <c r="H658" i="2"/>
  <c r="S642" i="2"/>
  <c r="S645" i="2"/>
  <c r="S644" i="2"/>
  <c r="R642" i="2"/>
  <c r="R644" i="2"/>
  <c r="S643" i="2"/>
  <c r="G642" i="2"/>
  <c r="AV642" i="2"/>
  <c r="AU642" i="2"/>
  <c r="AM642" i="2"/>
  <c r="T642" i="2"/>
  <c r="T644" i="2"/>
  <c r="AT642" i="2"/>
  <c r="AX641" i="2"/>
  <c r="AW641" i="2"/>
  <c r="AV641" i="2"/>
  <c r="AU641" i="2"/>
  <c r="AT641" i="2"/>
  <c r="AS641" i="2"/>
  <c r="AR641" i="2"/>
  <c r="AQ641" i="2"/>
  <c r="AP641" i="2"/>
  <c r="AO641" i="2"/>
  <c r="AX640" i="2"/>
  <c r="AW640" i="2"/>
  <c r="AV640" i="2"/>
  <c r="AU640" i="2"/>
  <c r="AT640" i="2"/>
  <c r="AS640" i="2"/>
  <c r="AR640" i="2"/>
  <c r="AQ640" i="2"/>
  <c r="AP640" i="2"/>
  <c r="AO640" i="2"/>
  <c r="AX639" i="2"/>
  <c r="AW639" i="2"/>
  <c r="AV639" i="2"/>
  <c r="AU639" i="2"/>
  <c r="AT639" i="2"/>
  <c r="AS639" i="2"/>
  <c r="AR639" i="2"/>
  <c r="AQ639" i="2"/>
  <c r="AP639" i="2"/>
  <c r="AO639" i="2"/>
  <c r="AX638" i="2"/>
  <c r="AW638" i="2"/>
  <c r="AV638" i="2"/>
  <c r="AU638" i="2"/>
  <c r="AT638" i="2"/>
  <c r="AS638" i="2"/>
  <c r="AR638" i="2"/>
  <c r="AQ638" i="2"/>
  <c r="AP638" i="2"/>
  <c r="AO638" i="2"/>
  <c r="AX637" i="2"/>
  <c r="AW637" i="2"/>
  <c r="AV637" i="2"/>
  <c r="AU637" i="2"/>
  <c r="AT637" i="2"/>
  <c r="AS637" i="2"/>
  <c r="AR637" i="2"/>
  <c r="AQ637" i="2"/>
  <c r="AP637" i="2"/>
  <c r="AO637" i="2"/>
  <c r="AX636" i="2"/>
  <c r="AW636" i="2"/>
  <c r="AV636" i="2"/>
  <c r="AU636" i="2"/>
  <c r="AT636" i="2"/>
  <c r="AS636" i="2"/>
  <c r="AR636" i="2"/>
  <c r="AQ636" i="2"/>
  <c r="AP636" i="2"/>
  <c r="AO636" i="2"/>
  <c r="AX635" i="2"/>
  <c r="AW635" i="2"/>
  <c r="AV635" i="2"/>
  <c r="AU635" i="2"/>
  <c r="AT635" i="2"/>
  <c r="AS635" i="2"/>
  <c r="AR635" i="2"/>
  <c r="AQ635" i="2"/>
  <c r="AP635" i="2"/>
  <c r="AO635" i="2"/>
  <c r="AX634" i="2"/>
  <c r="AW634" i="2"/>
  <c r="AV634" i="2"/>
  <c r="AU634" i="2"/>
  <c r="AU633" i="2"/>
  <c r="AU643" i="2"/>
  <c r="AT634" i="2"/>
  <c r="AT633" i="2"/>
  <c r="AT643" i="2"/>
  <c r="AS634" i="2"/>
  <c r="AR634" i="2"/>
  <c r="AQ634" i="2"/>
  <c r="AP634" i="2"/>
  <c r="AO634" i="2"/>
  <c r="AX633" i="2"/>
  <c r="AW633" i="2"/>
  <c r="AV633" i="2"/>
  <c r="AV643" i="2"/>
  <c r="AS633" i="2"/>
  <c r="AR633" i="2"/>
  <c r="AQ633" i="2"/>
  <c r="AP633" i="2"/>
  <c r="AO633" i="2"/>
  <c r="AM631" i="2"/>
  <c r="AL631" i="2"/>
  <c r="AJ631" i="2"/>
  <c r="AI631" i="2"/>
  <c r="AM630" i="2"/>
  <c r="AL630" i="2"/>
  <c r="AJ630" i="2"/>
  <c r="AI630" i="2"/>
  <c r="AM629" i="2"/>
  <c r="AL629" i="2"/>
  <c r="AI629" i="2"/>
  <c r="AO628" i="2"/>
  <c r="AO627" i="2"/>
  <c r="AO626" i="2"/>
  <c r="AO625" i="2"/>
  <c r="AO624" i="2"/>
  <c r="AO623" i="2"/>
  <c r="AO622" i="2"/>
  <c r="AO621" i="2"/>
  <c r="AO620" i="2"/>
  <c r="AO619" i="2"/>
  <c r="AO608" i="2"/>
  <c r="AO609" i="2"/>
  <c r="AO610" i="2"/>
  <c r="AO611" i="2"/>
  <c r="AO612" i="2"/>
  <c r="AO613" i="2"/>
  <c r="AO614" i="2"/>
  <c r="AO615" i="2"/>
  <c r="AO616" i="2"/>
  <c r="AO617" i="2"/>
  <c r="AO618" i="2"/>
  <c r="AO629" i="2"/>
  <c r="AJ629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AA606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01" i="2"/>
  <c r="Z602" i="2"/>
  <c r="Z603" i="2"/>
  <c r="Z606" i="2"/>
  <c r="Y606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6" i="2"/>
  <c r="U606" i="2"/>
  <c r="M606" i="2"/>
  <c r="L606" i="2"/>
  <c r="J606" i="2"/>
  <c r="G606" i="2"/>
  <c r="AA605" i="2"/>
  <c r="Z605" i="2"/>
  <c r="Y605" i="2"/>
  <c r="U605" i="2"/>
  <c r="M605" i="2"/>
  <c r="L605" i="2"/>
  <c r="J605" i="2"/>
  <c r="G605" i="2"/>
  <c r="AU588" i="2"/>
  <c r="AU589" i="2"/>
  <c r="AU590" i="2"/>
  <c r="AU591" i="2"/>
  <c r="AU592" i="2"/>
  <c r="AU593" i="2"/>
  <c r="AU594" i="2"/>
  <c r="AU595" i="2"/>
  <c r="AU596" i="2"/>
  <c r="AU597" i="2"/>
  <c r="AU598" i="2"/>
  <c r="AU599" i="2"/>
  <c r="AU600" i="2"/>
  <c r="AU601" i="2"/>
  <c r="AU602" i="2"/>
  <c r="AU603" i="2"/>
  <c r="AU604" i="2"/>
  <c r="AQ588" i="2"/>
  <c r="AQ589" i="2"/>
  <c r="AQ590" i="2"/>
  <c r="AQ591" i="2"/>
  <c r="AQ592" i="2"/>
  <c r="AQ593" i="2"/>
  <c r="AQ594" i="2"/>
  <c r="AQ595" i="2"/>
  <c r="AQ596" i="2"/>
  <c r="AQ597" i="2"/>
  <c r="AQ598" i="2"/>
  <c r="AQ599" i="2"/>
  <c r="AQ600" i="2"/>
  <c r="AQ601" i="2"/>
  <c r="AQ602" i="2"/>
  <c r="AQ603" i="2"/>
  <c r="AQ604" i="2"/>
  <c r="G604" i="2"/>
  <c r="J604" i="2"/>
  <c r="AA604" i="2"/>
  <c r="Y604" i="2"/>
  <c r="X604" i="2"/>
  <c r="U604" i="2"/>
  <c r="AX603" i="2"/>
  <c r="AW603" i="2"/>
  <c r="AV603" i="2"/>
  <c r="AT603" i="2"/>
  <c r="AS603" i="2"/>
  <c r="AR603" i="2"/>
  <c r="AP603" i="2"/>
  <c r="AO603" i="2"/>
  <c r="AX602" i="2"/>
  <c r="AW602" i="2"/>
  <c r="AV602" i="2"/>
  <c r="AT602" i="2"/>
  <c r="AS602" i="2"/>
  <c r="AR602" i="2"/>
  <c r="AP602" i="2"/>
  <c r="AO602" i="2"/>
  <c r="AX601" i="2"/>
  <c r="AW601" i="2"/>
  <c r="AV601" i="2"/>
  <c r="AT601" i="2"/>
  <c r="AS601" i="2"/>
  <c r="AR601" i="2"/>
  <c r="AP601" i="2"/>
  <c r="AO601" i="2"/>
  <c r="AX600" i="2"/>
  <c r="AW600" i="2"/>
  <c r="AV600" i="2"/>
  <c r="AT600" i="2"/>
  <c r="AS600" i="2"/>
  <c r="AR600" i="2"/>
  <c r="AP600" i="2"/>
  <c r="AO600" i="2"/>
  <c r="AX599" i="2"/>
  <c r="AW599" i="2"/>
  <c r="AV599" i="2"/>
  <c r="AT599" i="2"/>
  <c r="AS599" i="2"/>
  <c r="AR599" i="2"/>
  <c r="AP599" i="2"/>
  <c r="AO599" i="2"/>
  <c r="AX598" i="2"/>
  <c r="AW598" i="2"/>
  <c r="AV598" i="2"/>
  <c r="AT598" i="2"/>
  <c r="AS598" i="2"/>
  <c r="AR598" i="2"/>
  <c r="AP598" i="2"/>
  <c r="AO598" i="2"/>
  <c r="AX597" i="2"/>
  <c r="AW597" i="2"/>
  <c r="AV597" i="2"/>
  <c r="AT597" i="2"/>
  <c r="AS597" i="2"/>
  <c r="AR597" i="2"/>
  <c r="AP597" i="2"/>
  <c r="AO597" i="2"/>
  <c r="AX596" i="2"/>
  <c r="AW596" i="2"/>
  <c r="AV596" i="2"/>
  <c r="AT596" i="2"/>
  <c r="AS596" i="2"/>
  <c r="AR596" i="2"/>
  <c r="AP596" i="2"/>
  <c r="AO596" i="2"/>
  <c r="AX595" i="2"/>
  <c r="AW595" i="2"/>
  <c r="AV595" i="2"/>
  <c r="AT595" i="2"/>
  <c r="AS595" i="2"/>
  <c r="AR595" i="2"/>
  <c r="AP595" i="2"/>
  <c r="AO595" i="2"/>
  <c r="AX594" i="2"/>
  <c r="AW594" i="2"/>
  <c r="AV594" i="2"/>
  <c r="AT594" i="2"/>
  <c r="AS594" i="2"/>
  <c r="AR594" i="2"/>
  <c r="AP594" i="2"/>
  <c r="AO594" i="2"/>
  <c r="AX593" i="2"/>
  <c r="AW593" i="2"/>
  <c r="AV593" i="2"/>
  <c r="AT593" i="2"/>
  <c r="AS593" i="2"/>
  <c r="AR593" i="2"/>
  <c r="AP593" i="2"/>
  <c r="AO593" i="2"/>
  <c r="AX592" i="2"/>
  <c r="AW592" i="2"/>
  <c r="AV592" i="2"/>
  <c r="AT592" i="2"/>
  <c r="AS592" i="2"/>
  <c r="AR592" i="2"/>
  <c r="AP592" i="2"/>
  <c r="AO592" i="2"/>
  <c r="AX591" i="2"/>
  <c r="AW591" i="2"/>
  <c r="AV591" i="2"/>
  <c r="AT591" i="2"/>
  <c r="AS591" i="2"/>
  <c r="AR591" i="2"/>
  <c r="AP591" i="2"/>
  <c r="AO591" i="2"/>
  <c r="AX590" i="2"/>
  <c r="AW590" i="2"/>
  <c r="AV590" i="2"/>
  <c r="AT590" i="2"/>
  <c r="AS590" i="2"/>
  <c r="AR590" i="2"/>
  <c r="AP590" i="2"/>
  <c r="AO590" i="2"/>
  <c r="AX589" i="2"/>
  <c r="AW589" i="2"/>
  <c r="AV589" i="2"/>
  <c r="AT589" i="2"/>
  <c r="AS589" i="2"/>
  <c r="AS588" i="2"/>
  <c r="AS604" i="2"/>
  <c r="L604" i="2"/>
  <c r="AR589" i="2"/>
  <c r="AP589" i="2"/>
  <c r="AO589" i="2"/>
  <c r="Z604" i="2"/>
  <c r="AX588" i="2"/>
  <c r="AX604" i="2"/>
  <c r="AW588" i="2"/>
  <c r="AW604" i="2"/>
  <c r="AV588" i="2"/>
  <c r="AV604" i="2"/>
  <c r="AT588" i="2"/>
  <c r="AR588" i="2"/>
  <c r="AR604" i="2"/>
  <c r="AP588" i="2"/>
  <c r="AP604" i="2"/>
  <c r="AO588" i="2"/>
  <c r="AO604" i="2"/>
  <c r="X605" i="2"/>
  <c r="G577" i="2"/>
  <c r="G578" i="2"/>
  <c r="G579" i="2"/>
  <c r="G580" i="2"/>
  <c r="G581" i="2"/>
  <c r="G582" i="2"/>
  <c r="G583" i="2"/>
  <c r="G586" i="2"/>
  <c r="AI583" i="2"/>
  <c r="AI585" i="2"/>
  <c r="S583" i="2"/>
  <c r="S585" i="2"/>
  <c r="AL583" i="2"/>
  <c r="AL584" i="2"/>
  <c r="AX583" i="2"/>
  <c r="AU583" i="2"/>
  <c r="AT583" i="2"/>
  <c r="AQ583" i="2"/>
  <c r="AJ583" i="2"/>
  <c r="AI584" i="2"/>
  <c r="U583" i="2"/>
  <c r="T583" i="2"/>
  <c r="S586" i="2"/>
  <c r="I583" i="2"/>
  <c r="H583" i="2"/>
  <c r="AS583" i="2"/>
  <c r="AW582" i="2"/>
  <c r="AS582" i="2"/>
  <c r="AR582" i="2"/>
  <c r="T582" i="2"/>
  <c r="R582" i="2"/>
  <c r="AW581" i="2"/>
  <c r="AR581" i="2"/>
  <c r="U581" i="2"/>
  <c r="J581" i="2"/>
  <c r="AQ581" i="2"/>
  <c r="T581" i="2"/>
  <c r="R581" i="2"/>
  <c r="AW580" i="2"/>
  <c r="AR580" i="2"/>
  <c r="U580" i="2"/>
  <c r="J580" i="2"/>
  <c r="AQ580" i="2"/>
  <c r="T580" i="2"/>
  <c r="R580" i="2"/>
  <c r="AW579" i="2"/>
  <c r="AR579" i="2"/>
  <c r="U579" i="2"/>
  <c r="J579" i="2"/>
  <c r="AQ579" i="2"/>
  <c r="T579" i="2"/>
  <c r="R579" i="2"/>
  <c r="AW578" i="2"/>
  <c r="AR578" i="2"/>
  <c r="U578" i="2"/>
  <c r="J578" i="2"/>
  <c r="AQ578" i="2"/>
  <c r="T578" i="2"/>
  <c r="R578" i="2"/>
  <c r="AW577" i="2"/>
  <c r="AR577" i="2"/>
  <c r="U577" i="2"/>
  <c r="J577" i="2"/>
  <c r="AQ577" i="2"/>
  <c r="T577" i="2"/>
  <c r="T586" i="2"/>
  <c r="R577" i="2"/>
  <c r="AX576" i="2"/>
  <c r="AW576" i="2"/>
  <c r="AV576" i="2"/>
  <c r="AU576" i="2"/>
  <c r="AT576" i="2"/>
  <c r="AS576" i="2"/>
  <c r="AR576" i="2"/>
  <c r="AQ576" i="2"/>
  <c r="AP576" i="2"/>
  <c r="AO576" i="2"/>
  <c r="AX575" i="2"/>
  <c r="AW575" i="2"/>
  <c r="AV575" i="2"/>
  <c r="AU575" i="2"/>
  <c r="AT575" i="2"/>
  <c r="AS575" i="2"/>
  <c r="AR575" i="2"/>
  <c r="AQ575" i="2"/>
  <c r="AP575" i="2"/>
  <c r="AO575" i="2"/>
  <c r="AX574" i="2"/>
  <c r="AW574" i="2"/>
  <c r="AV574" i="2"/>
  <c r="AU574" i="2"/>
  <c r="AT574" i="2"/>
  <c r="AS574" i="2"/>
  <c r="AR574" i="2"/>
  <c r="AQ574" i="2"/>
  <c r="AP574" i="2"/>
  <c r="AO574" i="2"/>
  <c r="AX573" i="2"/>
  <c r="AW573" i="2"/>
  <c r="AV573" i="2"/>
  <c r="AU573" i="2"/>
  <c r="AT573" i="2"/>
  <c r="AS573" i="2"/>
  <c r="AR573" i="2"/>
  <c r="AQ573" i="2"/>
  <c r="AP573" i="2"/>
  <c r="AO573" i="2"/>
  <c r="AX572" i="2"/>
  <c r="AW572" i="2"/>
  <c r="AV572" i="2"/>
  <c r="AU572" i="2"/>
  <c r="AT572" i="2"/>
  <c r="AS572" i="2"/>
  <c r="AR572" i="2"/>
  <c r="AQ572" i="2"/>
  <c r="AP572" i="2"/>
  <c r="AO572" i="2"/>
  <c r="AX571" i="2"/>
  <c r="AW571" i="2"/>
  <c r="AV571" i="2"/>
  <c r="AU571" i="2"/>
  <c r="AT571" i="2"/>
  <c r="AS571" i="2"/>
  <c r="AR571" i="2"/>
  <c r="AQ571" i="2"/>
  <c r="AP571" i="2"/>
  <c r="AO571" i="2"/>
  <c r="AX570" i="2"/>
  <c r="AW570" i="2"/>
  <c r="AV570" i="2"/>
  <c r="AU570" i="2"/>
  <c r="AT570" i="2"/>
  <c r="AS570" i="2"/>
  <c r="AR570" i="2"/>
  <c r="AQ570" i="2"/>
  <c r="AP570" i="2"/>
  <c r="AO570" i="2"/>
  <c r="AX569" i="2"/>
  <c r="AW569" i="2"/>
  <c r="AV569" i="2"/>
  <c r="AU569" i="2"/>
  <c r="AT569" i="2"/>
  <c r="AS569" i="2"/>
  <c r="AR569" i="2"/>
  <c r="AQ569" i="2"/>
  <c r="AP569" i="2"/>
  <c r="AO569" i="2"/>
  <c r="AX568" i="2"/>
  <c r="AW568" i="2"/>
  <c r="AV568" i="2"/>
  <c r="AU568" i="2"/>
  <c r="AT568" i="2"/>
  <c r="AS568" i="2"/>
  <c r="AR568" i="2"/>
  <c r="AQ568" i="2"/>
  <c r="AP568" i="2"/>
  <c r="AO568" i="2"/>
  <c r="AX567" i="2"/>
  <c r="AW567" i="2"/>
  <c r="AV567" i="2"/>
  <c r="AU567" i="2"/>
  <c r="AT567" i="2"/>
  <c r="AS567" i="2"/>
  <c r="AR567" i="2"/>
  <c r="AQ567" i="2"/>
  <c r="AP567" i="2"/>
  <c r="AO567" i="2"/>
  <c r="AJ565" i="2"/>
  <c r="AI565" i="2"/>
  <c r="AJ564" i="2"/>
  <c r="AI564" i="2"/>
  <c r="T562" i="2"/>
  <c r="T564" i="2"/>
  <c r="S562" i="2"/>
  <c r="S564" i="2"/>
  <c r="G562" i="2"/>
  <c r="H562" i="2"/>
  <c r="H564" i="2"/>
  <c r="G564" i="2"/>
  <c r="AI563" i="2"/>
  <c r="T563" i="2"/>
  <c r="S563" i="2"/>
  <c r="G563" i="2"/>
  <c r="AX562" i="2"/>
  <c r="AW562" i="2"/>
  <c r="AV562" i="2"/>
  <c r="AU562" i="2"/>
  <c r="AT562" i="2"/>
  <c r="AR562" i="2"/>
  <c r="AQ562" i="2"/>
  <c r="I562" i="2"/>
  <c r="AP562" i="2"/>
  <c r="AM562" i="2"/>
  <c r="AM564" i="2"/>
  <c r="AL562" i="2"/>
  <c r="AL564" i="2"/>
  <c r="T565" i="2"/>
  <c r="R562" i="2"/>
  <c r="I555" i="2"/>
  <c r="I556" i="2"/>
  <c r="I557" i="2"/>
  <c r="I558" i="2"/>
  <c r="I559" i="2"/>
  <c r="I560" i="2"/>
  <c r="I561" i="2"/>
  <c r="I565" i="2"/>
  <c r="H565" i="2"/>
  <c r="AS562" i="2"/>
  <c r="AX561" i="2"/>
  <c r="AW561" i="2"/>
  <c r="AV561" i="2"/>
  <c r="AU561" i="2"/>
  <c r="AT561" i="2"/>
  <c r="AS561" i="2"/>
  <c r="AR561" i="2"/>
  <c r="AQ561" i="2"/>
  <c r="AP561" i="2"/>
  <c r="AO561" i="2"/>
  <c r="R561" i="2"/>
  <c r="AX560" i="2"/>
  <c r="AW560" i="2"/>
  <c r="AV560" i="2"/>
  <c r="AU560" i="2"/>
  <c r="AT560" i="2"/>
  <c r="AS560" i="2"/>
  <c r="AR560" i="2"/>
  <c r="AQ560" i="2"/>
  <c r="AP560" i="2"/>
  <c r="AO560" i="2"/>
  <c r="R560" i="2"/>
  <c r="AX559" i="2"/>
  <c r="AW559" i="2"/>
  <c r="AV559" i="2"/>
  <c r="AU559" i="2"/>
  <c r="AT559" i="2"/>
  <c r="AS559" i="2"/>
  <c r="AR559" i="2"/>
  <c r="AQ559" i="2"/>
  <c r="AP559" i="2"/>
  <c r="AO559" i="2"/>
  <c r="R559" i="2"/>
  <c r="AX558" i="2"/>
  <c r="AW558" i="2"/>
  <c r="AV558" i="2"/>
  <c r="AU558" i="2"/>
  <c r="AT558" i="2"/>
  <c r="AS558" i="2"/>
  <c r="AR558" i="2"/>
  <c r="AQ558" i="2"/>
  <c r="AP558" i="2"/>
  <c r="AO558" i="2"/>
  <c r="R558" i="2"/>
  <c r="AX557" i="2"/>
  <c r="AW557" i="2"/>
  <c r="AV557" i="2"/>
  <c r="AU557" i="2"/>
  <c r="AT557" i="2"/>
  <c r="AS557" i="2"/>
  <c r="AR557" i="2"/>
  <c r="AQ557" i="2"/>
  <c r="AP557" i="2"/>
  <c r="AO557" i="2"/>
  <c r="R557" i="2"/>
  <c r="AX556" i="2"/>
  <c r="AW556" i="2"/>
  <c r="AV556" i="2"/>
  <c r="AU556" i="2"/>
  <c r="AT556" i="2"/>
  <c r="AS556" i="2"/>
  <c r="AR556" i="2"/>
  <c r="AQ556" i="2"/>
  <c r="AP556" i="2"/>
  <c r="AO556" i="2"/>
  <c r="R556" i="2"/>
  <c r="R555" i="2"/>
  <c r="R565" i="2"/>
  <c r="AX555" i="2"/>
  <c r="AW555" i="2"/>
  <c r="AV555" i="2"/>
  <c r="AU555" i="2"/>
  <c r="AT555" i="2"/>
  <c r="AS555" i="2"/>
  <c r="AR555" i="2"/>
  <c r="AQ555" i="2"/>
  <c r="AP555" i="2"/>
  <c r="AO555" i="2"/>
  <c r="R563" i="2"/>
  <c r="I564" i="2"/>
  <c r="AX554" i="2"/>
  <c r="AW554" i="2"/>
  <c r="AV554" i="2"/>
  <c r="AU554" i="2"/>
  <c r="AT554" i="2"/>
  <c r="AS554" i="2"/>
  <c r="AR554" i="2"/>
  <c r="AQ554" i="2"/>
  <c r="AP554" i="2"/>
  <c r="AO554" i="2"/>
  <c r="AX553" i="2"/>
  <c r="AW553" i="2"/>
  <c r="AV553" i="2"/>
  <c r="AU553" i="2"/>
  <c r="AT553" i="2"/>
  <c r="AS553" i="2"/>
  <c r="AR553" i="2"/>
  <c r="AQ553" i="2"/>
  <c r="AP553" i="2"/>
  <c r="AO553" i="2"/>
  <c r="AX552" i="2"/>
  <c r="AW552" i="2"/>
  <c r="AV552" i="2"/>
  <c r="AU552" i="2"/>
  <c r="AT552" i="2"/>
  <c r="AS552" i="2"/>
  <c r="AR552" i="2"/>
  <c r="AQ552" i="2"/>
  <c r="AP552" i="2"/>
  <c r="AO552" i="2"/>
  <c r="AX551" i="2"/>
  <c r="AW551" i="2"/>
  <c r="AV551" i="2"/>
  <c r="AU551" i="2"/>
  <c r="AT551" i="2"/>
  <c r="AS551" i="2"/>
  <c r="AR551" i="2"/>
  <c r="AQ551" i="2"/>
  <c r="AP551" i="2"/>
  <c r="AO551" i="2"/>
  <c r="AX550" i="2"/>
  <c r="AW550" i="2"/>
  <c r="AV550" i="2"/>
  <c r="AU550" i="2"/>
  <c r="AT550" i="2"/>
  <c r="AS550" i="2"/>
  <c r="AR550" i="2"/>
  <c r="AQ550" i="2"/>
  <c r="AP550" i="2"/>
  <c r="AO550" i="2"/>
  <c r="AX549" i="2"/>
  <c r="AW549" i="2"/>
  <c r="AV549" i="2"/>
  <c r="AU549" i="2"/>
  <c r="AT549" i="2"/>
  <c r="AS549" i="2"/>
  <c r="AR549" i="2"/>
  <c r="AQ549" i="2"/>
  <c r="AP549" i="2"/>
  <c r="AO549" i="2"/>
  <c r="AX548" i="2"/>
  <c r="AW548" i="2"/>
  <c r="AV548" i="2"/>
  <c r="AU548" i="2"/>
  <c r="AT548" i="2"/>
  <c r="AS548" i="2"/>
  <c r="AR548" i="2"/>
  <c r="AQ548" i="2"/>
  <c r="AP548" i="2"/>
  <c r="AO548" i="2"/>
  <c r="AX547" i="2"/>
  <c r="AW547" i="2"/>
  <c r="AV547" i="2"/>
  <c r="AU547" i="2"/>
  <c r="AT547" i="2"/>
  <c r="AS547" i="2"/>
  <c r="AR547" i="2"/>
  <c r="AQ547" i="2"/>
  <c r="AP547" i="2"/>
  <c r="AO547" i="2"/>
  <c r="AX546" i="2"/>
  <c r="AW546" i="2"/>
  <c r="AV546" i="2"/>
  <c r="AU546" i="2"/>
  <c r="AT546" i="2"/>
  <c r="AS546" i="2"/>
  <c r="AR546" i="2"/>
  <c r="AQ546" i="2"/>
  <c r="AP546" i="2"/>
  <c r="AO546" i="2"/>
  <c r="AX545" i="2"/>
  <c r="AW545" i="2"/>
  <c r="AV545" i="2"/>
  <c r="AU545" i="2"/>
  <c r="AT545" i="2"/>
  <c r="AS545" i="2"/>
  <c r="AR545" i="2"/>
  <c r="AQ545" i="2"/>
  <c r="AP545" i="2"/>
  <c r="AO545" i="2"/>
  <c r="AX544" i="2"/>
  <c r="AW544" i="2"/>
  <c r="AV544" i="2"/>
  <c r="AU544" i="2"/>
  <c r="AT544" i="2"/>
  <c r="AS544" i="2"/>
  <c r="AR544" i="2"/>
  <c r="AQ544" i="2"/>
  <c r="AP544" i="2"/>
  <c r="AO544" i="2"/>
  <c r="AX543" i="2"/>
  <c r="AW543" i="2"/>
  <c r="AV543" i="2"/>
  <c r="AU543" i="2"/>
  <c r="AT543" i="2"/>
  <c r="AS543" i="2"/>
  <c r="AR543" i="2"/>
  <c r="AR541" i="2"/>
  <c r="AR542" i="2"/>
  <c r="AR563" i="2"/>
  <c r="AQ543" i="2"/>
  <c r="AQ541" i="2"/>
  <c r="AQ542" i="2"/>
  <c r="AQ563" i="2"/>
  <c r="AP543" i="2"/>
  <c r="AO543" i="2"/>
  <c r="AX542" i="2"/>
  <c r="AW542" i="2"/>
  <c r="AV542" i="2"/>
  <c r="AU542" i="2"/>
  <c r="AT542" i="2"/>
  <c r="AT541" i="2"/>
  <c r="AT563" i="2"/>
  <c r="AS542" i="2"/>
  <c r="AP542" i="2"/>
  <c r="AO542" i="2"/>
  <c r="AX541" i="2"/>
  <c r="AW541" i="2"/>
  <c r="AV541" i="2"/>
  <c r="AV563" i="2"/>
  <c r="AU541" i="2"/>
  <c r="AU563" i="2"/>
  <c r="AS541" i="2"/>
  <c r="AP541" i="2"/>
  <c r="AO541" i="2"/>
  <c r="AA539" i="2"/>
  <c r="Y539" i="2"/>
  <c r="M539" i="2"/>
  <c r="L539" i="2"/>
  <c r="J539" i="2"/>
  <c r="G539" i="2"/>
  <c r="AA538" i="2"/>
  <c r="Y538" i="2"/>
  <c r="M538" i="2"/>
  <c r="L538" i="2"/>
  <c r="J538" i="2"/>
  <c r="G538" i="2"/>
  <c r="AA537" i="2"/>
  <c r="Y537" i="2"/>
  <c r="G537" i="2"/>
  <c r="AX536" i="2"/>
  <c r="AW536" i="2"/>
  <c r="AV536" i="2"/>
  <c r="AU536" i="2"/>
  <c r="AT536" i="2"/>
  <c r="AS536" i="2"/>
  <c r="AR536" i="2"/>
  <c r="AQ536" i="2"/>
  <c r="AP536" i="2"/>
  <c r="AO536" i="2"/>
  <c r="Z536" i="2"/>
  <c r="X536" i="2"/>
  <c r="AH536" i="2"/>
  <c r="U536" i="2"/>
  <c r="AX535" i="2"/>
  <c r="AW535" i="2"/>
  <c r="AV535" i="2"/>
  <c r="AU535" i="2"/>
  <c r="AT535" i="2"/>
  <c r="AS535" i="2"/>
  <c r="AR535" i="2"/>
  <c r="AQ535" i="2"/>
  <c r="AP535" i="2"/>
  <c r="AO535" i="2"/>
  <c r="X535" i="2"/>
  <c r="Z535" i="2"/>
  <c r="AH535" i="2"/>
  <c r="U535" i="2"/>
  <c r="AX534" i="2"/>
  <c r="AW534" i="2"/>
  <c r="AV534" i="2"/>
  <c r="AU534" i="2"/>
  <c r="AT534" i="2"/>
  <c r="AS534" i="2"/>
  <c r="AR534" i="2"/>
  <c r="AQ534" i="2"/>
  <c r="AP534" i="2"/>
  <c r="AO534" i="2"/>
  <c r="Z534" i="2"/>
  <c r="X534" i="2"/>
  <c r="AH534" i="2"/>
  <c r="U534" i="2"/>
  <c r="AX533" i="2"/>
  <c r="AW533" i="2"/>
  <c r="AV533" i="2"/>
  <c r="AU533" i="2"/>
  <c r="AT533" i="2"/>
  <c r="AS533" i="2"/>
  <c r="AR533" i="2"/>
  <c r="AQ533" i="2"/>
  <c r="AP533" i="2"/>
  <c r="AO533" i="2"/>
  <c r="Z533" i="2"/>
  <c r="X533" i="2"/>
  <c r="AH533" i="2"/>
  <c r="U533" i="2"/>
  <c r="AX532" i="2"/>
  <c r="AW532" i="2"/>
  <c r="AV532" i="2"/>
  <c r="AU532" i="2"/>
  <c r="AT532" i="2"/>
  <c r="AS532" i="2"/>
  <c r="AR532" i="2"/>
  <c r="AQ532" i="2"/>
  <c r="AP532" i="2"/>
  <c r="AO532" i="2"/>
  <c r="Z532" i="2"/>
  <c r="X532" i="2"/>
  <c r="AH532" i="2"/>
  <c r="U532" i="2"/>
  <c r="AX531" i="2"/>
  <c r="AW531" i="2"/>
  <c r="AV531" i="2"/>
  <c r="AU531" i="2"/>
  <c r="AT531" i="2"/>
  <c r="AS531" i="2"/>
  <c r="AR531" i="2"/>
  <c r="AQ531" i="2"/>
  <c r="AP531" i="2"/>
  <c r="AO531" i="2"/>
  <c r="Z531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7" i="2"/>
  <c r="X531" i="2"/>
  <c r="U531" i="2"/>
  <c r="AX530" i="2"/>
  <c r="AW530" i="2"/>
  <c r="AV530" i="2"/>
  <c r="AU530" i="2"/>
  <c r="AT530" i="2"/>
  <c r="AS530" i="2"/>
  <c r="AR530" i="2"/>
  <c r="AQ530" i="2"/>
  <c r="AP530" i="2"/>
  <c r="AO530" i="2"/>
  <c r="X530" i="2"/>
  <c r="AH530" i="2"/>
  <c r="U530" i="2"/>
  <c r="AX529" i="2"/>
  <c r="AW529" i="2"/>
  <c r="AV529" i="2"/>
  <c r="AU529" i="2"/>
  <c r="AT529" i="2"/>
  <c r="AS529" i="2"/>
  <c r="AR529" i="2"/>
  <c r="AQ529" i="2"/>
  <c r="AP529" i="2"/>
  <c r="AO529" i="2"/>
  <c r="X529" i="2"/>
  <c r="AH529" i="2"/>
  <c r="U529" i="2"/>
  <c r="AX528" i="2"/>
  <c r="AW528" i="2"/>
  <c r="AV528" i="2"/>
  <c r="AU528" i="2"/>
  <c r="AT528" i="2"/>
  <c r="AS528" i="2"/>
  <c r="AR528" i="2"/>
  <c r="AQ528" i="2"/>
  <c r="AP528" i="2"/>
  <c r="AO528" i="2"/>
  <c r="X528" i="2"/>
  <c r="AH528" i="2"/>
  <c r="U528" i="2"/>
  <c r="AX527" i="2"/>
  <c r="AW527" i="2"/>
  <c r="AV527" i="2"/>
  <c r="AU527" i="2"/>
  <c r="AT527" i="2"/>
  <c r="AS527" i="2"/>
  <c r="AR527" i="2"/>
  <c r="AQ527" i="2"/>
  <c r="AP527" i="2"/>
  <c r="AO527" i="2"/>
  <c r="X527" i="2"/>
  <c r="AH527" i="2"/>
  <c r="U527" i="2"/>
  <c r="AX526" i="2"/>
  <c r="AW526" i="2"/>
  <c r="AV526" i="2"/>
  <c r="AU526" i="2"/>
  <c r="AT526" i="2"/>
  <c r="AS526" i="2"/>
  <c r="AR526" i="2"/>
  <c r="AQ526" i="2"/>
  <c r="AP526" i="2"/>
  <c r="AO526" i="2"/>
  <c r="X526" i="2"/>
  <c r="AH526" i="2"/>
  <c r="U526" i="2"/>
  <c r="AX525" i="2"/>
  <c r="AW525" i="2"/>
  <c r="AV525" i="2"/>
  <c r="AU525" i="2"/>
  <c r="AT525" i="2"/>
  <c r="AS525" i="2"/>
  <c r="AR525" i="2"/>
  <c r="AQ525" i="2"/>
  <c r="AP525" i="2"/>
  <c r="AO525" i="2"/>
  <c r="X525" i="2"/>
  <c r="AH525" i="2"/>
  <c r="U525" i="2"/>
  <c r="AX524" i="2"/>
  <c r="AW524" i="2"/>
  <c r="AV524" i="2"/>
  <c r="AU524" i="2"/>
  <c r="AT524" i="2"/>
  <c r="AS524" i="2"/>
  <c r="AR524" i="2"/>
  <c r="AQ524" i="2"/>
  <c r="AP524" i="2"/>
  <c r="AO524" i="2"/>
  <c r="X524" i="2"/>
  <c r="AH524" i="2"/>
  <c r="U524" i="2"/>
  <c r="AX523" i="2"/>
  <c r="AW523" i="2"/>
  <c r="AV523" i="2"/>
  <c r="AU523" i="2"/>
  <c r="AT523" i="2"/>
  <c r="AS523" i="2"/>
  <c r="AR523" i="2"/>
  <c r="AQ523" i="2"/>
  <c r="AP523" i="2"/>
  <c r="AO523" i="2"/>
  <c r="X523" i="2"/>
  <c r="AH523" i="2"/>
  <c r="U523" i="2"/>
  <c r="AX522" i="2"/>
  <c r="AW522" i="2"/>
  <c r="AV522" i="2"/>
  <c r="AU522" i="2"/>
  <c r="AT522" i="2"/>
  <c r="AS522" i="2"/>
  <c r="AS517" i="2"/>
  <c r="AS518" i="2"/>
  <c r="AS519" i="2"/>
  <c r="AS520" i="2"/>
  <c r="AS521" i="2"/>
  <c r="AS537" i="2"/>
  <c r="L537" i="2"/>
  <c r="AR522" i="2"/>
  <c r="AQ522" i="2"/>
  <c r="AP522" i="2"/>
  <c r="AO522" i="2"/>
  <c r="X522" i="2"/>
  <c r="AH522" i="2"/>
  <c r="U522" i="2"/>
  <c r="AX521" i="2"/>
  <c r="AW521" i="2"/>
  <c r="AV521" i="2"/>
  <c r="AU521" i="2"/>
  <c r="AT521" i="2"/>
  <c r="AR521" i="2"/>
  <c r="AQ521" i="2"/>
  <c r="AP521" i="2"/>
  <c r="AO521" i="2"/>
  <c r="X521" i="2"/>
  <c r="AH521" i="2"/>
  <c r="U521" i="2"/>
  <c r="AX520" i="2"/>
  <c r="AW520" i="2"/>
  <c r="AV520" i="2"/>
  <c r="AU520" i="2"/>
  <c r="AT520" i="2"/>
  <c r="AR520" i="2"/>
  <c r="AQ520" i="2"/>
  <c r="AP520" i="2"/>
  <c r="AO520" i="2"/>
  <c r="X520" i="2"/>
  <c r="AH520" i="2"/>
  <c r="U520" i="2"/>
  <c r="AX519" i="2"/>
  <c r="AW519" i="2"/>
  <c r="AV519" i="2"/>
  <c r="AU519" i="2"/>
  <c r="AT519" i="2"/>
  <c r="AR519" i="2"/>
  <c r="AQ519" i="2"/>
  <c r="AP519" i="2"/>
  <c r="AO519" i="2"/>
  <c r="X519" i="2"/>
  <c r="AH519" i="2"/>
  <c r="U519" i="2"/>
  <c r="U537" i="2"/>
  <c r="AX518" i="2"/>
  <c r="AW518" i="2"/>
  <c r="AV518" i="2"/>
  <c r="AU518" i="2"/>
  <c r="AT518" i="2"/>
  <c r="AT517" i="2"/>
  <c r="AT537" i="2"/>
  <c r="M537" i="2"/>
  <c r="AR518" i="2"/>
  <c r="AR517" i="2"/>
  <c r="AR537" i="2"/>
  <c r="AQ518" i="2"/>
  <c r="AP518" i="2"/>
  <c r="AO518" i="2"/>
  <c r="X518" i="2"/>
  <c r="AX517" i="2"/>
  <c r="AW517" i="2"/>
  <c r="AV517" i="2"/>
  <c r="AU517" i="2"/>
  <c r="AQ517" i="2"/>
  <c r="AP517" i="2"/>
  <c r="AO517" i="2"/>
  <c r="Z539" i="2"/>
  <c r="X517" i="2"/>
  <c r="AM515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15" i="2"/>
  <c r="T515" i="2"/>
  <c r="S515" i="2"/>
  <c r="R515" i="2"/>
  <c r="I515" i="2"/>
  <c r="H515" i="2"/>
  <c r="G515" i="2"/>
  <c r="AM514" i="2"/>
  <c r="U514" i="2"/>
  <c r="T514" i="2"/>
  <c r="S514" i="2"/>
  <c r="R514" i="2"/>
  <c r="I514" i="2"/>
  <c r="H514" i="2"/>
  <c r="G514" i="2"/>
  <c r="AM513" i="2"/>
  <c r="T513" i="2"/>
  <c r="S513" i="2"/>
  <c r="R513" i="2"/>
  <c r="G513" i="2"/>
  <c r="AX512" i="2"/>
  <c r="AW512" i="2"/>
  <c r="AV512" i="2"/>
  <c r="AU512" i="2"/>
  <c r="AT512" i="2"/>
  <c r="AS512" i="2"/>
  <c r="AR512" i="2"/>
  <c r="AQ512" i="2"/>
  <c r="AP512" i="2"/>
  <c r="AO512" i="2"/>
  <c r="AH512" i="2"/>
  <c r="AX511" i="2"/>
  <c r="AW511" i="2"/>
  <c r="AV511" i="2"/>
  <c r="AU511" i="2"/>
  <c r="AT511" i="2"/>
  <c r="AS511" i="2"/>
  <c r="AR511" i="2"/>
  <c r="AQ511" i="2"/>
  <c r="AP511" i="2"/>
  <c r="AO511" i="2"/>
  <c r="AH511" i="2"/>
  <c r="AX510" i="2"/>
  <c r="AW510" i="2"/>
  <c r="AV510" i="2"/>
  <c r="AU510" i="2"/>
  <c r="AT510" i="2"/>
  <c r="AS510" i="2"/>
  <c r="AR510" i="2"/>
  <c r="AQ510" i="2"/>
  <c r="AP510" i="2"/>
  <c r="AO510" i="2"/>
  <c r="AH510" i="2"/>
  <c r="AX509" i="2"/>
  <c r="AW509" i="2"/>
  <c r="AV509" i="2"/>
  <c r="AU509" i="2"/>
  <c r="AT509" i="2"/>
  <c r="AS509" i="2"/>
  <c r="AR509" i="2"/>
  <c r="AQ509" i="2"/>
  <c r="AP509" i="2"/>
  <c r="AO509" i="2"/>
  <c r="AH509" i="2"/>
  <c r="AX508" i="2"/>
  <c r="AX495" i="2"/>
  <c r="AX496" i="2"/>
  <c r="AX497" i="2"/>
  <c r="AX498" i="2"/>
  <c r="AX499" i="2"/>
  <c r="AX500" i="2"/>
  <c r="AX501" i="2"/>
  <c r="AX502" i="2"/>
  <c r="AX503" i="2"/>
  <c r="AX504" i="2"/>
  <c r="AX505" i="2"/>
  <c r="AX506" i="2"/>
  <c r="AX507" i="2"/>
  <c r="AX513" i="2"/>
  <c r="E513" i="2"/>
  <c r="AW508" i="2"/>
  <c r="AV508" i="2"/>
  <c r="AU508" i="2"/>
  <c r="AT508" i="2"/>
  <c r="AS508" i="2"/>
  <c r="AR508" i="2"/>
  <c r="AQ508" i="2"/>
  <c r="AP508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13" i="2"/>
  <c r="I513" i="2"/>
  <c r="AO508" i="2"/>
  <c r="AH508" i="2"/>
  <c r="AW507" i="2"/>
  <c r="AV507" i="2"/>
  <c r="AU507" i="2"/>
  <c r="AT507" i="2"/>
  <c r="AT495" i="2"/>
  <c r="AT496" i="2"/>
  <c r="AT497" i="2"/>
  <c r="AT498" i="2"/>
  <c r="AT499" i="2"/>
  <c r="AT500" i="2"/>
  <c r="AT501" i="2"/>
  <c r="AT502" i="2"/>
  <c r="AT503" i="2"/>
  <c r="AT504" i="2"/>
  <c r="AT505" i="2"/>
  <c r="AT506" i="2"/>
  <c r="AT513" i="2"/>
  <c r="AS507" i="2"/>
  <c r="AR507" i="2"/>
  <c r="AQ507" i="2"/>
  <c r="AO507" i="2"/>
  <c r="AH507" i="2"/>
  <c r="AW506" i="2"/>
  <c r="AV506" i="2"/>
  <c r="AU506" i="2"/>
  <c r="AS506" i="2"/>
  <c r="AR506" i="2"/>
  <c r="AQ506" i="2"/>
  <c r="AO506" i="2"/>
  <c r="AH506" i="2"/>
  <c r="AW505" i="2"/>
  <c r="AV505" i="2"/>
  <c r="AU505" i="2"/>
  <c r="AS505" i="2"/>
  <c r="AR505" i="2"/>
  <c r="AQ505" i="2"/>
  <c r="AO505" i="2"/>
  <c r="AH505" i="2"/>
  <c r="AW504" i="2"/>
  <c r="AV504" i="2"/>
  <c r="AU504" i="2"/>
  <c r="AS504" i="2"/>
  <c r="AR504" i="2"/>
  <c r="AQ504" i="2"/>
  <c r="AO504" i="2"/>
  <c r="AH504" i="2"/>
  <c r="AW503" i="2"/>
  <c r="AV503" i="2"/>
  <c r="AU503" i="2"/>
  <c r="AS503" i="2"/>
  <c r="AR503" i="2"/>
  <c r="AQ503" i="2"/>
  <c r="AO503" i="2"/>
  <c r="AH503" i="2"/>
  <c r="AW502" i="2"/>
  <c r="AV502" i="2"/>
  <c r="AU502" i="2"/>
  <c r="AS502" i="2"/>
  <c r="AR502" i="2"/>
  <c r="AQ502" i="2"/>
  <c r="AO502" i="2"/>
  <c r="AH502" i="2"/>
  <c r="AW501" i="2"/>
  <c r="AV501" i="2"/>
  <c r="AU501" i="2"/>
  <c r="AS501" i="2"/>
  <c r="AR501" i="2"/>
  <c r="AQ501" i="2"/>
  <c r="AO501" i="2"/>
  <c r="AH501" i="2"/>
  <c r="AW500" i="2"/>
  <c r="AV500" i="2"/>
  <c r="AU500" i="2"/>
  <c r="AS500" i="2"/>
  <c r="AR500" i="2"/>
  <c r="AQ500" i="2"/>
  <c r="AO500" i="2"/>
  <c r="AH500" i="2"/>
  <c r="AW499" i="2"/>
  <c r="AV499" i="2"/>
  <c r="AU499" i="2"/>
  <c r="AS499" i="2"/>
  <c r="AR499" i="2"/>
  <c r="AQ499" i="2"/>
  <c r="AO499" i="2"/>
  <c r="AH499" i="2"/>
  <c r="AW498" i="2"/>
  <c r="AV498" i="2"/>
  <c r="AU498" i="2"/>
  <c r="AS498" i="2"/>
  <c r="AR498" i="2"/>
  <c r="AQ498" i="2"/>
  <c r="AO498" i="2"/>
  <c r="AH498" i="2"/>
  <c r="AW497" i="2"/>
  <c r="AV497" i="2"/>
  <c r="AU497" i="2"/>
  <c r="AS497" i="2"/>
  <c r="AR497" i="2"/>
  <c r="AQ497" i="2"/>
  <c r="AO497" i="2"/>
  <c r="AH497" i="2"/>
  <c r="AW496" i="2"/>
  <c r="AW495" i="2"/>
  <c r="AW513" i="2"/>
  <c r="AV496" i="2"/>
  <c r="AU496" i="2"/>
  <c r="AS496" i="2"/>
  <c r="AR496" i="2"/>
  <c r="AQ496" i="2"/>
  <c r="AO496" i="2"/>
  <c r="AO495" i="2"/>
  <c r="AO513" i="2"/>
  <c r="H513" i="2"/>
  <c r="AH496" i="2"/>
  <c r="AH495" i="2"/>
  <c r="AH514" i="2"/>
  <c r="AV495" i="2"/>
  <c r="AU495" i="2"/>
  <c r="AS495" i="2"/>
  <c r="AS513" i="2"/>
  <c r="AR495" i="2"/>
  <c r="AR513" i="2"/>
  <c r="AQ495" i="2"/>
  <c r="U513" i="2"/>
  <c r="AA493" i="2"/>
  <c r="Y493" i="2"/>
  <c r="U493" i="2"/>
  <c r="T493" i="2"/>
  <c r="S493" i="2"/>
  <c r="M493" i="2"/>
  <c r="L493" i="2"/>
  <c r="J493" i="2"/>
  <c r="G493" i="2"/>
  <c r="AA492" i="2"/>
  <c r="Y492" i="2"/>
  <c r="U492" i="2"/>
  <c r="T492" i="2"/>
  <c r="S492" i="2"/>
  <c r="M492" i="2"/>
  <c r="L492" i="2"/>
  <c r="J492" i="2"/>
  <c r="G492" i="2"/>
  <c r="AA491" i="2"/>
  <c r="Y491" i="2"/>
  <c r="U491" i="2"/>
  <c r="T491" i="2"/>
  <c r="S491" i="2"/>
  <c r="G491" i="2"/>
  <c r="AX490" i="2"/>
  <c r="AW490" i="2"/>
  <c r="AV490" i="2"/>
  <c r="AU490" i="2"/>
  <c r="AT490" i="2"/>
  <c r="AS490" i="2"/>
  <c r="AR490" i="2"/>
  <c r="AQ490" i="2"/>
  <c r="AP490" i="2"/>
  <c r="AO490" i="2"/>
  <c r="Z490" i="2"/>
  <c r="X490" i="2"/>
  <c r="AX489" i="2"/>
  <c r="AW489" i="2"/>
  <c r="AV489" i="2"/>
  <c r="AU489" i="2"/>
  <c r="AT489" i="2"/>
  <c r="AS489" i="2"/>
  <c r="AR489" i="2"/>
  <c r="AQ489" i="2"/>
  <c r="AP489" i="2"/>
  <c r="AO489" i="2"/>
  <c r="Z489" i="2"/>
  <c r="X489" i="2"/>
  <c r="AX488" i="2"/>
  <c r="AW488" i="2"/>
  <c r="AV488" i="2"/>
  <c r="AU488" i="2"/>
  <c r="AT488" i="2"/>
  <c r="AS488" i="2"/>
  <c r="AR488" i="2"/>
  <c r="AQ488" i="2"/>
  <c r="AP488" i="2"/>
  <c r="AO488" i="2"/>
  <c r="Z488" i="2"/>
  <c r="X488" i="2"/>
  <c r="AX487" i="2"/>
  <c r="AW487" i="2"/>
  <c r="AV487" i="2"/>
  <c r="AU487" i="2"/>
  <c r="AT487" i="2"/>
  <c r="AS487" i="2"/>
  <c r="AR487" i="2"/>
  <c r="AQ487" i="2"/>
  <c r="AP487" i="2"/>
  <c r="AO487" i="2"/>
  <c r="Z487" i="2"/>
  <c r="X487" i="2"/>
  <c r="AX486" i="2"/>
  <c r="AW486" i="2"/>
  <c r="AV486" i="2"/>
  <c r="AU486" i="2"/>
  <c r="AT486" i="2"/>
  <c r="AS486" i="2"/>
  <c r="AR486" i="2"/>
  <c r="AQ486" i="2"/>
  <c r="AP486" i="2"/>
  <c r="AO486" i="2"/>
  <c r="Z486" i="2"/>
  <c r="X486" i="2"/>
  <c r="AX485" i="2"/>
  <c r="AW485" i="2"/>
  <c r="AV485" i="2"/>
  <c r="AU485" i="2"/>
  <c r="AT485" i="2"/>
  <c r="AS485" i="2"/>
  <c r="AR485" i="2"/>
  <c r="AQ485" i="2"/>
  <c r="AP485" i="2"/>
  <c r="AO485" i="2"/>
  <c r="Z485" i="2"/>
  <c r="X485" i="2"/>
  <c r="AX484" i="2"/>
  <c r="AW484" i="2"/>
  <c r="AV484" i="2"/>
  <c r="AU484" i="2"/>
  <c r="AT484" i="2"/>
  <c r="AS484" i="2"/>
  <c r="AR484" i="2"/>
  <c r="AQ484" i="2"/>
  <c r="AP484" i="2"/>
  <c r="AO484" i="2"/>
  <c r="Z484" i="2"/>
  <c r="X484" i="2"/>
  <c r="AX483" i="2"/>
  <c r="AW483" i="2"/>
  <c r="AV483" i="2"/>
  <c r="AU483" i="2"/>
  <c r="AT483" i="2"/>
  <c r="AS483" i="2"/>
  <c r="AR483" i="2"/>
  <c r="AQ483" i="2"/>
  <c r="AP483" i="2"/>
  <c r="AO483" i="2"/>
  <c r="Z483" i="2"/>
  <c r="X483" i="2"/>
  <c r="AX482" i="2"/>
  <c r="AW482" i="2"/>
  <c r="AV482" i="2"/>
  <c r="AU482" i="2"/>
  <c r="AT482" i="2"/>
  <c r="AS482" i="2"/>
  <c r="AR482" i="2"/>
  <c r="AQ482" i="2"/>
  <c r="AP482" i="2"/>
  <c r="AO482" i="2"/>
  <c r="Z482" i="2"/>
  <c r="X482" i="2"/>
  <c r="AX481" i="2"/>
  <c r="AW481" i="2"/>
  <c r="AV481" i="2"/>
  <c r="AU481" i="2"/>
  <c r="AT481" i="2"/>
  <c r="AS481" i="2"/>
  <c r="AR481" i="2"/>
  <c r="AQ481" i="2"/>
  <c r="AP481" i="2"/>
  <c r="AO481" i="2"/>
  <c r="Z481" i="2"/>
  <c r="X481" i="2"/>
  <c r="AX480" i="2"/>
  <c r="AW480" i="2"/>
  <c r="AV480" i="2"/>
  <c r="AU480" i="2"/>
  <c r="AT480" i="2"/>
  <c r="AS480" i="2"/>
  <c r="AR480" i="2"/>
  <c r="AQ480" i="2"/>
  <c r="AP480" i="2"/>
  <c r="AO480" i="2"/>
  <c r="Z480" i="2"/>
  <c r="X480" i="2"/>
  <c r="AX479" i="2"/>
  <c r="AW479" i="2"/>
  <c r="AV479" i="2"/>
  <c r="AU479" i="2"/>
  <c r="AT479" i="2"/>
  <c r="AS479" i="2"/>
  <c r="AR479" i="2"/>
  <c r="AQ479" i="2"/>
  <c r="AP479" i="2"/>
  <c r="AO479" i="2"/>
  <c r="Z479" i="2"/>
  <c r="X479" i="2"/>
  <c r="AX478" i="2"/>
  <c r="AW478" i="2"/>
  <c r="AV478" i="2"/>
  <c r="AU478" i="2"/>
  <c r="AT478" i="2"/>
  <c r="AS478" i="2"/>
  <c r="AR478" i="2"/>
  <c r="AQ478" i="2"/>
  <c r="AP478" i="2"/>
  <c r="AO478" i="2"/>
  <c r="Z478" i="2"/>
  <c r="X478" i="2"/>
  <c r="AX477" i="2"/>
  <c r="AW477" i="2"/>
  <c r="AV477" i="2"/>
  <c r="AU477" i="2"/>
  <c r="AT477" i="2"/>
  <c r="AS477" i="2"/>
  <c r="AR477" i="2"/>
  <c r="AQ477" i="2"/>
  <c r="AP477" i="2"/>
  <c r="AO477" i="2"/>
  <c r="Z477" i="2"/>
  <c r="X477" i="2"/>
  <c r="AX476" i="2"/>
  <c r="AW476" i="2"/>
  <c r="AV476" i="2"/>
  <c r="AU476" i="2"/>
  <c r="AT476" i="2"/>
  <c r="AS476" i="2"/>
  <c r="AR476" i="2"/>
  <c r="AQ476" i="2"/>
  <c r="AP476" i="2"/>
  <c r="AO476" i="2"/>
  <c r="Z476" i="2"/>
  <c r="X476" i="2"/>
  <c r="AX475" i="2"/>
  <c r="AW475" i="2"/>
  <c r="AV475" i="2"/>
  <c r="AU475" i="2"/>
  <c r="AT475" i="2"/>
  <c r="AS475" i="2"/>
  <c r="AR475" i="2"/>
  <c r="AQ475" i="2"/>
  <c r="AP475" i="2"/>
  <c r="AO475" i="2"/>
  <c r="Z475" i="2"/>
  <c r="X475" i="2"/>
  <c r="AX474" i="2"/>
  <c r="AW474" i="2"/>
  <c r="AV474" i="2"/>
  <c r="AU474" i="2"/>
  <c r="AT474" i="2"/>
  <c r="AS474" i="2"/>
  <c r="AR474" i="2"/>
  <c r="AQ474" i="2"/>
  <c r="AP474" i="2"/>
  <c r="AO474" i="2"/>
  <c r="Z474" i="2"/>
  <c r="X474" i="2"/>
  <c r="AX473" i="2"/>
  <c r="AW473" i="2"/>
  <c r="AV473" i="2"/>
  <c r="AU473" i="2"/>
  <c r="AT473" i="2"/>
  <c r="AS473" i="2"/>
  <c r="AR473" i="2"/>
  <c r="AQ473" i="2"/>
  <c r="AP473" i="2"/>
  <c r="AO473" i="2"/>
  <c r="Z473" i="2"/>
  <c r="X473" i="2"/>
  <c r="AX472" i="2"/>
  <c r="AW472" i="2"/>
  <c r="AV472" i="2"/>
  <c r="AU472" i="2"/>
  <c r="AT472" i="2"/>
  <c r="AS472" i="2"/>
  <c r="AR472" i="2"/>
  <c r="AQ472" i="2"/>
  <c r="AP472" i="2"/>
  <c r="AO472" i="2"/>
  <c r="Z472" i="2"/>
  <c r="X472" i="2"/>
  <c r="AX471" i="2"/>
  <c r="AW471" i="2"/>
  <c r="AV471" i="2"/>
  <c r="AU471" i="2"/>
  <c r="AT471" i="2"/>
  <c r="AS471" i="2"/>
  <c r="AR471" i="2"/>
  <c r="AQ471" i="2"/>
  <c r="AP471" i="2"/>
  <c r="AO471" i="2"/>
  <c r="Z471" i="2"/>
  <c r="X471" i="2"/>
  <c r="AX470" i="2"/>
  <c r="AW470" i="2"/>
  <c r="AV470" i="2"/>
  <c r="AU470" i="2"/>
  <c r="AT470" i="2"/>
  <c r="AS470" i="2"/>
  <c r="AR470" i="2"/>
  <c r="AQ470" i="2"/>
  <c r="AP470" i="2"/>
  <c r="AO470" i="2"/>
  <c r="Z470" i="2"/>
  <c r="X470" i="2"/>
  <c r="AX469" i="2"/>
  <c r="AW469" i="2"/>
  <c r="AV469" i="2"/>
  <c r="AU469" i="2"/>
  <c r="AT469" i="2"/>
  <c r="AS469" i="2"/>
  <c r="AR469" i="2"/>
  <c r="AQ469" i="2"/>
  <c r="AP469" i="2"/>
  <c r="AO469" i="2"/>
  <c r="Z469" i="2"/>
  <c r="X469" i="2"/>
  <c r="AX468" i="2"/>
  <c r="AW468" i="2"/>
  <c r="AV468" i="2"/>
  <c r="AU468" i="2"/>
  <c r="AT468" i="2"/>
  <c r="AS468" i="2"/>
  <c r="AR468" i="2"/>
  <c r="AQ468" i="2"/>
  <c r="AP468" i="2"/>
  <c r="AO468" i="2"/>
  <c r="Z468" i="2"/>
  <c r="X468" i="2"/>
  <c r="AX467" i="2"/>
  <c r="AW467" i="2"/>
  <c r="AV467" i="2"/>
  <c r="AU467" i="2"/>
  <c r="AT467" i="2"/>
  <c r="AS467" i="2"/>
  <c r="AR467" i="2"/>
  <c r="AQ467" i="2"/>
  <c r="AP467" i="2"/>
  <c r="AO467" i="2"/>
  <c r="Z467" i="2"/>
  <c r="X467" i="2"/>
  <c r="AX466" i="2"/>
  <c r="AW466" i="2"/>
  <c r="AV466" i="2"/>
  <c r="AU466" i="2"/>
  <c r="AT466" i="2"/>
  <c r="AS466" i="2"/>
  <c r="AR466" i="2"/>
  <c r="AQ466" i="2"/>
  <c r="AP466" i="2"/>
  <c r="AO466" i="2"/>
  <c r="Z466" i="2"/>
  <c r="X466" i="2"/>
  <c r="AX465" i="2"/>
  <c r="AW465" i="2"/>
  <c r="AV465" i="2"/>
  <c r="AU465" i="2"/>
  <c r="AT465" i="2"/>
  <c r="AS465" i="2"/>
  <c r="AR465" i="2"/>
  <c r="AQ465" i="2"/>
  <c r="AP465" i="2"/>
  <c r="AO465" i="2"/>
  <c r="Z465" i="2"/>
  <c r="X465" i="2"/>
  <c r="AX464" i="2"/>
  <c r="AW464" i="2"/>
  <c r="AV464" i="2"/>
  <c r="AU464" i="2"/>
  <c r="AT464" i="2"/>
  <c r="AS464" i="2"/>
  <c r="AR464" i="2"/>
  <c r="AQ464" i="2"/>
  <c r="AP464" i="2"/>
  <c r="AO464" i="2"/>
  <c r="Z464" i="2"/>
  <c r="X464" i="2"/>
  <c r="AX463" i="2"/>
  <c r="AW463" i="2"/>
  <c r="AV463" i="2"/>
  <c r="AU463" i="2"/>
  <c r="AT463" i="2"/>
  <c r="AS463" i="2"/>
  <c r="AR463" i="2"/>
  <c r="AQ463" i="2"/>
  <c r="AP463" i="2"/>
  <c r="AO463" i="2"/>
  <c r="Z463" i="2"/>
  <c r="X463" i="2"/>
  <c r="AX462" i="2"/>
  <c r="AW462" i="2"/>
  <c r="AV462" i="2"/>
  <c r="AU462" i="2"/>
  <c r="AT462" i="2"/>
  <c r="AS462" i="2"/>
  <c r="AR462" i="2"/>
  <c r="AQ462" i="2"/>
  <c r="AP462" i="2"/>
  <c r="AO462" i="2"/>
  <c r="Z462" i="2"/>
  <c r="X462" i="2"/>
  <c r="AX461" i="2"/>
  <c r="AW461" i="2"/>
  <c r="AV461" i="2"/>
  <c r="AU461" i="2"/>
  <c r="AT461" i="2"/>
  <c r="AS461" i="2"/>
  <c r="AR461" i="2"/>
  <c r="AQ461" i="2"/>
  <c r="AP461" i="2"/>
  <c r="AO461" i="2"/>
  <c r="Z461" i="2"/>
  <c r="X461" i="2"/>
  <c r="AX460" i="2"/>
  <c r="AW460" i="2"/>
  <c r="AV460" i="2"/>
  <c r="AU460" i="2"/>
  <c r="AT460" i="2"/>
  <c r="AS460" i="2"/>
  <c r="AR460" i="2"/>
  <c r="AQ460" i="2"/>
  <c r="AP460" i="2"/>
  <c r="AO460" i="2"/>
  <c r="Z460" i="2"/>
  <c r="X460" i="2"/>
  <c r="AX459" i="2"/>
  <c r="AW459" i="2"/>
  <c r="AV459" i="2"/>
  <c r="AU459" i="2"/>
  <c r="AT459" i="2"/>
  <c r="AS459" i="2"/>
  <c r="AR459" i="2"/>
  <c r="AQ459" i="2"/>
  <c r="AP459" i="2"/>
  <c r="AO459" i="2"/>
  <c r="Z459" i="2"/>
  <c r="X459" i="2"/>
  <c r="AX458" i="2"/>
  <c r="AW458" i="2"/>
  <c r="AV458" i="2"/>
  <c r="AU458" i="2"/>
  <c r="AT458" i="2"/>
  <c r="AS458" i="2"/>
  <c r="AR458" i="2"/>
  <c r="AQ458" i="2"/>
  <c r="AP458" i="2"/>
  <c r="AO458" i="2"/>
  <c r="Z458" i="2"/>
  <c r="X458" i="2"/>
  <c r="AX457" i="2"/>
  <c r="AW457" i="2"/>
  <c r="AV457" i="2"/>
  <c r="AU457" i="2"/>
  <c r="AT457" i="2"/>
  <c r="AS457" i="2"/>
  <c r="AR457" i="2"/>
  <c r="AQ457" i="2"/>
  <c r="AP457" i="2"/>
  <c r="AO457" i="2"/>
  <c r="Z457" i="2"/>
  <c r="X457" i="2"/>
  <c r="AX456" i="2"/>
  <c r="AW456" i="2"/>
  <c r="AV456" i="2"/>
  <c r="AU456" i="2"/>
  <c r="AT456" i="2"/>
  <c r="AS456" i="2"/>
  <c r="AR456" i="2"/>
  <c r="AQ456" i="2"/>
  <c r="AP456" i="2"/>
  <c r="AO456" i="2"/>
  <c r="Z456" i="2"/>
  <c r="X456" i="2"/>
  <c r="AX455" i="2"/>
  <c r="AW455" i="2"/>
  <c r="AV455" i="2"/>
  <c r="AU455" i="2"/>
  <c r="AT455" i="2"/>
  <c r="AS455" i="2"/>
  <c r="AR455" i="2"/>
  <c r="AQ455" i="2"/>
  <c r="AP455" i="2"/>
  <c r="AO455" i="2"/>
  <c r="Z455" i="2"/>
  <c r="X455" i="2"/>
  <c r="AX454" i="2"/>
  <c r="AW454" i="2"/>
  <c r="AV454" i="2"/>
  <c r="AU454" i="2"/>
  <c r="AT454" i="2"/>
  <c r="AS454" i="2"/>
  <c r="AR454" i="2"/>
  <c r="AQ454" i="2"/>
  <c r="AP454" i="2"/>
  <c r="AO454" i="2"/>
  <c r="Z454" i="2"/>
  <c r="X454" i="2"/>
  <c r="AX453" i="2"/>
  <c r="AW453" i="2"/>
  <c r="AV453" i="2"/>
  <c r="AU453" i="2"/>
  <c r="AT453" i="2"/>
  <c r="AS453" i="2"/>
  <c r="AR453" i="2"/>
  <c r="AQ453" i="2"/>
  <c r="AP453" i="2"/>
  <c r="AO453" i="2"/>
  <c r="Z453" i="2"/>
  <c r="X453" i="2"/>
  <c r="AX452" i="2"/>
  <c r="AW452" i="2"/>
  <c r="AV452" i="2"/>
  <c r="AU452" i="2"/>
  <c r="AT452" i="2"/>
  <c r="AS452" i="2"/>
  <c r="AR452" i="2"/>
  <c r="AQ452" i="2"/>
  <c r="AP452" i="2"/>
  <c r="AO452" i="2"/>
  <c r="Z452" i="2"/>
  <c r="X452" i="2"/>
  <c r="AX451" i="2"/>
  <c r="AW451" i="2"/>
  <c r="AV451" i="2"/>
  <c r="AU451" i="2"/>
  <c r="AT451" i="2"/>
  <c r="AS451" i="2"/>
  <c r="AR451" i="2"/>
  <c r="AQ451" i="2"/>
  <c r="AP451" i="2"/>
  <c r="AO451" i="2"/>
  <c r="Z451" i="2"/>
  <c r="X451" i="2"/>
  <c r="AX450" i="2"/>
  <c r="AW450" i="2"/>
  <c r="AV450" i="2"/>
  <c r="AU450" i="2"/>
  <c r="AT450" i="2"/>
  <c r="AS450" i="2"/>
  <c r="AR450" i="2"/>
  <c r="AQ450" i="2"/>
  <c r="AP450" i="2"/>
  <c r="AO450" i="2"/>
  <c r="Z450" i="2"/>
  <c r="X450" i="2"/>
  <c r="AX449" i="2"/>
  <c r="AW449" i="2"/>
  <c r="AV449" i="2"/>
  <c r="AU449" i="2"/>
  <c r="AT449" i="2"/>
  <c r="AS449" i="2"/>
  <c r="AR449" i="2"/>
  <c r="AQ449" i="2"/>
  <c r="AP449" i="2"/>
  <c r="AO449" i="2"/>
  <c r="Z449" i="2"/>
  <c r="X449" i="2"/>
  <c r="AX448" i="2"/>
  <c r="AW448" i="2"/>
  <c r="AV448" i="2"/>
  <c r="AU448" i="2"/>
  <c r="AT448" i="2"/>
  <c r="AS448" i="2"/>
  <c r="AR448" i="2"/>
  <c r="AQ448" i="2"/>
  <c r="AP448" i="2"/>
  <c r="AO448" i="2"/>
  <c r="Z448" i="2"/>
  <c r="X448" i="2"/>
  <c r="AX447" i="2"/>
  <c r="AW447" i="2"/>
  <c r="AV447" i="2"/>
  <c r="AU447" i="2"/>
  <c r="AT447" i="2"/>
  <c r="AS447" i="2"/>
  <c r="AR447" i="2"/>
  <c r="AQ447" i="2"/>
  <c r="AP447" i="2"/>
  <c r="AO447" i="2"/>
  <c r="Z447" i="2"/>
  <c r="X447" i="2"/>
  <c r="AX446" i="2"/>
  <c r="AW446" i="2"/>
  <c r="AV446" i="2"/>
  <c r="AU446" i="2"/>
  <c r="AT446" i="2"/>
  <c r="AS446" i="2"/>
  <c r="AR446" i="2"/>
  <c r="AQ446" i="2"/>
  <c r="AP446" i="2"/>
  <c r="AO446" i="2"/>
  <c r="Z446" i="2"/>
  <c r="X446" i="2"/>
  <c r="AX445" i="2"/>
  <c r="AW445" i="2"/>
  <c r="AV445" i="2"/>
  <c r="AU445" i="2"/>
  <c r="AT445" i="2"/>
  <c r="AS445" i="2"/>
  <c r="AR445" i="2"/>
  <c r="AQ445" i="2"/>
  <c r="AP445" i="2"/>
  <c r="AO445" i="2"/>
  <c r="Z445" i="2"/>
  <c r="X445" i="2"/>
  <c r="AX444" i="2"/>
  <c r="AW444" i="2"/>
  <c r="AV444" i="2"/>
  <c r="AU444" i="2"/>
  <c r="AT444" i="2"/>
  <c r="AS444" i="2"/>
  <c r="AR444" i="2"/>
  <c r="AQ444" i="2"/>
  <c r="AP444" i="2"/>
  <c r="AO444" i="2"/>
  <c r="Z444" i="2"/>
  <c r="X444" i="2"/>
  <c r="AX443" i="2"/>
  <c r="AW443" i="2"/>
  <c r="AV443" i="2"/>
  <c r="AU443" i="2"/>
  <c r="AT443" i="2"/>
  <c r="AS443" i="2"/>
  <c r="AR443" i="2"/>
  <c r="AQ443" i="2"/>
  <c r="AP443" i="2"/>
  <c r="AO443" i="2"/>
  <c r="Z443" i="2"/>
  <c r="X443" i="2"/>
  <c r="AX442" i="2"/>
  <c r="AW442" i="2"/>
  <c r="AV442" i="2"/>
  <c r="AU442" i="2"/>
  <c r="AT442" i="2"/>
  <c r="AS442" i="2"/>
  <c r="AR442" i="2"/>
  <c r="AQ442" i="2"/>
  <c r="AP442" i="2"/>
  <c r="AO442" i="2"/>
  <c r="Z442" i="2"/>
  <c r="X442" i="2"/>
  <c r="AX441" i="2"/>
  <c r="AW441" i="2"/>
  <c r="AV441" i="2"/>
  <c r="AU441" i="2"/>
  <c r="AT441" i="2"/>
  <c r="AS441" i="2"/>
  <c r="AR441" i="2"/>
  <c r="AQ441" i="2"/>
  <c r="AP441" i="2"/>
  <c r="AO441" i="2"/>
  <c r="Z441" i="2"/>
  <c r="X441" i="2"/>
  <c r="AX440" i="2"/>
  <c r="AW440" i="2"/>
  <c r="AV440" i="2"/>
  <c r="AU440" i="2"/>
  <c r="AT440" i="2"/>
  <c r="AS440" i="2"/>
  <c r="AR440" i="2"/>
  <c r="AQ440" i="2"/>
  <c r="AP440" i="2"/>
  <c r="AO440" i="2"/>
  <c r="Z440" i="2"/>
  <c r="X440" i="2"/>
  <c r="AX439" i="2"/>
  <c r="AW439" i="2"/>
  <c r="AV439" i="2"/>
  <c r="AU439" i="2"/>
  <c r="AT439" i="2"/>
  <c r="AS439" i="2"/>
  <c r="AR439" i="2"/>
  <c r="AQ439" i="2"/>
  <c r="AP439" i="2"/>
  <c r="AO439" i="2"/>
  <c r="Z439" i="2"/>
  <c r="X439" i="2"/>
  <c r="AX438" i="2"/>
  <c r="AW438" i="2"/>
  <c r="AV438" i="2"/>
  <c r="AU438" i="2"/>
  <c r="AT438" i="2"/>
  <c r="AS438" i="2"/>
  <c r="AR438" i="2"/>
  <c r="AQ438" i="2"/>
  <c r="AP438" i="2"/>
  <c r="AO438" i="2"/>
  <c r="Z438" i="2"/>
  <c r="X438" i="2"/>
  <c r="AX437" i="2"/>
  <c r="AW437" i="2"/>
  <c r="AV437" i="2"/>
  <c r="AU437" i="2"/>
  <c r="AT437" i="2"/>
  <c r="AS437" i="2"/>
  <c r="AR437" i="2"/>
  <c r="AQ437" i="2"/>
  <c r="AP437" i="2"/>
  <c r="AO437" i="2"/>
  <c r="Z437" i="2"/>
  <c r="X437" i="2"/>
  <c r="AX436" i="2"/>
  <c r="AW436" i="2"/>
  <c r="AV436" i="2"/>
  <c r="AU436" i="2"/>
  <c r="AT436" i="2"/>
  <c r="AS436" i="2"/>
  <c r="AR436" i="2"/>
  <c r="AQ436" i="2"/>
  <c r="AP436" i="2"/>
  <c r="AO436" i="2"/>
  <c r="Z436" i="2"/>
  <c r="X436" i="2"/>
  <c r="AX435" i="2"/>
  <c r="AW435" i="2"/>
  <c r="AV435" i="2"/>
  <c r="AU435" i="2"/>
  <c r="AT435" i="2"/>
  <c r="AS435" i="2"/>
  <c r="AR435" i="2"/>
  <c r="AQ435" i="2"/>
  <c r="AP435" i="2"/>
  <c r="AO435" i="2"/>
  <c r="Z435" i="2"/>
  <c r="X435" i="2"/>
  <c r="AX434" i="2"/>
  <c r="AW434" i="2"/>
  <c r="AV434" i="2"/>
  <c r="AU434" i="2"/>
  <c r="AT434" i="2"/>
  <c r="AS434" i="2"/>
  <c r="AR434" i="2"/>
  <c r="AQ434" i="2"/>
  <c r="AP434" i="2"/>
  <c r="AO434" i="2"/>
  <c r="Z434" i="2"/>
  <c r="X434" i="2"/>
  <c r="AX433" i="2"/>
  <c r="AW433" i="2"/>
  <c r="AV433" i="2"/>
  <c r="AU433" i="2"/>
  <c r="AT433" i="2"/>
  <c r="AS433" i="2"/>
  <c r="AR433" i="2"/>
  <c r="AQ433" i="2"/>
  <c r="AP433" i="2"/>
  <c r="AO433" i="2"/>
  <c r="Z433" i="2"/>
  <c r="X433" i="2"/>
  <c r="AX432" i="2"/>
  <c r="AW432" i="2"/>
  <c r="AV432" i="2"/>
  <c r="AU432" i="2"/>
  <c r="AT432" i="2"/>
  <c r="AS432" i="2"/>
  <c r="AR432" i="2"/>
  <c r="AQ432" i="2"/>
  <c r="AP432" i="2"/>
  <c r="AO432" i="2"/>
  <c r="Z432" i="2"/>
  <c r="X432" i="2"/>
  <c r="AX431" i="2"/>
  <c r="AW431" i="2"/>
  <c r="AV431" i="2"/>
  <c r="AU431" i="2"/>
  <c r="AT431" i="2"/>
  <c r="AS431" i="2"/>
  <c r="AR431" i="2"/>
  <c r="AQ431" i="2"/>
  <c r="AP431" i="2"/>
  <c r="AO431" i="2"/>
  <c r="Z431" i="2"/>
  <c r="X431" i="2"/>
  <c r="AX430" i="2"/>
  <c r="AW430" i="2"/>
  <c r="AV430" i="2"/>
  <c r="AU430" i="2"/>
  <c r="AT430" i="2"/>
  <c r="AS430" i="2"/>
  <c r="AR430" i="2"/>
  <c r="AQ430" i="2"/>
  <c r="AP430" i="2"/>
  <c r="AO430" i="2"/>
  <c r="Z430" i="2"/>
  <c r="X430" i="2"/>
  <c r="AX429" i="2"/>
  <c r="AW429" i="2"/>
  <c r="AV429" i="2"/>
  <c r="AU429" i="2"/>
  <c r="AT429" i="2"/>
  <c r="AS429" i="2"/>
  <c r="AR429" i="2"/>
  <c r="AQ429" i="2"/>
  <c r="AP429" i="2"/>
  <c r="AO429" i="2"/>
  <c r="Z429" i="2"/>
  <c r="X429" i="2"/>
  <c r="AX428" i="2"/>
  <c r="AW428" i="2"/>
  <c r="AV428" i="2"/>
  <c r="AU428" i="2"/>
  <c r="AT428" i="2"/>
  <c r="AS428" i="2"/>
  <c r="AR428" i="2"/>
  <c r="AQ428" i="2"/>
  <c r="AP428" i="2"/>
  <c r="AO428" i="2"/>
  <c r="Z428" i="2"/>
  <c r="X428" i="2"/>
  <c r="AX427" i="2"/>
  <c r="AW427" i="2"/>
  <c r="AV427" i="2"/>
  <c r="AU427" i="2"/>
  <c r="AT427" i="2"/>
  <c r="AS427" i="2"/>
  <c r="AR427" i="2"/>
  <c r="AQ427" i="2"/>
  <c r="AP427" i="2"/>
  <c r="AO427" i="2"/>
  <c r="Z427" i="2"/>
  <c r="X427" i="2"/>
  <c r="AX426" i="2"/>
  <c r="AW426" i="2"/>
  <c r="AV426" i="2"/>
  <c r="AU426" i="2"/>
  <c r="AT426" i="2"/>
  <c r="AS426" i="2"/>
  <c r="AR426" i="2"/>
  <c r="AQ426" i="2"/>
  <c r="AP426" i="2"/>
  <c r="AO426" i="2"/>
  <c r="Z426" i="2"/>
  <c r="X426" i="2"/>
  <c r="AX425" i="2"/>
  <c r="AW425" i="2"/>
  <c r="AV425" i="2"/>
  <c r="AU425" i="2"/>
  <c r="AT425" i="2"/>
  <c r="AS425" i="2"/>
  <c r="AR425" i="2"/>
  <c r="AQ425" i="2"/>
  <c r="AP425" i="2"/>
  <c r="AO425" i="2"/>
  <c r="Z425" i="2"/>
  <c r="X425" i="2"/>
  <c r="AX424" i="2"/>
  <c r="AW424" i="2"/>
  <c r="AV424" i="2"/>
  <c r="AU424" i="2"/>
  <c r="AT424" i="2"/>
  <c r="AS424" i="2"/>
  <c r="AR424" i="2"/>
  <c r="AQ424" i="2"/>
  <c r="AP424" i="2"/>
  <c r="AO424" i="2"/>
  <c r="Z424" i="2"/>
  <c r="X424" i="2"/>
  <c r="AX423" i="2"/>
  <c r="AW423" i="2"/>
  <c r="AV423" i="2"/>
  <c r="AU423" i="2"/>
  <c r="AT423" i="2"/>
  <c r="AS423" i="2"/>
  <c r="AR423" i="2"/>
  <c r="AQ423" i="2"/>
  <c r="AP423" i="2"/>
  <c r="AO423" i="2"/>
  <c r="Z423" i="2"/>
  <c r="X423" i="2"/>
  <c r="AX422" i="2"/>
  <c r="AW422" i="2"/>
  <c r="AV422" i="2"/>
  <c r="AU422" i="2"/>
  <c r="AT422" i="2"/>
  <c r="AS422" i="2"/>
  <c r="AR422" i="2"/>
  <c r="AQ422" i="2"/>
  <c r="AP422" i="2"/>
  <c r="AO422" i="2"/>
  <c r="Z422" i="2"/>
  <c r="X422" i="2"/>
  <c r="AX421" i="2"/>
  <c r="AW421" i="2"/>
  <c r="AV421" i="2"/>
  <c r="AU421" i="2"/>
  <c r="AT421" i="2"/>
  <c r="AS421" i="2"/>
  <c r="AR421" i="2"/>
  <c r="AQ421" i="2"/>
  <c r="AP421" i="2"/>
  <c r="AO421" i="2"/>
  <c r="Z421" i="2"/>
  <c r="X421" i="2"/>
  <c r="AX420" i="2"/>
  <c r="AW420" i="2"/>
  <c r="AV420" i="2"/>
  <c r="AU420" i="2"/>
  <c r="AT420" i="2"/>
  <c r="AS420" i="2"/>
  <c r="AR420" i="2"/>
  <c r="AQ420" i="2"/>
  <c r="AP420" i="2"/>
  <c r="AO420" i="2"/>
  <c r="Z420" i="2"/>
  <c r="X420" i="2"/>
  <c r="AX419" i="2"/>
  <c r="AW419" i="2"/>
  <c r="AV419" i="2"/>
  <c r="AU419" i="2"/>
  <c r="AT419" i="2"/>
  <c r="AS419" i="2"/>
  <c r="AR419" i="2"/>
  <c r="AQ419" i="2"/>
  <c r="AP419" i="2"/>
  <c r="AO419" i="2"/>
  <c r="Z419" i="2"/>
  <c r="X419" i="2"/>
  <c r="AX418" i="2"/>
  <c r="AW418" i="2"/>
  <c r="AV418" i="2"/>
  <c r="AU418" i="2"/>
  <c r="AT418" i="2"/>
  <c r="AS418" i="2"/>
  <c r="AR418" i="2"/>
  <c r="AQ418" i="2"/>
  <c r="AP418" i="2"/>
  <c r="AO418" i="2"/>
  <c r="Z418" i="2"/>
  <c r="X418" i="2"/>
  <c r="AX417" i="2"/>
  <c r="AW417" i="2"/>
  <c r="AV417" i="2"/>
  <c r="AU417" i="2"/>
  <c r="AT417" i="2"/>
  <c r="AS417" i="2"/>
  <c r="AR417" i="2"/>
  <c r="AQ417" i="2"/>
  <c r="AP417" i="2"/>
  <c r="AO417" i="2"/>
  <c r="Z417" i="2"/>
  <c r="X417" i="2"/>
  <c r="AX416" i="2"/>
  <c r="AW416" i="2"/>
  <c r="AV416" i="2"/>
  <c r="AU416" i="2"/>
  <c r="AT416" i="2"/>
  <c r="AS416" i="2"/>
  <c r="AR416" i="2"/>
  <c r="AQ416" i="2"/>
  <c r="AP416" i="2"/>
  <c r="AO416" i="2"/>
  <c r="Z416" i="2"/>
  <c r="X416" i="2"/>
  <c r="AX415" i="2"/>
  <c r="AW415" i="2"/>
  <c r="AV415" i="2"/>
  <c r="AU415" i="2"/>
  <c r="AT415" i="2"/>
  <c r="AS415" i="2"/>
  <c r="AR415" i="2"/>
  <c r="AQ415" i="2"/>
  <c r="AP415" i="2"/>
  <c r="AO415" i="2"/>
  <c r="Z415" i="2"/>
  <c r="X415" i="2"/>
  <c r="AX414" i="2"/>
  <c r="AW414" i="2"/>
  <c r="AV414" i="2"/>
  <c r="AU414" i="2"/>
  <c r="AT414" i="2"/>
  <c r="AS414" i="2"/>
  <c r="AR414" i="2"/>
  <c r="AQ414" i="2"/>
  <c r="AP414" i="2"/>
  <c r="AO414" i="2"/>
  <c r="Z414" i="2"/>
  <c r="X414" i="2"/>
  <c r="AX413" i="2"/>
  <c r="AW413" i="2"/>
  <c r="AV413" i="2"/>
  <c r="AU413" i="2"/>
  <c r="AT413" i="2"/>
  <c r="AS413" i="2"/>
  <c r="AR413" i="2"/>
  <c r="AQ413" i="2"/>
  <c r="AP413" i="2"/>
  <c r="AO413" i="2"/>
  <c r="Z413" i="2"/>
  <c r="X413" i="2"/>
  <c r="AX412" i="2"/>
  <c r="AW412" i="2"/>
  <c r="AV412" i="2"/>
  <c r="AU412" i="2"/>
  <c r="AT412" i="2"/>
  <c r="AS412" i="2"/>
  <c r="AR412" i="2"/>
  <c r="AQ412" i="2"/>
  <c r="AP412" i="2"/>
  <c r="AO412" i="2"/>
  <c r="Z412" i="2"/>
  <c r="X412" i="2"/>
  <c r="AX411" i="2"/>
  <c r="AW411" i="2"/>
  <c r="AV411" i="2"/>
  <c r="AU411" i="2"/>
  <c r="AT411" i="2"/>
  <c r="AS411" i="2"/>
  <c r="AR411" i="2"/>
  <c r="AQ411" i="2"/>
  <c r="AP411" i="2"/>
  <c r="AO411" i="2"/>
  <c r="Z411" i="2"/>
  <c r="X411" i="2"/>
  <c r="AX410" i="2"/>
  <c r="AW410" i="2"/>
  <c r="AV410" i="2"/>
  <c r="AU410" i="2"/>
  <c r="AT410" i="2"/>
  <c r="AS410" i="2"/>
  <c r="AR410" i="2"/>
  <c r="AQ410" i="2"/>
  <c r="AP410" i="2"/>
  <c r="AO410" i="2"/>
  <c r="Z410" i="2"/>
  <c r="X410" i="2"/>
  <c r="AX409" i="2"/>
  <c r="AW409" i="2"/>
  <c r="AV409" i="2"/>
  <c r="AU409" i="2"/>
  <c r="AT409" i="2"/>
  <c r="AS409" i="2"/>
  <c r="AR409" i="2"/>
  <c r="AQ409" i="2"/>
  <c r="AP409" i="2"/>
  <c r="AO409" i="2"/>
  <c r="Z409" i="2"/>
  <c r="X409" i="2"/>
  <c r="AX408" i="2"/>
  <c r="AW408" i="2"/>
  <c r="AV408" i="2"/>
  <c r="AU408" i="2"/>
  <c r="AT408" i="2"/>
  <c r="AS408" i="2"/>
  <c r="AR408" i="2"/>
  <c r="AQ408" i="2"/>
  <c r="AP408" i="2"/>
  <c r="AO408" i="2"/>
  <c r="Z408" i="2"/>
  <c r="X408" i="2"/>
  <c r="AX407" i="2"/>
  <c r="AW407" i="2"/>
  <c r="AV407" i="2"/>
  <c r="AU407" i="2"/>
  <c r="AT407" i="2"/>
  <c r="AS407" i="2"/>
  <c r="AR407" i="2"/>
  <c r="AQ407" i="2"/>
  <c r="AP407" i="2"/>
  <c r="AO407" i="2"/>
  <c r="Z407" i="2"/>
  <c r="X407" i="2"/>
  <c r="AX406" i="2"/>
  <c r="AW406" i="2"/>
  <c r="AV406" i="2"/>
  <c r="AU406" i="2"/>
  <c r="AT406" i="2"/>
  <c r="AS406" i="2"/>
  <c r="AR406" i="2"/>
  <c r="AQ406" i="2"/>
  <c r="AP406" i="2"/>
  <c r="AO406" i="2"/>
  <c r="Z406" i="2"/>
  <c r="X406" i="2"/>
  <c r="AX405" i="2"/>
  <c r="AW405" i="2"/>
  <c r="AV405" i="2"/>
  <c r="AU405" i="2"/>
  <c r="AT405" i="2"/>
  <c r="AS405" i="2"/>
  <c r="AR405" i="2"/>
  <c r="AQ405" i="2"/>
  <c r="AP405" i="2"/>
  <c r="AO405" i="2"/>
  <c r="Z405" i="2"/>
  <c r="X405" i="2"/>
  <c r="AX404" i="2"/>
  <c r="AW404" i="2"/>
  <c r="AV404" i="2"/>
  <c r="AU404" i="2"/>
  <c r="AT404" i="2"/>
  <c r="AS404" i="2"/>
  <c r="AR404" i="2"/>
  <c r="AQ404" i="2"/>
  <c r="AP404" i="2"/>
  <c r="AO404" i="2"/>
  <c r="Z404" i="2"/>
  <c r="X404" i="2"/>
  <c r="AX403" i="2"/>
  <c r="AW403" i="2"/>
  <c r="AV403" i="2"/>
  <c r="AU403" i="2"/>
  <c r="AT403" i="2"/>
  <c r="AS403" i="2"/>
  <c r="AR403" i="2"/>
  <c r="AQ403" i="2"/>
  <c r="AP403" i="2"/>
  <c r="AO403" i="2"/>
  <c r="Z403" i="2"/>
  <c r="X403" i="2"/>
  <c r="AX402" i="2"/>
  <c r="AW402" i="2"/>
  <c r="AV402" i="2"/>
  <c r="AU402" i="2"/>
  <c r="AT402" i="2"/>
  <c r="AS402" i="2"/>
  <c r="AR402" i="2"/>
  <c r="AQ402" i="2"/>
  <c r="AP402" i="2"/>
  <c r="AO402" i="2"/>
  <c r="Z402" i="2"/>
  <c r="X402" i="2"/>
  <c r="AX401" i="2"/>
  <c r="AW401" i="2"/>
  <c r="AV401" i="2"/>
  <c r="AU401" i="2"/>
  <c r="AT401" i="2"/>
  <c r="AS401" i="2"/>
  <c r="AR401" i="2"/>
  <c r="AQ401" i="2"/>
  <c r="AP401" i="2"/>
  <c r="AO401" i="2"/>
  <c r="Z401" i="2"/>
  <c r="X401" i="2"/>
  <c r="AX400" i="2"/>
  <c r="AW400" i="2"/>
  <c r="AV400" i="2"/>
  <c r="AU400" i="2"/>
  <c r="AT400" i="2"/>
  <c r="AS400" i="2"/>
  <c r="AR400" i="2"/>
  <c r="AQ400" i="2"/>
  <c r="AP400" i="2"/>
  <c r="AO400" i="2"/>
  <c r="Z400" i="2"/>
  <c r="X400" i="2"/>
  <c r="AX399" i="2"/>
  <c r="AW399" i="2"/>
  <c r="AV399" i="2"/>
  <c r="AU399" i="2"/>
  <c r="AT399" i="2"/>
  <c r="AS399" i="2"/>
  <c r="AR399" i="2"/>
  <c r="AQ399" i="2"/>
  <c r="AP399" i="2"/>
  <c r="AO399" i="2"/>
  <c r="Z399" i="2"/>
  <c r="X399" i="2"/>
  <c r="AX398" i="2"/>
  <c r="AW398" i="2"/>
  <c r="AV398" i="2"/>
  <c r="AU398" i="2"/>
  <c r="AT398" i="2"/>
  <c r="AS398" i="2"/>
  <c r="AR398" i="2"/>
  <c r="AQ398" i="2"/>
  <c r="AP398" i="2"/>
  <c r="AO398" i="2"/>
  <c r="Z398" i="2"/>
  <c r="X398" i="2"/>
  <c r="AX397" i="2"/>
  <c r="AW397" i="2"/>
  <c r="AV397" i="2"/>
  <c r="AU397" i="2"/>
  <c r="AT397" i="2"/>
  <c r="AS397" i="2"/>
  <c r="AR397" i="2"/>
  <c r="AQ397" i="2"/>
  <c r="AP397" i="2"/>
  <c r="AO397" i="2"/>
  <c r="Z397" i="2"/>
  <c r="X397" i="2"/>
  <c r="AX396" i="2"/>
  <c r="AW396" i="2"/>
  <c r="AV396" i="2"/>
  <c r="AU396" i="2"/>
  <c r="AT396" i="2"/>
  <c r="AS396" i="2"/>
  <c r="AR396" i="2"/>
  <c r="AQ396" i="2"/>
  <c r="AP396" i="2"/>
  <c r="AO396" i="2"/>
  <c r="Z396" i="2"/>
  <c r="X396" i="2"/>
  <c r="AX395" i="2"/>
  <c r="AW395" i="2"/>
  <c r="AV395" i="2"/>
  <c r="AU395" i="2"/>
  <c r="AT395" i="2"/>
  <c r="AS395" i="2"/>
  <c r="AR395" i="2"/>
  <c r="AQ395" i="2"/>
  <c r="AP395" i="2"/>
  <c r="AO395" i="2"/>
  <c r="Z395" i="2"/>
  <c r="X395" i="2"/>
  <c r="AX394" i="2"/>
  <c r="AW394" i="2"/>
  <c r="AV394" i="2"/>
  <c r="AU394" i="2"/>
  <c r="AT394" i="2"/>
  <c r="AS394" i="2"/>
  <c r="AR394" i="2"/>
  <c r="AQ394" i="2"/>
  <c r="AP394" i="2"/>
  <c r="AO394" i="2"/>
  <c r="Z394" i="2"/>
  <c r="X394" i="2"/>
  <c r="AX393" i="2"/>
  <c r="AW393" i="2"/>
  <c r="AV393" i="2"/>
  <c r="AU393" i="2"/>
  <c r="AT393" i="2"/>
  <c r="AS393" i="2"/>
  <c r="AR393" i="2"/>
  <c r="AQ393" i="2"/>
  <c r="AP393" i="2"/>
  <c r="AO393" i="2"/>
  <c r="Z393" i="2"/>
  <c r="X393" i="2"/>
  <c r="AX392" i="2"/>
  <c r="AW392" i="2"/>
  <c r="AV392" i="2"/>
  <c r="AU392" i="2"/>
  <c r="AT392" i="2"/>
  <c r="AS392" i="2"/>
  <c r="AR392" i="2"/>
  <c r="AQ392" i="2"/>
  <c r="AP392" i="2"/>
  <c r="AO392" i="2"/>
  <c r="Z392" i="2"/>
  <c r="X392" i="2"/>
  <c r="AX391" i="2"/>
  <c r="AW391" i="2"/>
  <c r="AV391" i="2"/>
  <c r="AU391" i="2"/>
  <c r="AT391" i="2"/>
  <c r="AS391" i="2"/>
  <c r="AR391" i="2"/>
  <c r="AQ391" i="2"/>
  <c r="AP391" i="2"/>
  <c r="AO391" i="2"/>
  <c r="Z391" i="2"/>
  <c r="X391" i="2"/>
  <c r="AX390" i="2"/>
  <c r="AW390" i="2"/>
  <c r="AV390" i="2"/>
  <c r="AU390" i="2"/>
  <c r="AT390" i="2"/>
  <c r="AS390" i="2"/>
  <c r="AR390" i="2"/>
  <c r="AQ390" i="2"/>
  <c r="AP390" i="2"/>
  <c r="AO390" i="2"/>
  <c r="Z390" i="2"/>
  <c r="X390" i="2"/>
  <c r="AX389" i="2"/>
  <c r="AW389" i="2"/>
  <c r="AV389" i="2"/>
  <c r="AU389" i="2"/>
  <c r="AT389" i="2"/>
  <c r="AS389" i="2"/>
  <c r="AR389" i="2"/>
  <c r="AQ389" i="2"/>
  <c r="AP389" i="2"/>
  <c r="AO389" i="2"/>
  <c r="Z389" i="2"/>
  <c r="X389" i="2"/>
  <c r="AX388" i="2"/>
  <c r="AW388" i="2"/>
  <c r="AV388" i="2"/>
  <c r="AU388" i="2"/>
  <c r="AT388" i="2"/>
  <c r="AS388" i="2"/>
  <c r="AR388" i="2"/>
  <c r="AQ388" i="2"/>
  <c r="AP388" i="2"/>
  <c r="AO388" i="2"/>
  <c r="Z388" i="2"/>
  <c r="X388" i="2"/>
  <c r="AX387" i="2"/>
  <c r="AW387" i="2"/>
  <c r="AV387" i="2"/>
  <c r="AU387" i="2"/>
  <c r="AT387" i="2"/>
  <c r="AS387" i="2"/>
  <c r="AR387" i="2"/>
  <c r="AQ387" i="2"/>
  <c r="AP387" i="2"/>
  <c r="AO387" i="2"/>
  <c r="Z387" i="2"/>
  <c r="X387" i="2"/>
  <c r="AX386" i="2"/>
  <c r="AW386" i="2"/>
  <c r="AV386" i="2"/>
  <c r="AU386" i="2"/>
  <c r="AT386" i="2"/>
  <c r="AS386" i="2"/>
  <c r="AR386" i="2"/>
  <c r="AQ386" i="2"/>
  <c r="AP386" i="2"/>
  <c r="AO386" i="2"/>
  <c r="Z386" i="2"/>
  <c r="X386" i="2"/>
  <c r="AX385" i="2"/>
  <c r="AW385" i="2"/>
  <c r="AV385" i="2"/>
  <c r="AU385" i="2"/>
  <c r="AT385" i="2"/>
  <c r="AS385" i="2"/>
  <c r="AR385" i="2"/>
  <c r="AQ385" i="2"/>
  <c r="AP385" i="2"/>
  <c r="AO385" i="2"/>
  <c r="Z385" i="2"/>
  <c r="X385" i="2"/>
  <c r="AX384" i="2"/>
  <c r="AW384" i="2"/>
  <c r="AV384" i="2"/>
  <c r="AU384" i="2"/>
  <c r="AT384" i="2"/>
  <c r="AS384" i="2"/>
  <c r="AR384" i="2"/>
  <c r="AQ384" i="2"/>
  <c r="AP384" i="2"/>
  <c r="AO384" i="2"/>
  <c r="Z384" i="2"/>
  <c r="X384" i="2"/>
  <c r="AX383" i="2"/>
  <c r="AW383" i="2"/>
  <c r="AV383" i="2"/>
  <c r="AU383" i="2"/>
  <c r="AT383" i="2"/>
  <c r="AS383" i="2"/>
  <c r="AR383" i="2"/>
  <c r="AQ383" i="2"/>
  <c r="AP383" i="2"/>
  <c r="AO383" i="2"/>
  <c r="Z383" i="2"/>
  <c r="X383" i="2"/>
  <c r="AX382" i="2"/>
  <c r="AW382" i="2"/>
  <c r="AV382" i="2"/>
  <c r="AU382" i="2"/>
  <c r="AT382" i="2"/>
  <c r="AS382" i="2"/>
  <c r="AR382" i="2"/>
  <c r="AQ382" i="2"/>
  <c r="AP382" i="2"/>
  <c r="AO382" i="2"/>
  <c r="Z382" i="2"/>
  <c r="X382" i="2"/>
  <c r="AX381" i="2"/>
  <c r="AW381" i="2"/>
  <c r="AV381" i="2"/>
  <c r="AU381" i="2"/>
  <c r="AT381" i="2"/>
  <c r="AS381" i="2"/>
  <c r="AR381" i="2"/>
  <c r="AQ381" i="2"/>
  <c r="AP381" i="2"/>
  <c r="AO381" i="2"/>
  <c r="Z381" i="2"/>
  <c r="X381" i="2"/>
  <c r="AX380" i="2"/>
  <c r="AW380" i="2"/>
  <c r="AV380" i="2"/>
  <c r="AU380" i="2"/>
  <c r="AT380" i="2"/>
  <c r="AS380" i="2"/>
  <c r="AR380" i="2"/>
  <c r="AQ380" i="2"/>
  <c r="AP380" i="2"/>
  <c r="AO380" i="2"/>
  <c r="Z380" i="2"/>
  <c r="X380" i="2"/>
  <c r="AX379" i="2"/>
  <c r="AW379" i="2"/>
  <c r="AV379" i="2"/>
  <c r="AU379" i="2"/>
  <c r="AT379" i="2"/>
  <c r="AS379" i="2"/>
  <c r="AR379" i="2"/>
  <c r="AQ379" i="2"/>
  <c r="AP379" i="2"/>
  <c r="AO379" i="2"/>
  <c r="Z379" i="2"/>
  <c r="X379" i="2"/>
  <c r="AX378" i="2"/>
  <c r="AW378" i="2"/>
  <c r="AV378" i="2"/>
  <c r="AU378" i="2"/>
  <c r="AT378" i="2"/>
  <c r="AS378" i="2"/>
  <c r="AR378" i="2"/>
  <c r="AQ378" i="2"/>
  <c r="AP378" i="2"/>
  <c r="AO378" i="2"/>
  <c r="Z378" i="2"/>
  <c r="X378" i="2"/>
  <c r="AX377" i="2"/>
  <c r="AW377" i="2"/>
  <c r="AV377" i="2"/>
  <c r="AU377" i="2"/>
  <c r="AT377" i="2"/>
  <c r="AS377" i="2"/>
  <c r="AR377" i="2"/>
  <c r="AQ377" i="2"/>
  <c r="AP377" i="2"/>
  <c r="AO377" i="2"/>
  <c r="Z377" i="2"/>
  <c r="X377" i="2"/>
  <c r="AX376" i="2"/>
  <c r="AW376" i="2"/>
  <c r="AV376" i="2"/>
  <c r="AU376" i="2"/>
  <c r="AT376" i="2"/>
  <c r="AS376" i="2"/>
  <c r="AR376" i="2"/>
  <c r="AQ376" i="2"/>
  <c r="AP376" i="2"/>
  <c r="AO376" i="2"/>
  <c r="Z376" i="2"/>
  <c r="X376" i="2"/>
  <c r="AX375" i="2"/>
  <c r="AW375" i="2"/>
  <c r="AV375" i="2"/>
  <c r="AU375" i="2"/>
  <c r="AT375" i="2"/>
  <c r="AS375" i="2"/>
  <c r="AR375" i="2"/>
  <c r="AQ375" i="2"/>
  <c r="AP375" i="2"/>
  <c r="AO375" i="2"/>
  <c r="Z375" i="2"/>
  <c r="X375" i="2"/>
  <c r="AX374" i="2"/>
  <c r="AW374" i="2"/>
  <c r="AV374" i="2"/>
  <c r="AU374" i="2"/>
  <c r="AT374" i="2"/>
  <c r="AS374" i="2"/>
  <c r="AR374" i="2"/>
  <c r="AQ374" i="2"/>
  <c r="AP374" i="2"/>
  <c r="AO374" i="2"/>
  <c r="Z374" i="2"/>
  <c r="X374" i="2"/>
  <c r="AX373" i="2"/>
  <c r="AW373" i="2"/>
  <c r="AV373" i="2"/>
  <c r="AU373" i="2"/>
  <c r="AT373" i="2"/>
  <c r="AS373" i="2"/>
  <c r="AR373" i="2"/>
  <c r="AQ373" i="2"/>
  <c r="AP373" i="2"/>
  <c r="AO373" i="2"/>
  <c r="Z373" i="2"/>
  <c r="Z372" i="2"/>
  <c r="Z493" i="2"/>
  <c r="X373" i="2"/>
  <c r="AX372" i="2"/>
  <c r="AW372" i="2"/>
  <c r="AV372" i="2"/>
  <c r="AU372" i="2"/>
  <c r="AT372" i="2"/>
  <c r="AS372" i="2"/>
  <c r="AR372" i="2"/>
  <c r="AQ372" i="2"/>
  <c r="AP372" i="2"/>
  <c r="AO372" i="2"/>
  <c r="X372" i="2"/>
  <c r="AX371" i="2"/>
  <c r="AW371" i="2"/>
  <c r="AV371" i="2"/>
  <c r="AU371" i="2"/>
  <c r="AT371" i="2"/>
  <c r="AS371" i="2"/>
  <c r="AR371" i="2"/>
  <c r="AQ371" i="2"/>
  <c r="AP371" i="2"/>
  <c r="AO371" i="2"/>
  <c r="X371" i="2"/>
  <c r="AX370" i="2"/>
  <c r="AW370" i="2"/>
  <c r="AV370" i="2"/>
  <c r="AU370" i="2"/>
  <c r="AT370" i="2"/>
  <c r="AS370" i="2"/>
  <c r="AR370" i="2"/>
  <c r="AQ370" i="2"/>
  <c r="AP370" i="2"/>
  <c r="AO370" i="2"/>
  <c r="X370" i="2"/>
  <c r="AX369" i="2"/>
  <c r="AW369" i="2"/>
  <c r="AV369" i="2"/>
  <c r="AU369" i="2"/>
  <c r="AT369" i="2"/>
  <c r="AS369" i="2"/>
  <c r="AR369" i="2"/>
  <c r="AQ369" i="2"/>
  <c r="AP369" i="2"/>
  <c r="AO369" i="2"/>
  <c r="X369" i="2"/>
  <c r="AX368" i="2"/>
  <c r="AW368" i="2"/>
  <c r="AV368" i="2"/>
  <c r="AU368" i="2"/>
  <c r="AT368" i="2"/>
  <c r="AS368" i="2"/>
  <c r="AR368" i="2"/>
  <c r="AQ368" i="2"/>
  <c r="AP368" i="2"/>
  <c r="AO368" i="2"/>
  <c r="X368" i="2"/>
  <c r="AX367" i="2"/>
  <c r="AW367" i="2"/>
  <c r="AV367" i="2"/>
  <c r="AU367" i="2"/>
  <c r="AT367" i="2"/>
  <c r="AS367" i="2"/>
  <c r="AR367" i="2"/>
  <c r="AQ367" i="2"/>
  <c r="AP367" i="2"/>
  <c r="AO367" i="2"/>
  <c r="X367" i="2"/>
  <c r="AX366" i="2"/>
  <c r="AW366" i="2"/>
  <c r="AV366" i="2"/>
  <c r="AU366" i="2"/>
  <c r="AT366" i="2"/>
  <c r="AS366" i="2"/>
  <c r="AR366" i="2"/>
  <c r="AQ366" i="2"/>
  <c r="AP366" i="2"/>
  <c r="AO366" i="2"/>
  <c r="X366" i="2"/>
  <c r="AX365" i="2"/>
  <c r="AW365" i="2"/>
  <c r="AV365" i="2"/>
  <c r="AU365" i="2"/>
  <c r="AT365" i="2"/>
  <c r="AS365" i="2"/>
  <c r="AR365" i="2"/>
  <c r="AQ365" i="2"/>
  <c r="AP365" i="2"/>
  <c r="AO365" i="2"/>
  <c r="X365" i="2"/>
  <c r="AX364" i="2"/>
  <c r="AW364" i="2"/>
  <c r="AV364" i="2"/>
  <c r="AU364" i="2"/>
  <c r="AT364" i="2"/>
  <c r="AS364" i="2"/>
  <c r="AR364" i="2"/>
  <c r="AQ364" i="2"/>
  <c r="AP364" i="2"/>
  <c r="AO364" i="2"/>
  <c r="X364" i="2"/>
  <c r="AX363" i="2"/>
  <c r="AW363" i="2"/>
  <c r="AV363" i="2"/>
  <c r="AU363" i="2"/>
  <c r="AT363" i="2"/>
  <c r="AS363" i="2"/>
  <c r="AR363" i="2"/>
  <c r="AQ363" i="2"/>
  <c r="AP363" i="2"/>
  <c r="AO363" i="2"/>
  <c r="X363" i="2"/>
  <c r="AX362" i="2"/>
  <c r="AW362" i="2"/>
  <c r="AV362" i="2"/>
  <c r="AU362" i="2"/>
  <c r="AT362" i="2"/>
  <c r="AS362" i="2"/>
  <c r="AR362" i="2"/>
  <c r="AQ362" i="2"/>
  <c r="AP362" i="2"/>
  <c r="AO362" i="2"/>
  <c r="X362" i="2"/>
  <c r="AX361" i="2"/>
  <c r="AW361" i="2"/>
  <c r="AV361" i="2"/>
  <c r="AU361" i="2"/>
  <c r="AU358" i="2"/>
  <c r="AU359" i="2"/>
  <c r="AU360" i="2"/>
  <c r="AU491" i="2"/>
  <c r="AT361" i="2"/>
  <c r="AS361" i="2"/>
  <c r="AR361" i="2"/>
  <c r="AQ361" i="2"/>
  <c r="AP361" i="2"/>
  <c r="AO361" i="2"/>
  <c r="X361" i="2"/>
  <c r="AX360" i="2"/>
  <c r="AW360" i="2"/>
  <c r="AV360" i="2"/>
  <c r="AT360" i="2"/>
  <c r="AS360" i="2"/>
  <c r="AR360" i="2"/>
  <c r="AQ360" i="2"/>
  <c r="AP360" i="2"/>
  <c r="AO360" i="2"/>
  <c r="AX359" i="2"/>
  <c r="AW359" i="2"/>
  <c r="AV359" i="2"/>
  <c r="AT359" i="2"/>
  <c r="AS359" i="2"/>
  <c r="AR359" i="2"/>
  <c r="AQ359" i="2"/>
  <c r="AP359" i="2"/>
  <c r="AO359" i="2"/>
  <c r="AX358" i="2"/>
  <c r="AW358" i="2"/>
  <c r="AV358" i="2"/>
  <c r="AT358" i="2"/>
  <c r="AT491" i="2"/>
  <c r="M491" i="2"/>
  <c r="AS358" i="2"/>
  <c r="AR358" i="2"/>
  <c r="AQ358" i="2"/>
  <c r="AP358" i="2"/>
  <c r="AO358" i="2"/>
  <c r="T346" i="2"/>
  <c r="T347" i="2"/>
  <c r="T348" i="2"/>
  <c r="T349" i="2"/>
  <c r="T350" i="2"/>
  <c r="T351" i="2"/>
  <c r="T352" i="2"/>
  <c r="T353" i="2"/>
  <c r="T356" i="2"/>
  <c r="I355" i="2"/>
  <c r="G346" i="2"/>
  <c r="G347" i="2"/>
  <c r="G355" i="2"/>
  <c r="AX353" i="2"/>
  <c r="AW353" i="2"/>
  <c r="AV353" i="2"/>
  <c r="AU353" i="2"/>
  <c r="AT353" i="2"/>
  <c r="AS353" i="2"/>
  <c r="AR353" i="2"/>
  <c r="AP353" i="2"/>
  <c r="AO353" i="2"/>
  <c r="AM353" i="2"/>
  <c r="U353" i="2"/>
  <c r="J353" i="2"/>
  <c r="AQ353" i="2"/>
  <c r="AX352" i="2"/>
  <c r="AW352" i="2"/>
  <c r="AV352" i="2"/>
  <c r="AU352" i="2"/>
  <c r="AT352" i="2"/>
  <c r="AS352" i="2"/>
  <c r="AR352" i="2"/>
  <c r="AP352" i="2"/>
  <c r="AO352" i="2"/>
  <c r="AM352" i="2"/>
  <c r="U352" i="2"/>
  <c r="J352" i="2"/>
  <c r="AQ352" i="2"/>
  <c r="AX351" i="2"/>
  <c r="AW351" i="2"/>
  <c r="AV351" i="2"/>
  <c r="AU351" i="2"/>
  <c r="AT351" i="2"/>
  <c r="AS351" i="2"/>
  <c r="AR351" i="2"/>
  <c r="AP351" i="2"/>
  <c r="AO351" i="2"/>
  <c r="AM351" i="2"/>
  <c r="U351" i="2"/>
  <c r="J351" i="2"/>
  <c r="AQ351" i="2"/>
  <c r="AX350" i="2"/>
  <c r="AW350" i="2"/>
  <c r="AV350" i="2"/>
  <c r="AU350" i="2"/>
  <c r="AT350" i="2"/>
  <c r="AS350" i="2"/>
  <c r="AR350" i="2"/>
  <c r="AP350" i="2"/>
  <c r="AO350" i="2"/>
  <c r="AM350" i="2"/>
  <c r="U350" i="2"/>
  <c r="J350" i="2"/>
  <c r="AQ350" i="2"/>
  <c r="AX349" i="2"/>
  <c r="AW349" i="2"/>
  <c r="AV349" i="2"/>
  <c r="AU349" i="2"/>
  <c r="AT349" i="2"/>
  <c r="AS349" i="2"/>
  <c r="AR349" i="2"/>
  <c r="AP349" i="2"/>
  <c r="AO349" i="2"/>
  <c r="AM349" i="2"/>
  <c r="U349" i="2"/>
  <c r="AX348" i="2"/>
  <c r="AW348" i="2"/>
  <c r="AV348" i="2"/>
  <c r="AU348" i="2"/>
  <c r="AT348" i="2"/>
  <c r="AS348" i="2"/>
  <c r="AR348" i="2"/>
  <c r="AP348" i="2"/>
  <c r="AO348" i="2"/>
  <c r="AM348" i="2"/>
  <c r="U348" i="2"/>
  <c r="U356" i="2"/>
  <c r="J348" i="2"/>
  <c r="AX347" i="2"/>
  <c r="AV347" i="2"/>
  <c r="AU347" i="2"/>
  <c r="AT347" i="2"/>
  <c r="AR347" i="2"/>
  <c r="AQ347" i="2"/>
  <c r="I347" i="2"/>
  <c r="AP347" i="2"/>
  <c r="AM347" i="2"/>
  <c r="AS347" i="2"/>
  <c r="AT346" i="2"/>
  <c r="AS346" i="2"/>
  <c r="AS354" i="2"/>
  <c r="AM346" i="2"/>
  <c r="AM355" i="2"/>
  <c r="I346" i="2"/>
  <c r="I356" i="2"/>
  <c r="G354" i="2"/>
  <c r="AM341" i="2"/>
  <c r="AM344" i="2"/>
  <c r="S341" i="2"/>
  <c r="S344" i="2"/>
  <c r="H344" i="2"/>
  <c r="G341" i="2"/>
  <c r="G344" i="2"/>
  <c r="AM343" i="2"/>
  <c r="S343" i="2"/>
  <c r="H343" i="2"/>
  <c r="G343" i="2"/>
  <c r="AM342" i="2"/>
  <c r="AW341" i="2"/>
  <c r="AU341" i="2"/>
  <c r="AT341" i="2"/>
  <c r="AQ341" i="2"/>
  <c r="AO341" i="2"/>
  <c r="R341" i="2"/>
  <c r="AH341" i="2"/>
  <c r="T341" i="2"/>
  <c r="I341" i="2"/>
  <c r="I344" i="2"/>
  <c r="AS341" i="2"/>
  <c r="AX340" i="2"/>
  <c r="AW340" i="2"/>
  <c r="AV340" i="2"/>
  <c r="AU340" i="2"/>
  <c r="AT340" i="2"/>
  <c r="AS340" i="2"/>
  <c r="AR340" i="2"/>
  <c r="AQ340" i="2"/>
  <c r="AP340" i="2"/>
  <c r="AO340" i="2"/>
  <c r="R340" i="2"/>
  <c r="AH340" i="2"/>
  <c r="AX339" i="2"/>
  <c r="AW339" i="2"/>
  <c r="AV339" i="2"/>
  <c r="AU339" i="2"/>
  <c r="AT339" i="2"/>
  <c r="AS339" i="2"/>
  <c r="AR339" i="2"/>
  <c r="AQ339" i="2"/>
  <c r="AP339" i="2"/>
  <c r="AO339" i="2"/>
  <c r="R339" i="2"/>
  <c r="AH339" i="2"/>
  <c r="AX338" i="2"/>
  <c r="AW338" i="2"/>
  <c r="AV338" i="2"/>
  <c r="AU338" i="2"/>
  <c r="AT338" i="2"/>
  <c r="AS338" i="2"/>
  <c r="AR338" i="2"/>
  <c r="AQ338" i="2"/>
  <c r="AP338" i="2"/>
  <c r="AO338" i="2"/>
  <c r="R338" i="2"/>
  <c r="AH338" i="2"/>
  <c r="AX337" i="2"/>
  <c r="AW337" i="2"/>
  <c r="AV337" i="2"/>
  <c r="AU337" i="2"/>
  <c r="AT337" i="2"/>
  <c r="AS337" i="2"/>
  <c r="AR337" i="2"/>
  <c r="AQ337" i="2"/>
  <c r="AP337" i="2"/>
  <c r="AO337" i="2"/>
  <c r="R337" i="2"/>
  <c r="AH337" i="2"/>
  <c r="AX336" i="2"/>
  <c r="AW336" i="2"/>
  <c r="AV336" i="2"/>
  <c r="AU336" i="2"/>
  <c r="AT336" i="2"/>
  <c r="AS336" i="2"/>
  <c r="AR336" i="2"/>
  <c r="AQ336" i="2"/>
  <c r="AP336" i="2"/>
  <c r="AO336" i="2"/>
  <c r="R336" i="2"/>
  <c r="AH336" i="2"/>
  <c r="AX335" i="2"/>
  <c r="AW335" i="2"/>
  <c r="AV335" i="2"/>
  <c r="AU335" i="2"/>
  <c r="AT335" i="2"/>
  <c r="AS335" i="2"/>
  <c r="AR335" i="2"/>
  <c r="AQ335" i="2"/>
  <c r="AP335" i="2"/>
  <c r="AO335" i="2"/>
  <c r="R335" i="2"/>
  <c r="AH335" i="2"/>
  <c r="AX334" i="2"/>
  <c r="AW334" i="2"/>
  <c r="AV334" i="2"/>
  <c r="AU334" i="2"/>
  <c r="AT334" i="2"/>
  <c r="AS334" i="2"/>
  <c r="AR334" i="2"/>
  <c r="AQ334" i="2"/>
  <c r="AP334" i="2"/>
  <c r="AO334" i="2"/>
  <c r="R334" i="2"/>
  <c r="AH334" i="2"/>
  <c r="AX333" i="2"/>
  <c r="AW333" i="2"/>
  <c r="AV333" i="2"/>
  <c r="AU333" i="2"/>
  <c r="AT333" i="2"/>
  <c r="AS333" i="2"/>
  <c r="AR333" i="2"/>
  <c r="AQ333" i="2"/>
  <c r="AP333" i="2"/>
  <c r="AO333" i="2"/>
  <c r="R333" i="2"/>
  <c r="AH333" i="2"/>
  <c r="AX332" i="2"/>
  <c r="AW332" i="2"/>
  <c r="AV332" i="2"/>
  <c r="AU332" i="2"/>
  <c r="AT332" i="2"/>
  <c r="AS332" i="2"/>
  <c r="AR332" i="2"/>
  <c r="AQ332" i="2"/>
  <c r="AP332" i="2"/>
  <c r="AO332" i="2"/>
  <c r="AH332" i="2"/>
  <c r="AX331" i="2"/>
  <c r="AW331" i="2"/>
  <c r="AV331" i="2"/>
  <c r="AU331" i="2"/>
  <c r="AT331" i="2"/>
  <c r="AS331" i="2"/>
  <c r="AR331" i="2"/>
  <c r="AQ331" i="2"/>
  <c r="AP331" i="2"/>
  <c r="AO331" i="2"/>
  <c r="AH331" i="2"/>
  <c r="AX330" i="2"/>
  <c r="AW330" i="2"/>
  <c r="AV330" i="2"/>
  <c r="AU330" i="2"/>
  <c r="AT330" i="2"/>
  <c r="AS330" i="2"/>
  <c r="AR330" i="2"/>
  <c r="AQ330" i="2"/>
  <c r="AP330" i="2"/>
  <c r="AO330" i="2"/>
  <c r="AH330" i="2"/>
  <c r="AX329" i="2"/>
  <c r="AW329" i="2"/>
  <c r="AV329" i="2"/>
  <c r="AU329" i="2"/>
  <c r="AT329" i="2"/>
  <c r="AS329" i="2"/>
  <c r="AR329" i="2"/>
  <c r="AQ329" i="2"/>
  <c r="AP329" i="2"/>
  <c r="AO329" i="2"/>
  <c r="AH329" i="2"/>
  <c r="AX328" i="2"/>
  <c r="AW328" i="2"/>
  <c r="AV328" i="2"/>
  <c r="AU328" i="2"/>
  <c r="AT328" i="2"/>
  <c r="AS328" i="2"/>
  <c r="AR328" i="2"/>
  <c r="AQ328" i="2"/>
  <c r="AP328" i="2"/>
  <c r="AO328" i="2"/>
  <c r="AH328" i="2"/>
  <c r="AX327" i="2"/>
  <c r="AW327" i="2"/>
  <c r="AV327" i="2"/>
  <c r="AU327" i="2"/>
  <c r="AT327" i="2"/>
  <c r="AS327" i="2"/>
  <c r="AR327" i="2"/>
  <c r="AQ327" i="2"/>
  <c r="AP327" i="2"/>
  <c r="AO327" i="2"/>
  <c r="AH327" i="2"/>
  <c r="AX326" i="2"/>
  <c r="AW326" i="2"/>
  <c r="AV326" i="2"/>
  <c r="AU326" i="2"/>
  <c r="AT326" i="2"/>
  <c r="AS326" i="2"/>
  <c r="AR326" i="2"/>
  <c r="AQ326" i="2"/>
  <c r="AP326" i="2"/>
  <c r="AO326" i="2"/>
  <c r="AH326" i="2"/>
  <c r="AX325" i="2"/>
  <c r="AW325" i="2"/>
  <c r="AV325" i="2"/>
  <c r="AU325" i="2"/>
  <c r="AT325" i="2"/>
  <c r="AS325" i="2"/>
  <c r="AR325" i="2"/>
  <c r="AQ325" i="2"/>
  <c r="AP325" i="2"/>
  <c r="AO325" i="2"/>
  <c r="AH325" i="2"/>
  <c r="AX324" i="2"/>
  <c r="AW324" i="2"/>
  <c r="AV324" i="2"/>
  <c r="AU324" i="2"/>
  <c r="AT324" i="2"/>
  <c r="AS324" i="2"/>
  <c r="AR324" i="2"/>
  <c r="AQ324" i="2"/>
  <c r="AP324" i="2"/>
  <c r="AO324" i="2"/>
  <c r="AH324" i="2"/>
  <c r="AX323" i="2"/>
  <c r="AW323" i="2"/>
  <c r="AV323" i="2"/>
  <c r="AU323" i="2"/>
  <c r="AT323" i="2"/>
  <c r="AS323" i="2"/>
  <c r="AR323" i="2"/>
  <c r="AQ323" i="2"/>
  <c r="AP323" i="2"/>
  <c r="AO323" i="2"/>
  <c r="AH323" i="2"/>
  <c r="AX322" i="2"/>
  <c r="AW322" i="2"/>
  <c r="AV322" i="2"/>
  <c r="AU322" i="2"/>
  <c r="AT322" i="2"/>
  <c r="AS322" i="2"/>
  <c r="AR322" i="2"/>
  <c r="AQ322" i="2"/>
  <c r="AP322" i="2"/>
  <c r="AO322" i="2"/>
  <c r="AH322" i="2"/>
  <c r="AX321" i="2"/>
  <c r="AW321" i="2"/>
  <c r="AV321" i="2"/>
  <c r="AU321" i="2"/>
  <c r="AT321" i="2"/>
  <c r="AS321" i="2"/>
  <c r="AR321" i="2"/>
  <c r="AQ321" i="2"/>
  <c r="AP321" i="2"/>
  <c r="AO321" i="2"/>
  <c r="AH321" i="2"/>
  <c r="AX320" i="2"/>
  <c r="AW320" i="2"/>
  <c r="AV320" i="2"/>
  <c r="AU320" i="2"/>
  <c r="AT320" i="2"/>
  <c r="AS320" i="2"/>
  <c r="AR320" i="2"/>
  <c r="AQ320" i="2"/>
  <c r="AQ319" i="2"/>
  <c r="AQ342" i="2"/>
  <c r="AP320" i="2"/>
  <c r="AO320" i="2"/>
  <c r="AH320" i="2"/>
  <c r="AX319" i="2"/>
  <c r="AW319" i="2"/>
  <c r="AV319" i="2"/>
  <c r="AU319" i="2"/>
  <c r="AU342" i="2"/>
  <c r="AT319" i="2"/>
  <c r="AS319" i="2"/>
  <c r="AS342" i="2"/>
  <c r="AR319" i="2"/>
  <c r="AP319" i="2"/>
  <c r="AO319" i="2"/>
  <c r="AH319" i="2"/>
  <c r="AA317" i="2"/>
  <c r="Z317" i="2"/>
  <c r="Y317" i="2"/>
  <c r="X317" i="2"/>
  <c r="M317" i="2"/>
  <c r="L317" i="2"/>
  <c r="H317" i="2"/>
  <c r="G317" i="2"/>
  <c r="AA316" i="2"/>
  <c r="Z316" i="2"/>
  <c r="Y316" i="2"/>
  <c r="X316" i="2"/>
  <c r="M316" i="2"/>
  <c r="L316" i="2"/>
  <c r="H316" i="2"/>
  <c r="G316" i="2"/>
  <c r="AT313" i="2"/>
  <c r="AT314" i="2"/>
  <c r="AT315" i="2"/>
  <c r="M315" i="2"/>
  <c r="AS313" i="2"/>
  <c r="AS314" i="2"/>
  <c r="AS315" i="2"/>
  <c r="L315" i="2"/>
  <c r="AA315" i="2"/>
  <c r="Z315" i="2"/>
  <c r="Y315" i="2"/>
  <c r="X315" i="2"/>
  <c r="G315" i="2"/>
  <c r="AX314" i="2"/>
  <c r="AW314" i="2"/>
  <c r="AV314" i="2"/>
  <c r="AU314" i="2"/>
  <c r="AR314" i="2"/>
  <c r="AQ314" i="2"/>
  <c r="AP314" i="2"/>
  <c r="AO314" i="2"/>
  <c r="S314" i="2"/>
  <c r="R314" i="2"/>
  <c r="AX313" i="2"/>
  <c r="AX315" i="2"/>
  <c r="AW313" i="2"/>
  <c r="AV313" i="2"/>
  <c r="AV315" i="2"/>
  <c r="AU313" i="2"/>
  <c r="AU315" i="2"/>
  <c r="AR313" i="2"/>
  <c r="AR315" i="2"/>
  <c r="AQ313" i="2"/>
  <c r="AQ315" i="2"/>
  <c r="AP313" i="2"/>
  <c r="AP315" i="2"/>
  <c r="AO313" i="2"/>
  <c r="S313" i="2"/>
  <c r="S315" i="2"/>
  <c r="AM311" i="2"/>
  <c r="W311" i="2"/>
  <c r="V311" i="2"/>
  <c r="S311" i="2"/>
  <c r="R311" i="2"/>
  <c r="K311" i="2"/>
  <c r="J311" i="2"/>
  <c r="I311" i="2"/>
  <c r="H311" i="2"/>
  <c r="G311" i="2"/>
  <c r="AM310" i="2"/>
  <c r="W310" i="2"/>
  <c r="V310" i="2"/>
  <c r="T308" i="2"/>
  <c r="T310" i="2"/>
  <c r="S310" i="2"/>
  <c r="R310" i="2"/>
  <c r="K310" i="2"/>
  <c r="J310" i="2"/>
  <c r="I310" i="2"/>
  <c r="H310" i="2"/>
  <c r="G310" i="2"/>
  <c r="AX196" i="2"/>
  <c r="AX197" i="2"/>
  <c r="AX198" i="2"/>
  <c r="AX199" i="2"/>
  <c r="AX200" i="2"/>
  <c r="AX201" i="2"/>
  <c r="AX202" i="2"/>
  <c r="AX203" i="2"/>
  <c r="AX204" i="2"/>
  <c r="AX205" i="2"/>
  <c r="AX206" i="2"/>
  <c r="AX207" i="2"/>
  <c r="AX208" i="2"/>
  <c r="AX209" i="2"/>
  <c r="AX210" i="2"/>
  <c r="AX211" i="2"/>
  <c r="AX212" i="2"/>
  <c r="AX213" i="2"/>
  <c r="AX214" i="2"/>
  <c r="AX215" i="2"/>
  <c r="AX216" i="2"/>
  <c r="AX217" i="2"/>
  <c r="AX218" i="2"/>
  <c r="AX219" i="2"/>
  <c r="AX220" i="2"/>
  <c r="AX221" i="2"/>
  <c r="AX222" i="2"/>
  <c r="AX223" i="2"/>
  <c r="AX224" i="2"/>
  <c r="AX225" i="2"/>
  <c r="AX226" i="2"/>
  <c r="AX227" i="2"/>
  <c r="AX228" i="2"/>
  <c r="AX229" i="2"/>
  <c r="AX230" i="2"/>
  <c r="AX231" i="2"/>
  <c r="AX232" i="2"/>
  <c r="AX233" i="2"/>
  <c r="AX234" i="2"/>
  <c r="AX235" i="2"/>
  <c r="AX236" i="2"/>
  <c r="AX237" i="2"/>
  <c r="AX238" i="2"/>
  <c r="AX239" i="2"/>
  <c r="AX240" i="2"/>
  <c r="AX241" i="2"/>
  <c r="AX242" i="2"/>
  <c r="AX243" i="2"/>
  <c r="AX244" i="2"/>
  <c r="AX245" i="2"/>
  <c r="AX246" i="2"/>
  <c r="AX247" i="2"/>
  <c r="AX248" i="2"/>
  <c r="AX249" i="2"/>
  <c r="AX250" i="2"/>
  <c r="AX251" i="2"/>
  <c r="AX252" i="2"/>
  <c r="AX253" i="2"/>
  <c r="AX254" i="2"/>
  <c r="AX255" i="2"/>
  <c r="AX256" i="2"/>
  <c r="AX257" i="2"/>
  <c r="AX258" i="2"/>
  <c r="AX259" i="2"/>
  <c r="AX260" i="2"/>
  <c r="AX261" i="2"/>
  <c r="AX262" i="2"/>
  <c r="AX263" i="2"/>
  <c r="AX264" i="2"/>
  <c r="AX265" i="2"/>
  <c r="AX266" i="2"/>
  <c r="AX267" i="2"/>
  <c r="AX268" i="2"/>
  <c r="AX269" i="2"/>
  <c r="AX270" i="2"/>
  <c r="AX271" i="2"/>
  <c r="AX272" i="2"/>
  <c r="AX273" i="2"/>
  <c r="AX274" i="2"/>
  <c r="AX275" i="2"/>
  <c r="AX276" i="2"/>
  <c r="AX277" i="2"/>
  <c r="AX278" i="2"/>
  <c r="AX279" i="2"/>
  <c r="AX280" i="2"/>
  <c r="AX281" i="2"/>
  <c r="AX282" i="2"/>
  <c r="AX283" i="2"/>
  <c r="AX284" i="2"/>
  <c r="AX285" i="2"/>
  <c r="AX286" i="2"/>
  <c r="AX287" i="2"/>
  <c r="AX288" i="2"/>
  <c r="AX289" i="2"/>
  <c r="AX290" i="2"/>
  <c r="AX291" i="2"/>
  <c r="AX292" i="2"/>
  <c r="AX293" i="2"/>
  <c r="AX294" i="2"/>
  <c r="AX295" i="2"/>
  <c r="AX296" i="2"/>
  <c r="AX297" i="2"/>
  <c r="AX298" i="2"/>
  <c r="AX299" i="2"/>
  <c r="AX300" i="2"/>
  <c r="AX301" i="2"/>
  <c r="AX302" i="2"/>
  <c r="AX303" i="2"/>
  <c r="AX304" i="2"/>
  <c r="AX305" i="2"/>
  <c r="AX306" i="2"/>
  <c r="AX307" i="2"/>
  <c r="AX308" i="2"/>
  <c r="AX309" i="2"/>
  <c r="AM309" i="2"/>
  <c r="W309" i="2"/>
  <c r="V309" i="2"/>
  <c r="S309" i="2"/>
  <c r="R309" i="2"/>
  <c r="G309" i="2"/>
  <c r="AW308" i="2"/>
  <c r="AV308" i="2"/>
  <c r="AU308" i="2"/>
  <c r="AT308" i="2"/>
  <c r="AS308" i="2"/>
  <c r="AR308" i="2"/>
  <c r="AQ308" i="2"/>
  <c r="AP308" i="2"/>
  <c r="AO308" i="2"/>
  <c r="U308" i="2"/>
  <c r="AW307" i="2"/>
  <c r="AV307" i="2"/>
  <c r="AU307" i="2"/>
  <c r="AT307" i="2"/>
  <c r="AS307" i="2"/>
  <c r="AR307" i="2"/>
  <c r="AQ307" i="2"/>
  <c r="AP307" i="2"/>
  <c r="AO307" i="2"/>
  <c r="AW306" i="2"/>
  <c r="AV306" i="2"/>
  <c r="AU306" i="2"/>
  <c r="AT306" i="2"/>
  <c r="AS306" i="2"/>
  <c r="AR306" i="2"/>
  <c r="AQ306" i="2"/>
  <c r="AP306" i="2"/>
  <c r="AO306" i="2"/>
  <c r="AW305" i="2"/>
  <c r="AV305" i="2"/>
  <c r="AU305" i="2"/>
  <c r="AT305" i="2"/>
  <c r="AS305" i="2"/>
  <c r="AR305" i="2"/>
  <c r="AQ305" i="2"/>
  <c r="AP305" i="2"/>
  <c r="AO305" i="2"/>
  <c r="AW304" i="2"/>
  <c r="AV304" i="2"/>
  <c r="AU304" i="2"/>
  <c r="AT304" i="2"/>
  <c r="AS304" i="2"/>
  <c r="AR304" i="2"/>
  <c r="AQ304" i="2"/>
  <c r="AP304" i="2"/>
  <c r="AO304" i="2"/>
  <c r="AW303" i="2"/>
  <c r="AV303" i="2"/>
  <c r="AU303" i="2"/>
  <c r="AT303" i="2"/>
  <c r="AS303" i="2"/>
  <c r="AR303" i="2"/>
  <c r="AQ303" i="2"/>
  <c r="AP303" i="2"/>
  <c r="AO303" i="2"/>
  <c r="AW302" i="2"/>
  <c r="AV302" i="2"/>
  <c r="AU302" i="2"/>
  <c r="AT302" i="2"/>
  <c r="AS302" i="2"/>
  <c r="AR302" i="2"/>
  <c r="AQ302" i="2"/>
  <c r="AP302" i="2"/>
  <c r="AO302" i="2"/>
  <c r="AW301" i="2"/>
  <c r="AV301" i="2"/>
  <c r="AU301" i="2"/>
  <c r="AT301" i="2"/>
  <c r="AS301" i="2"/>
  <c r="AR301" i="2"/>
  <c r="AQ301" i="2"/>
  <c r="AP301" i="2"/>
  <c r="AO301" i="2"/>
  <c r="AW300" i="2"/>
  <c r="AV300" i="2"/>
  <c r="AU300" i="2"/>
  <c r="AT300" i="2"/>
  <c r="AS300" i="2"/>
  <c r="AR300" i="2"/>
  <c r="AQ300" i="2"/>
  <c r="AP300" i="2"/>
  <c r="AO300" i="2"/>
  <c r="AW299" i="2"/>
  <c r="AV299" i="2"/>
  <c r="AU299" i="2"/>
  <c r="AT299" i="2"/>
  <c r="AS299" i="2"/>
  <c r="AR299" i="2"/>
  <c r="AQ299" i="2"/>
  <c r="AP299" i="2"/>
  <c r="AO299" i="2"/>
  <c r="AW298" i="2"/>
  <c r="AV298" i="2"/>
  <c r="AU298" i="2"/>
  <c r="AT298" i="2"/>
  <c r="AS298" i="2"/>
  <c r="AR298" i="2"/>
  <c r="AQ298" i="2"/>
  <c r="AP298" i="2"/>
  <c r="AO298" i="2"/>
  <c r="AW297" i="2"/>
  <c r="AV297" i="2"/>
  <c r="AU297" i="2"/>
  <c r="AT297" i="2"/>
  <c r="AS297" i="2"/>
  <c r="AR297" i="2"/>
  <c r="AQ297" i="2"/>
  <c r="AP297" i="2"/>
  <c r="AO297" i="2"/>
  <c r="AW296" i="2"/>
  <c r="AV296" i="2"/>
  <c r="AU296" i="2"/>
  <c r="AT296" i="2"/>
  <c r="AS296" i="2"/>
  <c r="AR296" i="2"/>
  <c r="AQ296" i="2"/>
  <c r="AP296" i="2"/>
  <c r="AO296" i="2"/>
  <c r="AW295" i="2"/>
  <c r="AV295" i="2"/>
  <c r="AU295" i="2"/>
  <c r="AT295" i="2"/>
  <c r="AS295" i="2"/>
  <c r="AR295" i="2"/>
  <c r="AQ295" i="2"/>
  <c r="AP295" i="2"/>
  <c r="AO295" i="2"/>
  <c r="AW294" i="2"/>
  <c r="AV294" i="2"/>
  <c r="AU294" i="2"/>
  <c r="AT294" i="2"/>
  <c r="AS294" i="2"/>
  <c r="AR294" i="2"/>
  <c r="AQ294" i="2"/>
  <c r="AP294" i="2"/>
  <c r="AO294" i="2"/>
  <c r="AW293" i="2"/>
  <c r="AV293" i="2"/>
  <c r="AU293" i="2"/>
  <c r="AT293" i="2"/>
  <c r="AS293" i="2"/>
  <c r="AR293" i="2"/>
  <c r="AQ293" i="2"/>
  <c r="AP293" i="2"/>
  <c r="AO293" i="2"/>
  <c r="AW292" i="2"/>
  <c r="AV292" i="2"/>
  <c r="AU292" i="2"/>
  <c r="AT292" i="2"/>
  <c r="AS292" i="2"/>
  <c r="AR292" i="2"/>
  <c r="AQ292" i="2"/>
  <c r="AP292" i="2"/>
  <c r="AO292" i="2"/>
  <c r="AW291" i="2"/>
  <c r="AV291" i="2"/>
  <c r="AU291" i="2"/>
  <c r="AT291" i="2"/>
  <c r="AS291" i="2"/>
  <c r="AR291" i="2"/>
  <c r="AQ291" i="2"/>
  <c r="AP291" i="2"/>
  <c r="AO291" i="2"/>
  <c r="AW290" i="2"/>
  <c r="AV290" i="2"/>
  <c r="AU290" i="2"/>
  <c r="AT290" i="2"/>
  <c r="AS290" i="2"/>
  <c r="AR290" i="2"/>
  <c r="AQ290" i="2"/>
  <c r="AP290" i="2"/>
  <c r="AO290" i="2"/>
  <c r="AW289" i="2"/>
  <c r="AV289" i="2"/>
  <c r="AU289" i="2"/>
  <c r="AT289" i="2"/>
  <c r="AS289" i="2"/>
  <c r="AR289" i="2"/>
  <c r="AQ289" i="2"/>
  <c r="AP289" i="2"/>
  <c r="AO289" i="2"/>
  <c r="AW288" i="2"/>
  <c r="AV288" i="2"/>
  <c r="AU288" i="2"/>
  <c r="AT288" i="2"/>
  <c r="AS288" i="2"/>
  <c r="AR288" i="2"/>
  <c r="AQ288" i="2"/>
  <c r="AP288" i="2"/>
  <c r="AO288" i="2"/>
  <c r="AW287" i="2"/>
  <c r="AV287" i="2"/>
  <c r="AU287" i="2"/>
  <c r="AT287" i="2"/>
  <c r="AS287" i="2"/>
  <c r="AR287" i="2"/>
  <c r="AQ287" i="2"/>
  <c r="AP287" i="2"/>
  <c r="AO287" i="2"/>
  <c r="AW286" i="2"/>
  <c r="AV286" i="2"/>
  <c r="AU286" i="2"/>
  <c r="AT286" i="2"/>
  <c r="AS286" i="2"/>
  <c r="AR286" i="2"/>
  <c r="AQ286" i="2"/>
  <c r="AP286" i="2"/>
  <c r="AO286" i="2"/>
  <c r="AW285" i="2"/>
  <c r="AV285" i="2"/>
  <c r="AU285" i="2"/>
  <c r="AT285" i="2"/>
  <c r="AS285" i="2"/>
  <c r="AR285" i="2"/>
  <c r="AQ285" i="2"/>
  <c r="AP285" i="2"/>
  <c r="AO285" i="2"/>
  <c r="AW284" i="2"/>
  <c r="AV284" i="2"/>
  <c r="AU284" i="2"/>
  <c r="AT284" i="2"/>
  <c r="AS284" i="2"/>
  <c r="AR284" i="2"/>
  <c r="AQ284" i="2"/>
  <c r="AP284" i="2"/>
  <c r="AO284" i="2"/>
  <c r="AW283" i="2"/>
  <c r="AV283" i="2"/>
  <c r="AU283" i="2"/>
  <c r="AT283" i="2"/>
  <c r="AS283" i="2"/>
  <c r="AR283" i="2"/>
  <c r="AQ283" i="2"/>
  <c r="AP283" i="2"/>
  <c r="AO283" i="2"/>
  <c r="AW282" i="2"/>
  <c r="AV282" i="2"/>
  <c r="AU282" i="2"/>
  <c r="AT282" i="2"/>
  <c r="AS282" i="2"/>
  <c r="AR282" i="2"/>
  <c r="AQ282" i="2"/>
  <c r="AP282" i="2"/>
  <c r="AO282" i="2"/>
  <c r="AW281" i="2"/>
  <c r="AV281" i="2"/>
  <c r="AU281" i="2"/>
  <c r="AT281" i="2"/>
  <c r="AS281" i="2"/>
  <c r="AR281" i="2"/>
  <c r="AQ281" i="2"/>
  <c r="AP281" i="2"/>
  <c r="AO281" i="2"/>
  <c r="AW280" i="2"/>
  <c r="AV280" i="2"/>
  <c r="AU280" i="2"/>
  <c r="AT280" i="2"/>
  <c r="AS280" i="2"/>
  <c r="AR280" i="2"/>
  <c r="AQ280" i="2"/>
  <c r="AP280" i="2"/>
  <c r="AO280" i="2"/>
  <c r="AW279" i="2"/>
  <c r="AV279" i="2"/>
  <c r="AU279" i="2"/>
  <c r="AT279" i="2"/>
  <c r="AS279" i="2"/>
  <c r="AR279" i="2"/>
  <c r="AQ279" i="2"/>
  <c r="AP279" i="2"/>
  <c r="AO279" i="2"/>
  <c r="AW278" i="2"/>
  <c r="AV278" i="2"/>
  <c r="AU278" i="2"/>
  <c r="AT278" i="2"/>
  <c r="AS278" i="2"/>
  <c r="AR278" i="2"/>
  <c r="AQ278" i="2"/>
  <c r="AP278" i="2"/>
  <c r="AO278" i="2"/>
  <c r="AW277" i="2"/>
  <c r="AV277" i="2"/>
  <c r="AU277" i="2"/>
  <c r="AT277" i="2"/>
  <c r="AS277" i="2"/>
  <c r="AR277" i="2"/>
  <c r="AQ277" i="2"/>
  <c r="AP277" i="2"/>
  <c r="AO277" i="2"/>
  <c r="AW276" i="2"/>
  <c r="AV276" i="2"/>
  <c r="AU276" i="2"/>
  <c r="AT276" i="2"/>
  <c r="AS276" i="2"/>
  <c r="AR276" i="2"/>
  <c r="AQ276" i="2"/>
  <c r="AP276" i="2"/>
  <c r="AO276" i="2"/>
  <c r="AW275" i="2"/>
  <c r="AV275" i="2"/>
  <c r="AU275" i="2"/>
  <c r="AT275" i="2"/>
  <c r="AS275" i="2"/>
  <c r="AR275" i="2"/>
  <c r="AQ275" i="2"/>
  <c r="AP275" i="2"/>
  <c r="AO275" i="2"/>
  <c r="AW274" i="2"/>
  <c r="AV274" i="2"/>
  <c r="AU274" i="2"/>
  <c r="AT274" i="2"/>
  <c r="AS274" i="2"/>
  <c r="AR274" i="2"/>
  <c r="AQ274" i="2"/>
  <c r="AP274" i="2"/>
  <c r="AO274" i="2"/>
  <c r="AW273" i="2"/>
  <c r="AV273" i="2"/>
  <c r="AU273" i="2"/>
  <c r="AT273" i="2"/>
  <c r="AS273" i="2"/>
  <c r="AR273" i="2"/>
  <c r="AQ273" i="2"/>
  <c r="AP273" i="2"/>
  <c r="AO273" i="2"/>
  <c r="AW272" i="2"/>
  <c r="AV272" i="2"/>
  <c r="AU272" i="2"/>
  <c r="AT272" i="2"/>
  <c r="AS272" i="2"/>
  <c r="AR272" i="2"/>
  <c r="AQ272" i="2"/>
  <c r="AP272" i="2"/>
  <c r="AO272" i="2"/>
  <c r="AW271" i="2"/>
  <c r="AV271" i="2"/>
  <c r="AU271" i="2"/>
  <c r="AT271" i="2"/>
  <c r="AS271" i="2"/>
  <c r="AR271" i="2"/>
  <c r="AQ271" i="2"/>
  <c r="AP271" i="2"/>
  <c r="AO271" i="2"/>
  <c r="AW270" i="2"/>
  <c r="AV270" i="2"/>
  <c r="AU270" i="2"/>
  <c r="AT270" i="2"/>
  <c r="AS270" i="2"/>
  <c r="AR270" i="2"/>
  <c r="AQ270" i="2"/>
  <c r="AP270" i="2"/>
  <c r="AO270" i="2"/>
  <c r="AW269" i="2"/>
  <c r="AV269" i="2"/>
  <c r="AU269" i="2"/>
  <c r="AT269" i="2"/>
  <c r="AS269" i="2"/>
  <c r="AR269" i="2"/>
  <c r="AQ269" i="2"/>
  <c r="AP269" i="2"/>
  <c r="AO269" i="2"/>
  <c r="AW268" i="2"/>
  <c r="AV268" i="2"/>
  <c r="AU268" i="2"/>
  <c r="AT268" i="2"/>
  <c r="AS268" i="2"/>
  <c r="AR268" i="2"/>
  <c r="AQ268" i="2"/>
  <c r="AP268" i="2"/>
  <c r="AO268" i="2"/>
  <c r="AW267" i="2"/>
  <c r="AV267" i="2"/>
  <c r="AU267" i="2"/>
  <c r="AT267" i="2"/>
  <c r="AS267" i="2"/>
  <c r="AR267" i="2"/>
  <c r="AQ267" i="2"/>
  <c r="AP267" i="2"/>
  <c r="AO267" i="2"/>
  <c r="AW266" i="2"/>
  <c r="AV266" i="2"/>
  <c r="AU266" i="2"/>
  <c r="AT266" i="2"/>
  <c r="AS266" i="2"/>
  <c r="AR266" i="2"/>
  <c r="AQ266" i="2"/>
  <c r="AP266" i="2"/>
  <c r="AO266" i="2"/>
  <c r="AW265" i="2"/>
  <c r="AV265" i="2"/>
  <c r="AU265" i="2"/>
  <c r="AT265" i="2"/>
  <c r="AS265" i="2"/>
  <c r="AR265" i="2"/>
  <c r="AQ265" i="2"/>
  <c r="AP265" i="2"/>
  <c r="AO265" i="2"/>
  <c r="AW264" i="2"/>
  <c r="AV264" i="2"/>
  <c r="AU264" i="2"/>
  <c r="AT264" i="2"/>
  <c r="AS264" i="2"/>
  <c r="AR264" i="2"/>
  <c r="AQ264" i="2"/>
  <c r="AP264" i="2"/>
  <c r="AO264" i="2"/>
  <c r="AW263" i="2"/>
  <c r="AV263" i="2"/>
  <c r="AU263" i="2"/>
  <c r="AT263" i="2"/>
  <c r="AS263" i="2"/>
  <c r="AR263" i="2"/>
  <c r="AQ263" i="2"/>
  <c r="AP263" i="2"/>
  <c r="AO263" i="2"/>
  <c r="AW262" i="2"/>
  <c r="AV262" i="2"/>
  <c r="AU262" i="2"/>
  <c r="AT262" i="2"/>
  <c r="AS262" i="2"/>
  <c r="AR262" i="2"/>
  <c r="AQ262" i="2"/>
  <c r="AP262" i="2"/>
  <c r="AO262" i="2"/>
  <c r="AW261" i="2"/>
  <c r="AV261" i="2"/>
  <c r="AU261" i="2"/>
  <c r="AT261" i="2"/>
  <c r="AS261" i="2"/>
  <c r="AR261" i="2"/>
  <c r="AQ261" i="2"/>
  <c r="AP261" i="2"/>
  <c r="AO261" i="2"/>
  <c r="AW260" i="2"/>
  <c r="AV260" i="2"/>
  <c r="AU260" i="2"/>
  <c r="AT260" i="2"/>
  <c r="AS260" i="2"/>
  <c r="AR260" i="2"/>
  <c r="AQ260" i="2"/>
  <c r="AP260" i="2"/>
  <c r="AO260" i="2"/>
  <c r="AW259" i="2"/>
  <c r="AV259" i="2"/>
  <c r="AU259" i="2"/>
  <c r="AT259" i="2"/>
  <c r="AS259" i="2"/>
  <c r="AR259" i="2"/>
  <c r="AQ259" i="2"/>
  <c r="AP259" i="2"/>
  <c r="AO259" i="2"/>
  <c r="AW258" i="2"/>
  <c r="AV258" i="2"/>
  <c r="AU258" i="2"/>
  <c r="AT258" i="2"/>
  <c r="AS258" i="2"/>
  <c r="AR258" i="2"/>
  <c r="AQ258" i="2"/>
  <c r="AP258" i="2"/>
  <c r="AO258" i="2"/>
  <c r="AW257" i="2"/>
  <c r="AV257" i="2"/>
  <c r="AU257" i="2"/>
  <c r="AT257" i="2"/>
  <c r="AS257" i="2"/>
  <c r="AR257" i="2"/>
  <c r="AQ257" i="2"/>
  <c r="AP257" i="2"/>
  <c r="AO257" i="2"/>
  <c r="AW256" i="2"/>
  <c r="AV256" i="2"/>
  <c r="AU256" i="2"/>
  <c r="AT256" i="2"/>
  <c r="AS256" i="2"/>
  <c r="AR256" i="2"/>
  <c r="AQ256" i="2"/>
  <c r="AP256" i="2"/>
  <c r="AO256" i="2"/>
  <c r="AW255" i="2"/>
  <c r="AV255" i="2"/>
  <c r="AU255" i="2"/>
  <c r="AT255" i="2"/>
  <c r="AS255" i="2"/>
  <c r="AR255" i="2"/>
  <c r="AQ255" i="2"/>
  <c r="AP255" i="2"/>
  <c r="AO255" i="2"/>
  <c r="AW254" i="2"/>
  <c r="AV254" i="2"/>
  <c r="AU254" i="2"/>
  <c r="AT254" i="2"/>
  <c r="AS254" i="2"/>
  <c r="AR254" i="2"/>
  <c r="AQ254" i="2"/>
  <c r="AP254" i="2"/>
  <c r="AO254" i="2"/>
  <c r="AW253" i="2"/>
  <c r="AV253" i="2"/>
  <c r="AU253" i="2"/>
  <c r="AT253" i="2"/>
  <c r="AS253" i="2"/>
  <c r="AR253" i="2"/>
  <c r="AQ253" i="2"/>
  <c r="AP253" i="2"/>
  <c r="AO253" i="2"/>
  <c r="AW252" i="2"/>
  <c r="AV252" i="2"/>
  <c r="AU252" i="2"/>
  <c r="AT252" i="2"/>
  <c r="AS252" i="2"/>
  <c r="AR252" i="2"/>
  <c r="AQ252" i="2"/>
  <c r="AP252" i="2"/>
  <c r="AO252" i="2"/>
  <c r="AW251" i="2"/>
  <c r="AV251" i="2"/>
  <c r="AU251" i="2"/>
  <c r="AT251" i="2"/>
  <c r="AS251" i="2"/>
  <c r="AR251" i="2"/>
  <c r="AQ251" i="2"/>
  <c r="AP251" i="2"/>
  <c r="AO251" i="2"/>
  <c r="AW250" i="2"/>
  <c r="AV250" i="2"/>
  <c r="AU250" i="2"/>
  <c r="AT250" i="2"/>
  <c r="AS250" i="2"/>
  <c r="AR250" i="2"/>
  <c r="AQ250" i="2"/>
  <c r="AP250" i="2"/>
  <c r="AO250" i="2"/>
  <c r="AW249" i="2"/>
  <c r="AV249" i="2"/>
  <c r="AU249" i="2"/>
  <c r="AT249" i="2"/>
  <c r="AS249" i="2"/>
  <c r="AR249" i="2"/>
  <c r="AQ249" i="2"/>
  <c r="AP249" i="2"/>
  <c r="AO249" i="2"/>
  <c r="AW248" i="2"/>
  <c r="AV248" i="2"/>
  <c r="AU248" i="2"/>
  <c r="AT248" i="2"/>
  <c r="AS248" i="2"/>
  <c r="AR248" i="2"/>
  <c r="AQ248" i="2"/>
  <c r="AP248" i="2"/>
  <c r="AO248" i="2"/>
  <c r="AW247" i="2"/>
  <c r="AV247" i="2"/>
  <c r="AU247" i="2"/>
  <c r="AT247" i="2"/>
  <c r="AS247" i="2"/>
  <c r="AR247" i="2"/>
  <c r="AQ247" i="2"/>
  <c r="AP247" i="2"/>
  <c r="AO247" i="2"/>
  <c r="AW246" i="2"/>
  <c r="AV246" i="2"/>
  <c r="AU246" i="2"/>
  <c r="AT246" i="2"/>
  <c r="AS246" i="2"/>
  <c r="AR246" i="2"/>
  <c r="AQ246" i="2"/>
  <c r="AP246" i="2"/>
  <c r="AO246" i="2"/>
  <c r="AW245" i="2"/>
  <c r="AV245" i="2"/>
  <c r="AU245" i="2"/>
  <c r="AT245" i="2"/>
  <c r="AS245" i="2"/>
  <c r="AR245" i="2"/>
  <c r="AQ245" i="2"/>
  <c r="AP245" i="2"/>
  <c r="AO245" i="2"/>
  <c r="AW244" i="2"/>
  <c r="AV244" i="2"/>
  <c r="AU244" i="2"/>
  <c r="AT244" i="2"/>
  <c r="AS244" i="2"/>
  <c r="AR244" i="2"/>
  <c r="AQ244" i="2"/>
  <c r="AP244" i="2"/>
  <c r="AO244" i="2"/>
  <c r="AW243" i="2"/>
  <c r="AV243" i="2"/>
  <c r="AU243" i="2"/>
  <c r="AT243" i="2"/>
  <c r="AS243" i="2"/>
  <c r="AR243" i="2"/>
  <c r="AQ243" i="2"/>
  <c r="AP243" i="2"/>
  <c r="AO243" i="2"/>
  <c r="AW242" i="2"/>
  <c r="AV242" i="2"/>
  <c r="AU242" i="2"/>
  <c r="AT242" i="2"/>
  <c r="AS242" i="2"/>
  <c r="AR242" i="2"/>
  <c r="AQ242" i="2"/>
  <c r="AP242" i="2"/>
  <c r="AO242" i="2"/>
  <c r="AW241" i="2"/>
  <c r="AV241" i="2"/>
  <c r="AU241" i="2"/>
  <c r="AT241" i="2"/>
  <c r="AS241" i="2"/>
  <c r="AR241" i="2"/>
  <c r="AQ241" i="2"/>
  <c r="AP241" i="2"/>
  <c r="AO241" i="2"/>
  <c r="AW240" i="2"/>
  <c r="AV240" i="2"/>
  <c r="AU240" i="2"/>
  <c r="AT240" i="2"/>
  <c r="AS240" i="2"/>
  <c r="AR240" i="2"/>
  <c r="AQ240" i="2"/>
  <c r="AP240" i="2"/>
  <c r="AO240" i="2"/>
  <c r="AW239" i="2"/>
  <c r="AV239" i="2"/>
  <c r="AU239" i="2"/>
  <c r="AT239" i="2"/>
  <c r="AS239" i="2"/>
  <c r="AR239" i="2"/>
  <c r="AQ239" i="2"/>
  <c r="AP239" i="2"/>
  <c r="AO239" i="2"/>
  <c r="AW238" i="2"/>
  <c r="AV238" i="2"/>
  <c r="AU238" i="2"/>
  <c r="AT238" i="2"/>
  <c r="AS238" i="2"/>
  <c r="AR238" i="2"/>
  <c r="AQ238" i="2"/>
  <c r="AP238" i="2"/>
  <c r="AO238" i="2"/>
  <c r="AW237" i="2"/>
  <c r="AV237" i="2"/>
  <c r="AU237" i="2"/>
  <c r="AT237" i="2"/>
  <c r="AS237" i="2"/>
  <c r="AR237" i="2"/>
  <c r="AQ237" i="2"/>
  <c r="AP237" i="2"/>
  <c r="AO237" i="2"/>
  <c r="AW236" i="2"/>
  <c r="AV236" i="2"/>
  <c r="AU236" i="2"/>
  <c r="AT236" i="2"/>
  <c r="AS236" i="2"/>
  <c r="AR236" i="2"/>
  <c r="AQ236" i="2"/>
  <c r="AP236" i="2"/>
  <c r="AO236" i="2"/>
  <c r="AW235" i="2"/>
  <c r="AV235" i="2"/>
  <c r="AU235" i="2"/>
  <c r="AT235" i="2"/>
  <c r="AS235" i="2"/>
  <c r="AR235" i="2"/>
  <c r="AQ235" i="2"/>
  <c r="AP235" i="2"/>
  <c r="AO235" i="2"/>
  <c r="AW234" i="2"/>
  <c r="AV234" i="2"/>
  <c r="AU234" i="2"/>
  <c r="AT234" i="2"/>
  <c r="AS234" i="2"/>
  <c r="AR234" i="2"/>
  <c r="AQ234" i="2"/>
  <c r="AP234" i="2"/>
  <c r="AO234" i="2"/>
  <c r="AW233" i="2"/>
  <c r="AV233" i="2"/>
  <c r="AU233" i="2"/>
  <c r="AT233" i="2"/>
  <c r="AS233" i="2"/>
  <c r="AR233" i="2"/>
  <c r="AQ233" i="2"/>
  <c r="AP233" i="2"/>
  <c r="AO233" i="2"/>
  <c r="AW232" i="2"/>
  <c r="AV232" i="2"/>
  <c r="AU232" i="2"/>
  <c r="AT232" i="2"/>
  <c r="AS232" i="2"/>
  <c r="AR232" i="2"/>
  <c r="AQ232" i="2"/>
  <c r="AP232" i="2"/>
  <c r="AO232" i="2"/>
  <c r="AW231" i="2"/>
  <c r="AV231" i="2"/>
  <c r="AU231" i="2"/>
  <c r="AT231" i="2"/>
  <c r="AS231" i="2"/>
  <c r="AR231" i="2"/>
  <c r="AQ231" i="2"/>
  <c r="AP231" i="2"/>
  <c r="AO231" i="2"/>
  <c r="AW230" i="2"/>
  <c r="AV230" i="2"/>
  <c r="AU230" i="2"/>
  <c r="AT230" i="2"/>
  <c r="AS230" i="2"/>
  <c r="AR230" i="2"/>
  <c r="AQ230" i="2"/>
  <c r="AP230" i="2"/>
  <c r="AO230" i="2"/>
  <c r="AW229" i="2"/>
  <c r="AV229" i="2"/>
  <c r="AU229" i="2"/>
  <c r="AT229" i="2"/>
  <c r="AS229" i="2"/>
  <c r="AR229" i="2"/>
  <c r="AQ229" i="2"/>
  <c r="AP229" i="2"/>
  <c r="AO229" i="2"/>
  <c r="AW228" i="2"/>
  <c r="AV228" i="2"/>
  <c r="AU228" i="2"/>
  <c r="AT228" i="2"/>
  <c r="AS228" i="2"/>
  <c r="AR228" i="2"/>
  <c r="AQ228" i="2"/>
  <c r="AP228" i="2"/>
  <c r="AO228" i="2"/>
  <c r="AW227" i="2"/>
  <c r="AV227" i="2"/>
  <c r="AU227" i="2"/>
  <c r="AT227" i="2"/>
  <c r="AS227" i="2"/>
  <c r="AR227" i="2"/>
  <c r="AQ227" i="2"/>
  <c r="AP227" i="2"/>
  <c r="AO227" i="2"/>
  <c r="AW226" i="2"/>
  <c r="AV226" i="2"/>
  <c r="AU226" i="2"/>
  <c r="AT226" i="2"/>
  <c r="AS226" i="2"/>
  <c r="AR226" i="2"/>
  <c r="AQ226" i="2"/>
  <c r="AP226" i="2"/>
  <c r="AO226" i="2"/>
  <c r="AW225" i="2"/>
  <c r="AV225" i="2"/>
  <c r="AU225" i="2"/>
  <c r="AT225" i="2"/>
  <c r="AS225" i="2"/>
  <c r="AR225" i="2"/>
  <c r="AQ225" i="2"/>
  <c r="AP225" i="2"/>
  <c r="AO225" i="2"/>
  <c r="AW224" i="2"/>
  <c r="AV224" i="2"/>
  <c r="AU224" i="2"/>
  <c r="AT224" i="2"/>
  <c r="AS224" i="2"/>
  <c r="AR224" i="2"/>
  <c r="AQ224" i="2"/>
  <c r="AP224" i="2"/>
  <c r="AO224" i="2"/>
  <c r="AW223" i="2"/>
  <c r="AV223" i="2"/>
  <c r="AU223" i="2"/>
  <c r="AT223" i="2"/>
  <c r="AS223" i="2"/>
  <c r="AR223" i="2"/>
  <c r="AQ223" i="2"/>
  <c r="AP223" i="2"/>
  <c r="AO223" i="2"/>
  <c r="AW222" i="2"/>
  <c r="AV222" i="2"/>
  <c r="AU222" i="2"/>
  <c r="AT222" i="2"/>
  <c r="AS222" i="2"/>
  <c r="AR222" i="2"/>
  <c r="AQ222" i="2"/>
  <c r="AP222" i="2"/>
  <c r="AO222" i="2"/>
  <c r="AW221" i="2"/>
  <c r="AV221" i="2"/>
  <c r="AU221" i="2"/>
  <c r="AT221" i="2"/>
  <c r="AS221" i="2"/>
  <c r="AR221" i="2"/>
  <c r="AQ221" i="2"/>
  <c r="AP221" i="2"/>
  <c r="AO221" i="2"/>
  <c r="AW220" i="2"/>
  <c r="AV220" i="2"/>
  <c r="AU220" i="2"/>
  <c r="AT220" i="2"/>
  <c r="AS220" i="2"/>
  <c r="AR220" i="2"/>
  <c r="AQ220" i="2"/>
  <c r="AP220" i="2"/>
  <c r="AO220" i="2"/>
  <c r="AW219" i="2"/>
  <c r="AV219" i="2"/>
  <c r="AU219" i="2"/>
  <c r="AT219" i="2"/>
  <c r="AS219" i="2"/>
  <c r="AR219" i="2"/>
  <c r="AQ219" i="2"/>
  <c r="AP219" i="2"/>
  <c r="AO219" i="2"/>
  <c r="AW218" i="2"/>
  <c r="AV218" i="2"/>
  <c r="AU218" i="2"/>
  <c r="AT218" i="2"/>
  <c r="AS218" i="2"/>
  <c r="AR218" i="2"/>
  <c r="AQ218" i="2"/>
  <c r="AP218" i="2"/>
  <c r="AO218" i="2"/>
  <c r="AW217" i="2"/>
  <c r="AV217" i="2"/>
  <c r="AU217" i="2"/>
  <c r="AT217" i="2"/>
  <c r="AS217" i="2"/>
  <c r="AR217" i="2"/>
  <c r="AQ217" i="2"/>
  <c r="AP217" i="2"/>
  <c r="AO217" i="2"/>
  <c r="AW216" i="2"/>
  <c r="AV216" i="2"/>
  <c r="AU216" i="2"/>
  <c r="AT216" i="2"/>
  <c r="AS216" i="2"/>
  <c r="AR216" i="2"/>
  <c r="AQ216" i="2"/>
  <c r="AP216" i="2"/>
  <c r="AO216" i="2"/>
  <c r="AW215" i="2"/>
  <c r="AV215" i="2"/>
  <c r="AU215" i="2"/>
  <c r="AT215" i="2"/>
  <c r="AS215" i="2"/>
  <c r="AR215" i="2"/>
  <c r="AQ215" i="2"/>
  <c r="AP215" i="2"/>
  <c r="AO215" i="2"/>
  <c r="AW214" i="2"/>
  <c r="AV214" i="2"/>
  <c r="AU214" i="2"/>
  <c r="AT214" i="2"/>
  <c r="AS214" i="2"/>
  <c r="AR214" i="2"/>
  <c r="AQ214" i="2"/>
  <c r="AP214" i="2"/>
  <c r="AO214" i="2"/>
  <c r="AW213" i="2"/>
  <c r="AV213" i="2"/>
  <c r="AU213" i="2"/>
  <c r="AT213" i="2"/>
  <c r="AS213" i="2"/>
  <c r="AR213" i="2"/>
  <c r="AQ213" i="2"/>
  <c r="AP213" i="2"/>
  <c r="AO213" i="2"/>
  <c r="AW212" i="2"/>
  <c r="AV212" i="2"/>
  <c r="AU212" i="2"/>
  <c r="AT212" i="2"/>
  <c r="AS212" i="2"/>
  <c r="AR212" i="2"/>
  <c r="AQ212" i="2"/>
  <c r="AP212" i="2"/>
  <c r="AO212" i="2"/>
  <c r="AW211" i="2"/>
  <c r="AV211" i="2"/>
  <c r="AU211" i="2"/>
  <c r="AT211" i="2"/>
  <c r="AS211" i="2"/>
  <c r="AR211" i="2"/>
  <c r="AQ211" i="2"/>
  <c r="AP211" i="2"/>
  <c r="AO211" i="2"/>
  <c r="AW210" i="2"/>
  <c r="AV210" i="2"/>
  <c r="AU210" i="2"/>
  <c r="AT210" i="2"/>
  <c r="AS210" i="2"/>
  <c r="AR210" i="2"/>
  <c r="AQ210" i="2"/>
  <c r="AP210" i="2"/>
  <c r="AO210" i="2"/>
  <c r="AW209" i="2"/>
  <c r="AV209" i="2"/>
  <c r="AU209" i="2"/>
  <c r="AT209" i="2"/>
  <c r="AS209" i="2"/>
  <c r="AR209" i="2"/>
  <c r="AQ209" i="2"/>
  <c r="AP209" i="2"/>
  <c r="AO209" i="2"/>
  <c r="AW208" i="2"/>
  <c r="AV208" i="2"/>
  <c r="AU208" i="2"/>
  <c r="AT208" i="2"/>
  <c r="AS208" i="2"/>
  <c r="AR208" i="2"/>
  <c r="AQ208" i="2"/>
  <c r="AP208" i="2"/>
  <c r="AO208" i="2"/>
  <c r="AW207" i="2"/>
  <c r="AV207" i="2"/>
  <c r="AU207" i="2"/>
  <c r="AT207" i="2"/>
  <c r="AS207" i="2"/>
  <c r="AR207" i="2"/>
  <c r="AQ207" i="2"/>
  <c r="AP207" i="2"/>
  <c r="AO207" i="2"/>
  <c r="AW206" i="2"/>
  <c r="AV206" i="2"/>
  <c r="AU206" i="2"/>
  <c r="AT206" i="2"/>
  <c r="AS206" i="2"/>
  <c r="AR206" i="2"/>
  <c r="AQ206" i="2"/>
  <c r="AP206" i="2"/>
  <c r="AO206" i="2"/>
  <c r="AW205" i="2"/>
  <c r="AV205" i="2"/>
  <c r="AU205" i="2"/>
  <c r="AT205" i="2"/>
  <c r="AS205" i="2"/>
  <c r="AR205" i="2"/>
  <c r="AQ205" i="2"/>
  <c r="AP205" i="2"/>
  <c r="AO205" i="2"/>
  <c r="AW204" i="2"/>
  <c r="AV204" i="2"/>
  <c r="AU204" i="2"/>
  <c r="AT204" i="2"/>
  <c r="AS204" i="2"/>
  <c r="AR204" i="2"/>
  <c r="AQ204" i="2"/>
  <c r="AP204" i="2"/>
  <c r="AO204" i="2"/>
  <c r="AW203" i="2"/>
  <c r="AV203" i="2"/>
  <c r="AU203" i="2"/>
  <c r="AT203" i="2"/>
  <c r="AS203" i="2"/>
  <c r="AR203" i="2"/>
  <c r="AQ203" i="2"/>
  <c r="AP203" i="2"/>
  <c r="AO203" i="2"/>
  <c r="AW202" i="2"/>
  <c r="AV202" i="2"/>
  <c r="AU202" i="2"/>
  <c r="AT202" i="2"/>
  <c r="AS202" i="2"/>
  <c r="AR202" i="2"/>
  <c r="AQ202" i="2"/>
  <c r="AP202" i="2"/>
  <c r="AO202" i="2"/>
  <c r="AW201" i="2"/>
  <c r="AV201" i="2"/>
  <c r="AU201" i="2"/>
  <c r="AT201" i="2"/>
  <c r="AS201" i="2"/>
  <c r="AR201" i="2"/>
  <c r="AQ201" i="2"/>
  <c r="AP201" i="2"/>
  <c r="AO201" i="2"/>
  <c r="AW200" i="2"/>
  <c r="AV200" i="2"/>
  <c r="AU200" i="2"/>
  <c r="AT200" i="2"/>
  <c r="AS200" i="2"/>
  <c r="AR200" i="2"/>
  <c r="AQ200" i="2"/>
  <c r="AP200" i="2"/>
  <c r="AO200" i="2"/>
  <c r="AW199" i="2"/>
  <c r="AV199" i="2"/>
  <c r="AU199" i="2"/>
  <c r="AT199" i="2"/>
  <c r="AS199" i="2"/>
  <c r="AR199" i="2"/>
  <c r="AQ199" i="2"/>
  <c r="AP199" i="2"/>
  <c r="AO199" i="2"/>
  <c r="AW198" i="2"/>
  <c r="AV198" i="2"/>
  <c r="AU198" i="2"/>
  <c r="AT198" i="2"/>
  <c r="AS198" i="2"/>
  <c r="AR198" i="2"/>
  <c r="AQ198" i="2"/>
  <c r="AP198" i="2"/>
  <c r="AO198" i="2"/>
  <c r="AW197" i="2"/>
  <c r="AV197" i="2"/>
  <c r="AU197" i="2"/>
  <c r="AT197" i="2"/>
  <c r="AS197" i="2"/>
  <c r="AR197" i="2"/>
  <c r="AQ197" i="2"/>
  <c r="AP197" i="2"/>
  <c r="AO197" i="2"/>
  <c r="AW196" i="2"/>
  <c r="AW309" i="2"/>
  <c r="AV196" i="2"/>
  <c r="AV309" i="2"/>
  <c r="AU196" i="2"/>
  <c r="AT196" i="2"/>
  <c r="AT309" i="2"/>
  <c r="AS196" i="2"/>
  <c r="AR196" i="2"/>
  <c r="AQ196" i="2"/>
  <c r="AP196" i="2"/>
  <c r="AP309" i="2"/>
  <c r="I309" i="2"/>
  <c r="AO196" i="2"/>
  <c r="AO309" i="2"/>
  <c r="H309" i="2"/>
  <c r="AM194" i="2"/>
  <c r="T194" i="2"/>
  <c r="S194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4" i="2"/>
  <c r="I194" i="2"/>
  <c r="H194" i="2"/>
  <c r="G194" i="2"/>
  <c r="AM193" i="2"/>
  <c r="T193" i="2"/>
  <c r="S193" i="2"/>
  <c r="R193" i="2"/>
  <c r="I193" i="2"/>
  <c r="H193" i="2"/>
  <c r="G193" i="2"/>
  <c r="AM192" i="2"/>
  <c r="T192" i="2"/>
  <c r="S192" i="2"/>
  <c r="R192" i="2"/>
  <c r="G192" i="2"/>
  <c r="AX191" i="2"/>
  <c r="AX173" i="2"/>
  <c r="AX174" i="2"/>
  <c r="AX175" i="2"/>
  <c r="AX176" i="2"/>
  <c r="AX177" i="2"/>
  <c r="AX178" i="2"/>
  <c r="AX179" i="2"/>
  <c r="AX180" i="2"/>
  <c r="AX181" i="2"/>
  <c r="AX182" i="2"/>
  <c r="AX183" i="2"/>
  <c r="AX184" i="2"/>
  <c r="AX185" i="2"/>
  <c r="AX186" i="2"/>
  <c r="AX187" i="2"/>
  <c r="AX188" i="2"/>
  <c r="AX189" i="2"/>
  <c r="AX190" i="2"/>
  <c r="AX192" i="2"/>
  <c r="AW191" i="2"/>
  <c r="AV191" i="2"/>
  <c r="AU191" i="2"/>
  <c r="AT191" i="2"/>
  <c r="AS191" i="2"/>
  <c r="AS173" i="2"/>
  <c r="AS174" i="2"/>
  <c r="AS175" i="2"/>
  <c r="AS176" i="2"/>
  <c r="AS177" i="2"/>
  <c r="AS178" i="2"/>
  <c r="AS179" i="2"/>
  <c r="AS180" i="2"/>
  <c r="AS181" i="2"/>
  <c r="AS182" i="2"/>
  <c r="AS183" i="2"/>
  <c r="AS184" i="2"/>
  <c r="AS185" i="2"/>
  <c r="AS186" i="2"/>
  <c r="AS187" i="2"/>
  <c r="AS188" i="2"/>
  <c r="AS189" i="2"/>
  <c r="AS190" i="2"/>
  <c r="AS192" i="2"/>
  <c r="AR191" i="2"/>
  <c r="AQ191" i="2"/>
  <c r="AP191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2" i="2"/>
  <c r="I192" i="2"/>
  <c r="AO191" i="2"/>
  <c r="AW190" i="2"/>
  <c r="AV190" i="2"/>
  <c r="AU190" i="2"/>
  <c r="AT190" i="2"/>
  <c r="AR190" i="2"/>
  <c r="AQ190" i="2"/>
  <c r="AO190" i="2"/>
  <c r="AW189" i="2"/>
  <c r="AV189" i="2"/>
  <c r="AU189" i="2"/>
  <c r="AT189" i="2"/>
  <c r="AR189" i="2"/>
  <c r="AQ189" i="2"/>
  <c r="AO189" i="2"/>
  <c r="AW188" i="2"/>
  <c r="AV188" i="2"/>
  <c r="AU188" i="2"/>
  <c r="AT188" i="2"/>
  <c r="AR188" i="2"/>
  <c r="AQ188" i="2"/>
  <c r="AO188" i="2"/>
  <c r="AW187" i="2"/>
  <c r="AV187" i="2"/>
  <c r="AU187" i="2"/>
  <c r="AT187" i="2"/>
  <c r="AR187" i="2"/>
  <c r="AQ187" i="2"/>
  <c r="AO187" i="2"/>
  <c r="AW186" i="2"/>
  <c r="AV186" i="2"/>
  <c r="AU186" i="2"/>
  <c r="AT186" i="2"/>
  <c r="AR186" i="2"/>
  <c r="AQ186" i="2"/>
  <c r="AO186" i="2"/>
  <c r="AW185" i="2"/>
  <c r="AV185" i="2"/>
  <c r="AU185" i="2"/>
  <c r="AT185" i="2"/>
  <c r="AR185" i="2"/>
  <c r="AQ185" i="2"/>
  <c r="AO185" i="2"/>
  <c r="AW184" i="2"/>
  <c r="AV184" i="2"/>
  <c r="AU184" i="2"/>
  <c r="AT184" i="2"/>
  <c r="AR184" i="2"/>
  <c r="AQ184" i="2"/>
  <c r="AO184" i="2"/>
  <c r="AW183" i="2"/>
  <c r="AV183" i="2"/>
  <c r="AU183" i="2"/>
  <c r="AT183" i="2"/>
  <c r="AR183" i="2"/>
  <c r="AQ183" i="2"/>
  <c r="AO183" i="2"/>
  <c r="AW182" i="2"/>
  <c r="AV182" i="2"/>
  <c r="AU182" i="2"/>
  <c r="AT182" i="2"/>
  <c r="AR182" i="2"/>
  <c r="AQ182" i="2"/>
  <c r="AO182" i="2"/>
  <c r="AW181" i="2"/>
  <c r="AV181" i="2"/>
  <c r="AU181" i="2"/>
  <c r="AT181" i="2"/>
  <c r="AR181" i="2"/>
  <c r="AQ181" i="2"/>
  <c r="AO181" i="2"/>
  <c r="AW180" i="2"/>
  <c r="AV180" i="2"/>
  <c r="AU180" i="2"/>
  <c r="AT180" i="2"/>
  <c r="AR180" i="2"/>
  <c r="AQ180" i="2"/>
  <c r="AO180" i="2"/>
  <c r="AW179" i="2"/>
  <c r="AV179" i="2"/>
  <c r="AU179" i="2"/>
  <c r="AT179" i="2"/>
  <c r="AR179" i="2"/>
  <c r="AQ179" i="2"/>
  <c r="AO179" i="2"/>
  <c r="AW178" i="2"/>
  <c r="AV178" i="2"/>
  <c r="AU178" i="2"/>
  <c r="AT178" i="2"/>
  <c r="AR178" i="2"/>
  <c r="AQ178" i="2"/>
  <c r="AO178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AW177" i="2"/>
  <c r="AV177" i="2"/>
  <c r="AU177" i="2"/>
  <c r="AT177" i="2"/>
  <c r="AR177" i="2"/>
  <c r="AQ177" i="2"/>
  <c r="AO177" i="2"/>
  <c r="AW176" i="2"/>
  <c r="AV176" i="2"/>
  <c r="AU176" i="2"/>
  <c r="AT176" i="2"/>
  <c r="AR176" i="2"/>
  <c r="AQ176" i="2"/>
  <c r="AO176" i="2"/>
  <c r="AW175" i="2"/>
  <c r="AV175" i="2"/>
  <c r="AU175" i="2"/>
  <c r="AT175" i="2"/>
  <c r="AR175" i="2"/>
  <c r="AQ175" i="2"/>
  <c r="AO175" i="2"/>
  <c r="AW174" i="2"/>
  <c r="AV174" i="2"/>
  <c r="AU174" i="2"/>
  <c r="AT174" i="2"/>
  <c r="AR174" i="2"/>
  <c r="AQ174" i="2"/>
  <c r="AO174" i="2"/>
  <c r="AW173" i="2"/>
  <c r="AW192" i="2"/>
  <c r="AV173" i="2"/>
  <c r="AV192" i="2"/>
  <c r="AU173" i="2"/>
  <c r="AT173" i="2"/>
  <c r="AR173" i="2"/>
  <c r="AR192" i="2"/>
  <c r="AQ173" i="2"/>
  <c r="AO173" i="2"/>
  <c r="AO192" i="2"/>
  <c r="H192" i="2"/>
  <c r="I145" i="2"/>
  <c r="I146" i="2"/>
  <c r="I158" i="2"/>
  <c r="I159" i="2"/>
  <c r="I160" i="2"/>
  <c r="I161" i="2"/>
  <c r="I162" i="2"/>
  <c r="I163" i="2"/>
  <c r="I164" i="2"/>
  <c r="I170" i="2"/>
  <c r="AX168" i="2"/>
  <c r="AW168" i="2"/>
  <c r="AV168" i="2"/>
  <c r="AU168" i="2"/>
  <c r="AT168" i="2"/>
  <c r="AS168" i="2"/>
  <c r="AR168" i="2"/>
  <c r="AQ168" i="2"/>
  <c r="AP168" i="2"/>
  <c r="AO168" i="2"/>
  <c r="T168" i="2"/>
  <c r="AX167" i="2"/>
  <c r="AW167" i="2"/>
  <c r="AV167" i="2"/>
  <c r="AU167" i="2"/>
  <c r="AT167" i="2"/>
  <c r="AS167" i="2"/>
  <c r="AR167" i="2"/>
  <c r="AQ167" i="2"/>
  <c r="AP167" i="2"/>
  <c r="AO167" i="2"/>
  <c r="AM167" i="2"/>
  <c r="T167" i="2"/>
  <c r="AX166" i="2"/>
  <c r="AW166" i="2"/>
  <c r="AV166" i="2"/>
  <c r="AU166" i="2"/>
  <c r="AT166" i="2"/>
  <c r="AS166" i="2"/>
  <c r="AR166" i="2"/>
  <c r="AQ166" i="2"/>
  <c r="AP166" i="2"/>
  <c r="AO166" i="2"/>
  <c r="AM166" i="2"/>
  <c r="T166" i="2"/>
  <c r="AX165" i="2"/>
  <c r="AW165" i="2"/>
  <c r="AV165" i="2"/>
  <c r="AU165" i="2"/>
  <c r="AT165" i="2"/>
  <c r="AS165" i="2"/>
  <c r="AR165" i="2"/>
  <c r="AQ165" i="2"/>
  <c r="AP165" i="2"/>
  <c r="AO165" i="2"/>
  <c r="AM165" i="2"/>
  <c r="T165" i="2"/>
  <c r="G164" i="2"/>
  <c r="AW164" i="2"/>
  <c r="AV164" i="2"/>
  <c r="AQ164" i="2"/>
  <c r="AO164" i="2"/>
  <c r="AM164" i="2"/>
  <c r="T164" i="2"/>
  <c r="AU164" i="2"/>
  <c r="G163" i="2"/>
  <c r="AX163" i="2"/>
  <c r="AW163" i="2"/>
  <c r="AU163" i="2"/>
  <c r="AT163" i="2"/>
  <c r="AQ163" i="2"/>
  <c r="AO163" i="2"/>
  <c r="AM163" i="2"/>
  <c r="T163" i="2"/>
  <c r="AP163" i="2"/>
  <c r="AS163" i="2"/>
  <c r="AM162" i="2"/>
  <c r="T162" i="2"/>
  <c r="G162" i="2"/>
  <c r="AS162" i="2"/>
  <c r="G161" i="2"/>
  <c r="AX161" i="2"/>
  <c r="AQ161" i="2"/>
  <c r="AP161" i="2"/>
  <c r="AM161" i="2"/>
  <c r="T161" i="2"/>
  <c r="AW161" i="2"/>
  <c r="G160" i="2"/>
  <c r="AW160" i="2"/>
  <c r="AV160" i="2"/>
  <c r="AQ160" i="2"/>
  <c r="AO160" i="2"/>
  <c r="AM160" i="2"/>
  <c r="T160" i="2"/>
  <c r="AU160" i="2"/>
  <c r="G159" i="2"/>
  <c r="AX159" i="2"/>
  <c r="AW159" i="2"/>
  <c r="AU159" i="2"/>
  <c r="AT159" i="2"/>
  <c r="AQ159" i="2"/>
  <c r="AO159" i="2"/>
  <c r="AM159" i="2"/>
  <c r="T159" i="2"/>
  <c r="AP159" i="2"/>
  <c r="AS159" i="2"/>
  <c r="AM158" i="2"/>
  <c r="T158" i="2"/>
  <c r="G158" i="2"/>
  <c r="AS158" i="2"/>
  <c r="AX157" i="2"/>
  <c r="AW157" i="2"/>
  <c r="AV157" i="2"/>
  <c r="AU157" i="2"/>
  <c r="AT157" i="2"/>
  <c r="AS157" i="2"/>
  <c r="AR157" i="2"/>
  <c r="AQ157" i="2"/>
  <c r="AP157" i="2"/>
  <c r="AO157" i="2"/>
  <c r="AM157" i="2"/>
  <c r="T157" i="2"/>
  <c r="AX156" i="2"/>
  <c r="AW156" i="2"/>
  <c r="AV156" i="2"/>
  <c r="AU156" i="2"/>
  <c r="AT156" i="2"/>
  <c r="AS156" i="2"/>
  <c r="AR156" i="2"/>
  <c r="AQ156" i="2"/>
  <c r="AP156" i="2"/>
  <c r="AO156" i="2"/>
  <c r="AM156" i="2"/>
  <c r="T156" i="2"/>
  <c r="AX155" i="2"/>
  <c r="AW155" i="2"/>
  <c r="AV155" i="2"/>
  <c r="AU155" i="2"/>
  <c r="AT155" i="2"/>
  <c r="AS155" i="2"/>
  <c r="AR155" i="2"/>
  <c r="AQ155" i="2"/>
  <c r="AP155" i="2"/>
  <c r="AO155" i="2"/>
  <c r="AM155" i="2"/>
  <c r="T155" i="2"/>
  <c r="AX154" i="2"/>
  <c r="AW154" i="2"/>
  <c r="AV154" i="2"/>
  <c r="AU154" i="2"/>
  <c r="AT154" i="2"/>
  <c r="AS154" i="2"/>
  <c r="AR154" i="2"/>
  <c r="AQ154" i="2"/>
  <c r="AP154" i="2"/>
  <c r="AO154" i="2"/>
  <c r="AM154" i="2"/>
  <c r="T154" i="2"/>
  <c r="AX153" i="2"/>
  <c r="AW153" i="2"/>
  <c r="AV153" i="2"/>
  <c r="AU153" i="2"/>
  <c r="AT153" i="2"/>
  <c r="AS153" i="2"/>
  <c r="AR153" i="2"/>
  <c r="AQ153" i="2"/>
  <c r="AP153" i="2"/>
  <c r="AO153" i="2"/>
  <c r="AM153" i="2"/>
  <c r="T153" i="2"/>
  <c r="AX152" i="2"/>
  <c r="AW152" i="2"/>
  <c r="AV152" i="2"/>
  <c r="AU152" i="2"/>
  <c r="AT152" i="2"/>
  <c r="AS152" i="2"/>
  <c r="AR152" i="2"/>
  <c r="AQ152" i="2"/>
  <c r="AP152" i="2"/>
  <c r="AO152" i="2"/>
  <c r="AM152" i="2"/>
  <c r="T152" i="2"/>
  <c r="AX151" i="2"/>
  <c r="AW151" i="2"/>
  <c r="AV151" i="2"/>
  <c r="AU151" i="2"/>
  <c r="AT151" i="2"/>
  <c r="AS151" i="2"/>
  <c r="AR151" i="2"/>
  <c r="AQ151" i="2"/>
  <c r="AP151" i="2"/>
  <c r="AO151" i="2"/>
  <c r="AM151" i="2"/>
  <c r="T151" i="2"/>
  <c r="AX150" i="2"/>
  <c r="AW150" i="2"/>
  <c r="AV150" i="2"/>
  <c r="AU150" i="2"/>
  <c r="AT150" i="2"/>
  <c r="AS150" i="2"/>
  <c r="AR150" i="2"/>
  <c r="AQ150" i="2"/>
  <c r="AP150" i="2"/>
  <c r="AO150" i="2"/>
  <c r="AM150" i="2"/>
  <c r="T150" i="2"/>
  <c r="AX149" i="2"/>
  <c r="AW149" i="2"/>
  <c r="AV149" i="2"/>
  <c r="AU149" i="2"/>
  <c r="AT149" i="2"/>
  <c r="AS149" i="2"/>
  <c r="AR149" i="2"/>
  <c r="AQ149" i="2"/>
  <c r="AP149" i="2"/>
  <c r="AO149" i="2"/>
  <c r="AM149" i="2"/>
  <c r="T149" i="2"/>
  <c r="AX148" i="2"/>
  <c r="AW148" i="2"/>
  <c r="AV148" i="2"/>
  <c r="AU148" i="2"/>
  <c r="AT148" i="2"/>
  <c r="AS148" i="2"/>
  <c r="AR148" i="2"/>
  <c r="AQ148" i="2"/>
  <c r="AP148" i="2"/>
  <c r="AO148" i="2"/>
  <c r="AM148" i="2"/>
  <c r="T148" i="2"/>
  <c r="AX147" i="2"/>
  <c r="AW147" i="2"/>
  <c r="AV147" i="2"/>
  <c r="AU147" i="2"/>
  <c r="AT147" i="2"/>
  <c r="AS147" i="2"/>
  <c r="AR147" i="2"/>
  <c r="AQ147" i="2"/>
  <c r="AP147" i="2"/>
  <c r="AO147" i="2"/>
  <c r="AM147" i="2"/>
  <c r="T147" i="2"/>
  <c r="T146" i="2"/>
  <c r="G146" i="2"/>
  <c r="AU146" i="2"/>
  <c r="AT146" i="2"/>
  <c r="AO146" i="2"/>
  <c r="AW146" i="2"/>
  <c r="T145" i="2"/>
  <c r="G145" i="2"/>
  <c r="Z143" i="2"/>
  <c r="Y140" i="2"/>
  <c r="Y143" i="2"/>
  <c r="X143" i="2"/>
  <c r="V14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3" i="2"/>
  <c r="R143" i="2"/>
  <c r="L143" i="2"/>
  <c r="K143" i="2"/>
  <c r="J143" i="2"/>
  <c r="AA140" i="2"/>
  <c r="AA142" i="2"/>
  <c r="Z142" i="2"/>
  <c r="Y142" i="2"/>
  <c r="X142" i="2"/>
  <c r="W140" i="2"/>
  <c r="W142" i="2"/>
  <c r="V142" i="2"/>
  <c r="R142" i="2"/>
  <c r="L142" i="2"/>
  <c r="K142" i="2"/>
  <c r="J142" i="2"/>
  <c r="Z141" i="2"/>
  <c r="Y141" i="2"/>
  <c r="X141" i="2"/>
  <c r="V141" i="2"/>
  <c r="R141" i="2"/>
  <c r="G140" i="2"/>
  <c r="AU140" i="2"/>
  <c r="AM140" i="2"/>
  <c r="AM143" i="2"/>
  <c r="AA143" i="2"/>
  <c r="W141" i="2"/>
  <c r="S140" i="2"/>
  <c r="S141" i="2"/>
  <c r="AH140" i="2"/>
  <c r="AX139" i="2"/>
  <c r="AW139" i="2"/>
  <c r="AV139" i="2"/>
  <c r="AU139" i="2"/>
  <c r="AT139" i="2"/>
  <c r="AS139" i="2"/>
  <c r="AR139" i="2"/>
  <c r="AQ139" i="2"/>
  <c r="AP139" i="2"/>
  <c r="AO139" i="2"/>
  <c r="AH139" i="2"/>
  <c r="AX138" i="2"/>
  <c r="AW138" i="2"/>
  <c r="AV138" i="2"/>
  <c r="AU138" i="2"/>
  <c r="AT138" i="2"/>
  <c r="AS138" i="2"/>
  <c r="AR138" i="2"/>
  <c r="AQ138" i="2"/>
  <c r="AP138" i="2"/>
  <c r="AO138" i="2"/>
  <c r="AH138" i="2"/>
  <c r="AX137" i="2"/>
  <c r="AW137" i="2"/>
  <c r="AV137" i="2"/>
  <c r="AU137" i="2"/>
  <c r="AT137" i="2"/>
  <c r="AS137" i="2"/>
  <c r="AR137" i="2"/>
  <c r="AQ137" i="2"/>
  <c r="AP137" i="2"/>
  <c r="AO137" i="2"/>
  <c r="AH137" i="2"/>
  <c r="AX136" i="2"/>
  <c r="AW136" i="2"/>
  <c r="AV136" i="2"/>
  <c r="AU136" i="2"/>
  <c r="AT136" i="2"/>
  <c r="AS136" i="2"/>
  <c r="AR136" i="2"/>
  <c r="AQ136" i="2"/>
  <c r="AP136" i="2"/>
  <c r="AO136" i="2"/>
  <c r="AH136" i="2"/>
  <c r="AX135" i="2"/>
  <c r="AW135" i="2"/>
  <c r="AV135" i="2"/>
  <c r="AU135" i="2"/>
  <c r="AT135" i="2"/>
  <c r="AS135" i="2"/>
  <c r="AR135" i="2"/>
  <c r="AQ135" i="2"/>
  <c r="AP135" i="2"/>
  <c r="AO135" i="2"/>
  <c r="AH135" i="2"/>
  <c r="AX134" i="2"/>
  <c r="AW134" i="2"/>
  <c r="AV134" i="2"/>
  <c r="AU134" i="2"/>
  <c r="AT134" i="2"/>
  <c r="AS134" i="2"/>
  <c r="AR134" i="2"/>
  <c r="AQ134" i="2"/>
  <c r="AP134" i="2"/>
  <c r="AO134" i="2"/>
  <c r="AH134" i="2"/>
  <c r="AX133" i="2"/>
  <c r="AW133" i="2"/>
  <c r="AV133" i="2"/>
  <c r="AU133" i="2"/>
  <c r="AT133" i="2"/>
  <c r="AS133" i="2"/>
  <c r="AR133" i="2"/>
  <c r="AQ133" i="2"/>
  <c r="AP133" i="2"/>
  <c r="AO133" i="2"/>
  <c r="AH133" i="2"/>
  <c r="AX132" i="2"/>
  <c r="AW132" i="2"/>
  <c r="AV132" i="2"/>
  <c r="AU132" i="2"/>
  <c r="AT132" i="2"/>
  <c r="AS132" i="2"/>
  <c r="AR132" i="2"/>
  <c r="AQ132" i="2"/>
  <c r="AP132" i="2"/>
  <c r="AO132" i="2"/>
  <c r="AH132" i="2"/>
  <c r="AX131" i="2"/>
  <c r="AW131" i="2"/>
  <c r="AV131" i="2"/>
  <c r="AU131" i="2"/>
  <c r="AT131" i="2"/>
  <c r="AS131" i="2"/>
  <c r="AR131" i="2"/>
  <c r="AQ131" i="2"/>
  <c r="AP131" i="2"/>
  <c r="AO131" i="2"/>
  <c r="AH131" i="2"/>
  <c r="AX130" i="2"/>
  <c r="AW130" i="2"/>
  <c r="AV130" i="2"/>
  <c r="AU130" i="2"/>
  <c r="AT130" i="2"/>
  <c r="AS130" i="2"/>
  <c r="AR130" i="2"/>
  <c r="AQ130" i="2"/>
  <c r="AP130" i="2"/>
  <c r="AO130" i="2"/>
  <c r="AH130" i="2"/>
  <c r="AX129" i="2"/>
  <c r="AW129" i="2"/>
  <c r="AV129" i="2"/>
  <c r="AU129" i="2"/>
  <c r="AT129" i="2"/>
  <c r="AS129" i="2"/>
  <c r="AR129" i="2"/>
  <c r="AQ129" i="2"/>
  <c r="AP129" i="2"/>
  <c r="AO129" i="2"/>
  <c r="AH129" i="2"/>
  <c r="AX128" i="2"/>
  <c r="AW128" i="2"/>
  <c r="AV128" i="2"/>
  <c r="AU128" i="2"/>
  <c r="AT128" i="2"/>
  <c r="AS128" i="2"/>
  <c r="AR128" i="2"/>
  <c r="AQ128" i="2"/>
  <c r="AP128" i="2"/>
  <c r="AO128" i="2"/>
  <c r="AH128" i="2"/>
  <c r="AX127" i="2"/>
  <c r="AW127" i="2"/>
  <c r="AV127" i="2"/>
  <c r="AU127" i="2"/>
  <c r="AT127" i="2"/>
  <c r="AS127" i="2"/>
  <c r="AR127" i="2"/>
  <c r="AQ127" i="2"/>
  <c r="AP127" i="2"/>
  <c r="AO127" i="2"/>
  <c r="AH127" i="2"/>
  <c r="AX126" i="2"/>
  <c r="AW126" i="2"/>
  <c r="AV126" i="2"/>
  <c r="AU126" i="2"/>
  <c r="AT126" i="2"/>
  <c r="AS126" i="2"/>
  <c r="AR126" i="2"/>
  <c r="AQ126" i="2"/>
  <c r="AP126" i="2"/>
  <c r="AO126" i="2"/>
  <c r="AH126" i="2"/>
  <c r="AX125" i="2"/>
  <c r="AW125" i="2"/>
  <c r="AV125" i="2"/>
  <c r="AU125" i="2"/>
  <c r="AT125" i="2"/>
  <c r="AS125" i="2"/>
  <c r="AR125" i="2"/>
  <c r="AQ125" i="2"/>
  <c r="AP125" i="2"/>
  <c r="AO125" i="2"/>
  <c r="AH125" i="2"/>
  <c r="AX124" i="2"/>
  <c r="AW124" i="2"/>
  <c r="AV124" i="2"/>
  <c r="AU124" i="2"/>
  <c r="AU141" i="2"/>
  <c r="AT124" i="2"/>
  <c r="AS124" i="2"/>
  <c r="AR124" i="2"/>
  <c r="AQ124" i="2"/>
  <c r="AP124" i="2"/>
  <c r="AO124" i="2"/>
  <c r="AH124" i="2"/>
  <c r="AH141" i="2"/>
  <c r="AX123" i="2"/>
  <c r="AM121" i="2"/>
  <c r="AF121" i="2"/>
  <c r="G121" i="2"/>
  <c r="AM120" i="2"/>
  <c r="AF120" i="2"/>
  <c r="G120" i="2"/>
  <c r="AM119" i="2"/>
  <c r="AF119" i="2"/>
  <c r="G119" i="2"/>
  <c r="AX118" i="2"/>
  <c r="AV118" i="2"/>
  <c r="AU118" i="2"/>
  <c r="AT118" i="2"/>
  <c r="AS118" i="2"/>
  <c r="AR118" i="2"/>
  <c r="AQ118" i="2"/>
  <c r="AP118" i="2"/>
  <c r="AO118" i="2"/>
  <c r="P118" i="2"/>
  <c r="AW118" i="2"/>
  <c r="AX117" i="2"/>
  <c r="P117" i="2"/>
  <c r="AW117" i="2"/>
  <c r="AV117" i="2"/>
  <c r="AU117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U112" i="2"/>
  <c r="AU113" i="2"/>
  <c r="AU114" i="2"/>
  <c r="AU115" i="2"/>
  <c r="AU116" i="2"/>
  <c r="AU119" i="2"/>
  <c r="AT117" i="2"/>
  <c r="AS117" i="2"/>
  <c r="AR117" i="2"/>
  <c r="AQ117" i="2"/>
  <c r="AP117" i="2"/>
  <c r="AO117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O113" i="2"/>
  <c r="AO114" i="2"/>
  <c r="AO115" i="2"/>
  <c r="AO116" i="2"/>
  <c r="AO119" i="2"/>
  <c r="AX116" i="2"/>
  <c r="P116" i="2"/>
  <c r="AW116" i="2"/>
  <c r="AV116" i="2"/>
  <c r="AT116" i="2"/>
  <c r="AS116" i="2"/>
  <c r="AR116" i="2"/>
  <c r="AQ116" i="2"/>
  <c r="AP116" i="2"/>
  <c r="AX115" i="2"/>
  <c r="P115" i="2"/>
  <c r="AW115" i="2"/>
  <c r="AV115" i="2"/>
  <c r="AT115" i="2"/>
  <c r="AS115" i="2"/>
  <c r="AR115" i="2"/>
  <c r="AQ115" i="2"/>
  <c r="AP115" i="2"/>
  <c r="AX114" i="2"/>
  <c r="AV114" i="2"/>
  <c r="AT114" i="2"/>
  <c r="AS114" i="2"/>
  <c r="AR114" i="2"/>
  <c r="AQ114" i="2"/>
  <c r="AP114" i="2"/>
  <c r="P114" i="2"/>
  <c r="AW114" i="2"/>
  <c r="AX113" i="2"/>
  <c r="P113" i="2"/>
  <c r="AW113" i="2"/>
  <c r="AV113" i="2"/>
  <c r="AT113" i="2"/>
  <c r="AS113" i="2"/>
  <c r="AR113" i="2"/>
  <c r="AQ113" i="2"/>
  <c r="AP113" i="2"/>
  <c r="AX112" i="2"/>
  <c r="AV112" i="2"/>
  <c r="AT112" i="2"/>
  <c r="AS112" i="2"/>
  <c r="AR112" i="2"/>
  <c r="AQ112" i="2"/>
  <c r="AP112" i="2"/>
  <c r="P112" i="2"/>
  <c r="AW112" i="2"/>
  <c r="AX111" i="2"/>
  <c r="AV111" i="2"/>
  <c r="AT111" i="2"/>
  <c r="AS111" i="2"/>
  <c r="AR111" i="2"/>
  <c r="AQ111" i="2"/>
  <c r="AP111" i="2"/>
  <c r="P111" i="2"/>
  <c r="AW111" i="2"/>
  <c r="AX110" i="2"/>
  <c r="AV110" i="2"/>
  <c r="AT110" i="2"/>
  <c r="AS110" i="2"/>
  <c r="AR110" i="2"/>
  <c r="AQ110" i="2"/>
  <c r="AP110" i="2"/>
  <c r="P110" i="2"/>
  <c r="AW110" i="2"/>
  <c r="AX109" i="2"/>
  <c r="P109" i="2"/>
  <c r="AW109" i="2"/>
  <c r="AV109" i="2"/>
  <c r="AT109" i="2"/>
  <c r="AS109" i="2"/>
  <c r="AR109" i="2"/>
  <c r="AQ109" i="2"/>
  <c r="AP109" i="2"/>
  <c r="AX108" i="2"/>
  <c r="P108" i="2"/>
  <c r="AW108" i="2"/>
  <c r="AV108" i="2"/>
  <c r="AT108" i="2"/>
  <c r="AS108" i="2"/>
  <c r="AR108" i="2"/>
  <c r="AQ108" i="2"/>
  <c r="AP108" i="2"/>
  <c r="AX107" i="2"/>
  <c r="P107" i="2"/>
  <c r="AW107" i="2"/>
  <c r="AV107" i="2"/>
  <c r="AT107" i="2"/>
  <c r="AS107" i="2"/>
  <c r="AR107" i="2"/>
  <c r="AQ107" i="2"/>
  <c r="AP107" i="2"/>
  <c r="AX106" i="2"/>
  <c r="AV106" i="2"/>
  <c r="AT106" i="2"/>
  <c r="AS106" i="2"/>
  <c r="AR106" i="2"/>
  <c r="AQ106" i="2"/>
  <c r="AP106" i="2"/>
  <c r="P106" i="2"/>
  <c r="AW106" i="2"/>
  <c r="AX105" i="2"/>
  <c r="P105" i="2"/>
  <c r="AW105" i="2"/>
  <c r="AV105" i="2"/>
  <c r="AT105" i="2"/>
  <c r="AS105" i="2"/>
  <c r="AR105" i="2"/>
  <c r="AQ105" i="2"/>
  <c r="AP105" i="2"/>
  <c r="AX104" i="2"/>
  <c r="AV104" i="2"/>
  <c r="AT104" i="2"/>
  <c r="AS104" i="2"/>
  <c r="AR104" i="2"/>
  <c r="AQ104" i="2"/>
  <c r="AP104" i="2"/>
  <c r="P104" i="2"/>
  <c r="AW104" i="2"/>
  <c r="AX103" i="2"/>
  <c r="P103" i="2"/>
  <c r="AW103" i="2"/>
  <c r="AV103" i="2"/>
  <c r="AT103" i="2"/>
  <c r="AS103" i="2"/>
  <c r="AR103" i="2"/>
  <c r="AQ103" i="2"/>
  <c r="AP103" i="2"/>
  <c r="AX102" i="2"/>
  <c r="AV102" i="2"/>
  <c r="AT102" i="2"/>
  <c r="AS102" i="2"/>
  <c r="AR102" i="2"/>
  <c r="AQ102" i="2"/>
  <c r="AP102" i="2"/>
  <c r="P102" i="2"/>
  <c r="AW102" i="2"/>
  <c r="AX101" i="2"/>
  <c r="P101" i="2"/>
  <c r="AW101" i="2"/>
  <c r="AV101" i="2"/>
  <c r="AT101" i="2"/>
  <c r="AS101" i="2"/>
  <c r="AR101" i="2"/>
  <c r="AQ101" i="2"/>
  <c r="AP101" i="2"/>
  <c r="AX100" i="2"/>
  <c r="P100" i="2"/>
  <c r="AW100" i="2"/>
  <c r="AV100" i="2"/>
  <c r="AT100" i="2"/>
  <c r="AS100" i="2"/>
  <c r="AR100" i="2"/>
  <c r="AQ100" i="2"/>
  <c r="AP100" i="2"/>
  <c r="AX99" i="2"/>
  <c r="P99" i="2"/>
  <c r="AW99" i="2"/>
  <c r="AV99" i="2"/>
  <c r="AT99" i="2"/>
  <c r="AS99" i="2"/>
  <c r="AR99" i="2"/>
  <c r="AQ99" i="2"/>
  <c r="AP99" i="2"/>
  <c r="AX98" i="2"/>
  <c r="AV98" i="2"/>
  <c r="AT98" i="2"/>
  <c r="AS98" i="2"/>
  <c r="AR98" i="2"/>
  <c r="AQ98" i="2"/>
  <c r="AP98" i="2"/>
  <c r="P98" i="2"/>
  <c r="AW98" i="2"/>
  <c r="AX97" i="2"/>
  <c r="P97" i="2"/>
  <c r="AW97" i="2"/>
  <c r="AV97" i="2"/>
  <c r="AT97" i="2"/>
  <c r="AS97" i="2"/>
  <c r="AR97" i="2"/>
  <c r="AQ97" i="2"/>
  <c r="AP97" i="2"/>
  <c r="AX96" i="2"/>
  <c r="AW96" i="2"/>
  <c r="AV96" i="2"/>
  <c r="AT96" i="2"/>
  <c r="AS96" i="2"/>
  <c r="AR96" i="2"/>
  <c r="AQ96" i="2"/>
  <c r="AP96" i="2"/>
  <c r="AX95" i="2"/>
  <c r="AV95" i="2"/>
  <c r="AT95" i="2"/>
  <c r="AS95" i="2"/>
  <c r="AR95" i="2"/>
  <c r="AQ95" i="2"/>
  <c r="AP95" i="2"/>
  <c r="P95" i="2"/>
  <c r="AW95" i="2"/>
  <c r="AX94" i="2"/>
  <c r="P94" i="2"/>
  <c r="AW94" i="2"/>
  <c r="AV94" i="2"/>
  <c r="AT94" i="2"/>
  <c r="AS94" i="2"/>
  <c r="AR94" i="2"/>
  <c r="AQ94" i="2"/>
  <c r="AP94" i="2"/>
  <c r="AX93" i="2"/>
  <c r="AV93" i="2"/>
  <c r="AT93" i="2"/>
  <c r="AS93" i="2"/>
  <c r="AR93" i="2"/>
  <c r="AQ93" i="2"/>
  <c r="AP93" i="2"/>
  <c r="P93" i="2"/>
  <c r="AW93" i="2"/>
  <c r="AX92" i="2"/>
  <c r="P92" i="2"/>
  <c r="AW92" i="2"/>
  <c r="AV92" i="2"/>
  <c r="AT92" i="2"/>
  <c r="AS92" i="2"/>
  <c r="AR92" i="2"/>
  <c r="AQ92" i="2"/>
  <c r="AP92" i="2"/>
  <c r="AX91" i="2"/>
  <c r="AV91" i="2"/>
  <c r="AT91" i="2"/>
  <c r="AS91" i="2"/>
  <c r="AR91" i="2"/>
  <c r="AQ91" i="2"/>
  <c r="AP91" i="2"/>
  <c r="P91" i="2"/>
  <c r="AW91" i="2"/>
  <c r="AX90" i="2"/>
  <c r="P90" i="2"/>
  <c r="AW90" i="2"/>
  <c r="AV90" i="2"/>
  <c r="AT90" i="2"/>
  <c r="AS90" i="2"/>
  <c r="AR90" i="2"/>
  <c r="AQ90" i="2"/>
  <c r="AP90" i="2"/>
  <c r="AX89" i="2"/>
  <c r="P89" i="2"/>
  <c r="AW89" i="2"/>
  <c r="AV89" i="2"/>
  <c r="AT89" i="2"/>
  <c r="AS89" i="2"/>
  <c r="AR89" i="2"/>
  <c r="AQ89" i="2"/>
  <c r="AP89" i="2"/>
  <c r="AX88" i="2"/>
  <c r="P88" i="2"/>
  <c r="AW88" i="2"/>
  <c r="AV88" i="2"/>
  <c r="AT88" i="2"/>
  <c r="AS88" i="2"/>
  <c r="AR88" i="2"/>
  <c r="AQ88" i="2"/>
  <c r="AP88" i="2"/>
  <c r="AX87" i="2"/>
  <c r="AV87" i="2"/>
  <c r="AT87" i="2"/>
  <c r="AS87" i="2"/>
  <c r="AR87" i="2"/>
  <c r="AQ87" i="2"/>
  <c r="AP87" i="2"/>
  <c r="P87" i="2"/>
  <c r="AW87" i="2"/>
  <c r="AX86" i="2"/>
  <c r="P86" i="2"/>
  <c r="AW86" i="2"/>
  <c r="AV86" i="2"/>
  <c r="AT86" i="2"/>
  <c r="AS86" i="2"/>
  <c r="AR86" i="2"/>
  <c r="AQ86" i="2"/>
  <c r="AP86" i="2"/>
  <c r="AX85" i="2"/>
  <c r="AW85" i="2"/>
  <c r="AV85" i="2"/>
  <c r="AT85" i="2"/>
  <c r="AS85" i="2"/>
  <c r="AR85" i="2"/>
  <c r="AQ85" i="2"/>
  <c r="AP85" i="2"/>
  <c r="AX84" i="2"/>
  <c r="AV84" i="2"/>
  <c r="AT84" i="2"/>
  <c r="AS84" i="2"/>
  <c r="AR84" i="2"/>
  <c r="AR82" i="2"/>
  <c r="AR83" i="2"/>
  <c r="AR119" i="2"/>
  <c r="AQ84" i="2"/>
  <c r="AP84" i="2"/>
  <c r="P84" i="2"/>
  <c r="AW84" i="2"/>
  <c r="AX83" i="2"/>
  <c r="P83" i="2"/>
  <c r="AW83" i="2"/>
  <c r="AV83" i="2"/>
  <c r="AT83" i="2"/>
  <c r="AS83" i="2"/>
  <c r="AQ83" i="2"/>
  <c r="AP83" i="2"/>
  <c r="AX82" i="2"/>
  <c r="AV82" i="2"/>
  <c r="AT82" i="2"/>
  <c r="AS82" i="2"/>
  <c r="AS119" i="2"/>
  <c r="AQ82" i="2"/>
  <c r="AP82" i="2"/>
  <c r="P82" i="2"/>
  <c r="AM80" i="2"/>
  <c r="AL80" i="2"/>
  <c r="AJ80" i="2"/>
  <c r="AI80" i="2"/>
  <c r="AM79" i="2"/>
  <c r="AL79" i="2"/>
  <c r="AJ79" i="2"/>
  <c r="AI79" i="2"/>
  <c r="AM78" i="2"/>
  <c r="AL78" i="2"/>
  <c r="AI78" i="2"/>
  <c r="AO77" i="2"/>
  <c r="AO76" i="2"/>
  <c r="AO78" i="2"/>
  <c r="AJ78" i="2"/>
  <c r="AM74" i="2"/>
  <c r="W74" i="2"/>
  <c r="S74" i="2"/>
  <c r="K74" i="2"/>
  <c r="H74" i="2"/>
  <c r="G74" i="2"/>
  <c r="AM73" i="2"/>
  <c r="W73" i="2"/>
  <c r="S73" i="2"/>
  <c r="K73" i="2"/>
  <c r="H73" i="2"/>
  <c r="G73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M72" i="2"/>
  <c r="W72" i="2"/>
  <c r="S72" i="2"/>
  <c r="G72" i="2"/>
  <c r="AX71" i="2"/>
  <c r="AW71" i="2"/>
  <c r="AV71" i="2"/>
  <c r="AU71" i="2"/>
  <c r="AT71" i="2"/>
  <c r="AR71" i="2"/>
  <c r="AQ71" i="2"/>
  <c r="AP71" i="2"/>
  <c r="AO71" i="2"/>
  <c r="AX70" i="2"/>
  <c r="AW70" i="2"/>
  <c r="AV70" i="2"/>
  <c r="AU70" i="2"/>
  <c r="AT70" i="2"/>
  <c r="AR70" i="2"/>
  <c r="AQ70" i="2"/>
  <c r="AP70" i="2"/>
  <c r="AO70" i="2"/>
  <c r="AX69" i="2"/>
  <c r="AW69" i="2"/>
  <c r="AV69" i="2"/>
  <c r="AU69" i="2"/>
  <c r="AT69" i="2"/>
  <c r="AR69" i="2"/>
  <c r="AQ69" i="2"/>
  <c r="AP69" i="2"/>
  <c r="AO69" i="2"/>
  <c r="AX68" i="2"/>
  <c r="AW68" i="2"/>
  <c r="AV68" i="2"/>
  <c r="AU68" i="2"/>
  <c r="AT68" i="2"/>
  <c r="AR68" i="2"/>
  <c r="AQ68" i="2"/>
  <c r="AP68" i="2"/>
  <c r="AO68" i="2"/>
  <c r="AX67" i="2"/>
  <c r="AW67" i="2"/>
  <c r="AV67" i="2"/>
  <c r="AU67" i="2"/>
  <c r="AT67" i="2"/>
  <c r="AR67" i="2"/>
  <c r="AQ67" i="2"/>
  <c r="AP67" i="2"/>
  <c r="AO67" i="2"/>
  <c r="AX66" i="2"/>
  <c r="AW66" i="2"/>
  <c r="AV66" i="2"/>
  <c r="AU66" i="2"/>
  <c r="AT66" i="2"/>
  <c r="AR66" i="2"/>
  <c r="AQ66" i="2"/>
  <c r="AP66" i="2"/>
  <c r="AO66" i="2"/>
  <c r="AX65" i="2"/>
  <c r="AW65" i="2"/>
  <c r="AV65" i="2"/>
  <c r="AU65" i="2"/>
  <c r="AT65" i="2"/>
  <c r="AR65" i="2"/>
  <c r="AQ65" i="2"/>
  <c r="AP65" i="2"/>
  <c r="AO65" i="2"/>
  <c r="AH65" i="2"/>
  <c r="AX64" i="2"/>
  <c r="AW64" i="2"/>
  <c r="AV64" i="2"/>
  <c r="AU64" i="2"/>
  <c r="AT64" i="2"/>
  <c r="AR64" i="2"/>
  <c r="AQ64" i="2"/>
  <c r="AP64" i="2"/>
  <c r="AO64" i="2"/>
  <c r="AH64" i="2"/>
  <c r="AX63" i="2"/>
  <c r="AW63" i="2"/>
  <c r="AV63" i="2"/>
  <c r="AU63" i="2"/>
  <c r="AT63" i="2"/>
  <c r="AR63" i="2"/>
  <c r="AQ63" i="2"/>
  <c r="AP63" i="2"/>
  <c r="AO63" i="2"/>
  <c r="AH63" i="2"/>
  <c r="AX62" i="2"/>
  <c r="AW62" i="2"/>
  <c r="AV62" i="2"/>
  <c r="AU62" i="2"/>
  <c r="AT62" i="2"/>
  <c r="AR62" i="2"/>
  <c r="AQ62" i="2"/>
  <c r="AP62" i="2"/>
  <c r="AO62" i="2"/>
  <c r="AH62" i="2"/>
  <c r="AX61" i="2"/>
  <c r="AW61" i="2"/>
  <c r="AV61" i="2"/>
  <c r="AU61" i="2"/>
  <c r="AT61" i="2"/>
  <c r="AT57" i="2"/>
  <c r="AT58" i="2"/>
  <c r="AT59" i="2"/>
  <c r="AT60" i="2"/>
  <c r="AT72" i="2"/>
  <c r="AR61" i="2"/>
  <c r="AQ61" i="2"/>
  <c r="AP61" i="2"/>
  <c r="AO61" i="2"/>
  <c r="AH61" i="2"/>
  <c r="AX60" i="2"/>
  <c r="AW60" i="2"/>
  <c r="AV60" i="2"/>
  <c r="AU60" i="2"/>
  <c r="AR60" i="2"/>
  <c r="AQ60" i="2"/>
  <c r="AP60" i="2"/>
  <c r="AO60" i="2"/>
  <c r="AH60" i="2"/>
  <c r="AX59" i="2"/>
  <c r="AW59" i="2"/>
  <c r="AV59" i="2"/>
  <c r="AU59" i="2"/>
  <c r="AR59" i="2"/>
  <c r="AQ59" i="2"/>
  <c r="AP59" i="2"/>
  <c r="AO59" i="2"/>
  <c r="AH59" i="2"/>
  <c r="AX58" i="2"/>
  <c r="AW58" i="2"/>
  <c r="AV58" i="2"/>
  <c r="AV57" i="2"/>
  <c r="AV72" i="2"/>
  <c r="AU58" i="2"/>
  <c r="AR58" i="2"/>
  <c r="AQ58" i="2"/>
  <c r="AP58" i="2"/>
  <c r="AO58" i="2"/>
  <c r="AH58" i="2"/>
  <c r="AH57" i="2"/>
  <c r="AH73" i="2"/>
  <c r="AX57" i="2"/>
  <c r="AX72" i="2"/>
  <c r="AW57" i="2"/>
  <c r="AU57" i="2"/>
  <c r="AR57" i="2"/>
  <c r="AR72" i="2"/>
  <c r="K72" i="2"/>
  <c r="AQ57" i="2"/>
  <c r="AP57" i="2"/>
  <c r="AP72" i="2"/>
  <c r="AO57" i="2"/>
  <c r="AM55" i="2"/>
  <c r="S55" i="2"/>
  <c r="R55" i="2"/>
  <c r="G55" i="2"/>
  <c r="AM54" i="2"/>
  <c r="S54" i="2"/>
  <c r="R54" i="2"/>
  <c r="T33" i="2"/>
  <c r="I33" i="2"/>
  <c r="I54" i="2"/>
  <c r="G54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P33" i="2"/>
  <c r="AP34" i="2"/>
  <c r="AP35" i="2"/>
  <c r="AP36" i="2"/>
  <c r="AP37" i="2"/>
  <c r="AP38" i="2"/>
  <c r="AP39" i="2"/>
  <c r="AP40" i="2"/>
  <c r="AP41" i="2"/>
  <c r="AP42" i="2"/>
  <c r="AP43" i="2"/>
  <c r="AP44" i="2"/>
  <c r="AP45" i="2"/>
  <c r="AP46" i="2"/>
  <c r="AP47" i="2"/>
  <c r="AP48" i="2"/>
  <c r="AP49" i="2"/>
  <c r="AP53" i="2"/>
  <c r="AM53" i="2"/>
  <c r="S53" i="2"/>
  <c r="R53" i="2"/>
  <c r="G53" i="2"/>
  <c r="I53" i="2"/>
  <c r="AX52" i="2"/>
  <c r="AW52" i="2"/>
  <c r="AV52" i="2"/>
  <c r="AU52" i="2"/>
  <c r="AT52" i="2"/>
  <c r="AR52" i="2"/>
  <c r="AP52" i="2"/>
  <c r="AO52" i="2"/>
  <c r="AH52" i="2"/>
  <c r="U52" i="2"/>
  <c r="T52" i="2"/>
  <c r="J52" i="2"/>
  <c r="AQ52" i="2"/>
  <c r="AX51" i="2"/>
  <c r="AW51" i="2"/>
  <c r="AV51" i="2"/>
  <c r="AU51" i="2"/>
  <c r="AT51" i="2"/>
  <c r="AR51" i="2"/>
  <c r="U51" i="2"/>
  <c r="T51" i="2"/>
  <c r="J51" i="2"/>
  <c r="AQ51" i="2"/>
  <c r="AP51" i="2"/>
  <c r="AO51" i="2"/>
  <c r="AH51" i="2"/>
  <c r="AX50" i="2"/>
  <c r="AW50" i="2"/>
  <c r="AV50" i="2"/>
  <c r="AU50" i="2"/>
  <c r="AT50" i="2"/>
  <c r="AR50" i="2"/>
  <c r="AP50" i="2"/>
  <c r="AO50" i="2"/>
  <c r="AH50" i="2"/>
  <c r="U50" i="2"/>
  <c r="T50" i="2"/>
  <c r="J50" i="2"/>
  <c r="AQ50" i="2"/>
  <c r="AX49" i="2"/>
  <c r="AW49" i="2"/>
  <c r="AV49" i="2"/>
  <c r="AU49" i="2"/>
  <c r="AT49" i="2"/>
  <c r="AR49" i="2"/>
  <c r="U49" i="2"/>
  <c r="T49" i="2"/>
  <c r="J49" i="2"/>
  <c r="AQ49" i="2"/>
  <c r="AO49" i="2"/>
  <c r="AH49" i="2"/>
  <c r="AX48" i="2"/>
  <c r="AW48" i="2"/>
  <c r="AV48" i="2"/>
  <c r="AU48" i="2"/>
  <c r="AT48" i="2"/>
  <c r="AR48" i="2"/>
  <c r="AO48" i="2"/>
  <c r="AH48" i="2"/>
  <c r="U48" i="2"/>
  <c r="T48" i="2"/>
  <c r="J48" i="2"/>
  <c r="AQ48" i="2"/>
  <c r="AX47" i="2"/>
  <c r="AW47" i="2"/>
  <c r="AV47" i="2"/>
  <c r="AU47" i="2"/>
  <c r="AT47" i="2"/>
  <c r="AR47" i="2"/>
  <c r="AO47" i="2"/>
  <c r="AH47" i="2"/>
  <c r="U47" i="2"/>
  <c r="T47" i="2"/>
  <c r="J47" i="2"/>
  <c r="AQ47" i="2"/>
  <c r="AX46" i="2"/>
  <c r="AW46" i="2"/>
  <c r="AV46" i="2"/>
  <c r="AU46" i="2"/>
  <c r="AT46" i="2"/>
  <c r="AR46" i="2"/>
  <c r="AO46" i="2"/>
  <c r="AH46" i="2"/>
  <c r="U46" i="2"/>
  <c r="T46" i="2"/>
  <c r="J46" i="2"/>
  <c r="AQ46" i="2"/>
  <c r="AX45" i="2"/>
  <c r="AW45" i="2"/>
  <c r="AV45" i="2"/>
  <c r="AU45" i="2"/>
  <c r="AT45" i="2"/>
  <c r="AR45" i="2"/>
  <c r="AO45" i="2"/>
  <c r="AH45" i="2"/>
  <c r="U45" i="2"/>
  <c r="T45" i="2"/>
  <c r="J45" i="2"/>
  <c r="AQ45" i="2"/>
  <c r="AX44" i="2"/>
  <c r="AW44" i="2"/>
  <c r="AV44" i="2"/>
  <c r="AU44" i="2"/>
  <c r="AT44" i="2"/>
  <c r="AR44" i="2"/>
  <c r="AO44" i="2"/>
  <c r="AH44" i="2"/>
  <c r="U44" i="2"/>
  <c r="T44" i="2"/>
  <c r="J44" i="2"/>
  <c r="AQ44" i="2"/>
  <c r="AX43" i="2"/>
  <c r="AW43" i="2"/>
  <c r="AV43" i="2"/>
  <c r="AU43" i="2"/>
  <c r="AT43" i="2"/>
  <c r="AR43" i="2"/>
  <c r="U43" i="2"/>
  <c r="T43" i="2"/>
  <c r="J43" i="2"/>
  <c r="AQ43" i="2"/>
  <c r="AO43" i="2"/>
  <c r="AH43" i="2"/>
  <c r="AX42" i="2"/>
  <c r="AW42" i="2"/>
  <c r="AV42" i="2"/>
  <c r="AU42" i="2"/>
  <c r="AT42" i="2"/>
  <c r="AR42" i="2"/>
  <c r="AO42" i="2"/>
  <c r="AH42" i="2"/>
  <c r="U42" i="2"/>
  <c r="T42" i="2"/>
  <c r="J42" i="2"/>
  <c r="AQ42" i="2"/>
  <c r="AX41" i="2"/>
  <c r="AW41" i="2"/>
  <c r="AV41" i="2"/>
  <c r="AU41" i="2"/>
  <c r="AT41" i="2"/>
  <c r="AR41" i="2"/>
  <c r="U41" i="2"/>
  <c r="T41" i="2"/>
  <c r="J41" i="2"/>
  <c r="AQ41" i="2"/>
  <c r="AO41" i="2"/>
  <c r="AH41" i="2"/>
  <c r="AX40" i="2"/>
  <c r="AW40" i="2"/>
  <c r="AV40" i="2"/>
  <c r="AU40" i="2"/>
  <c r="AT40" i="2"/>
  <c r="AR40" i="2"/>
  <c r="AO40" i="2"/>
  <c r="AH40" i="2"/>
  <c r="U40" i="2"/>
  <c r="T40" i="2"/>
  <c r="J40" i="2"/>
  <c r="AQ40" i="2"/>
  <c r="AX39" i="2"/>
  <c r="AW39" i="2"/>
  <c r="AV39" i="2"/>
  <c r="AU39" i="2"/>
  <c r="AT39" i="2"/>
  <c r="AR39" i="2"/>
  <c r="AO39" i="2"/>
  <c r="AH39" i="2"/>
  <c r="U39" i="2"/>
  <c r="T39" i="2"/>
  <c r="J39" i="2"/>
  <c r="AQ39" i="2"/>
  <c r="AX38" i="2"/>
  <c r="AW38" i="2"/>
  <c r="AV38" i="2"/>
  <c r="AU38" i="2"/>
  <c r="AT38" i="2"/>
  <c r="AR38" i="2"/>
  <c r="AO38" i="2"/>
  <c r="AH38" i="2"/>
  <c r="U38" i="2"/>
  <c r="T38" i="2"/>
  <c r="J38" i="2"/>
  <c r="AQ38" i="2"/>
  <c r="AX37" i="2"/>
  <c r="AW37" i="2"/>
  <c r="AV37" i="2"/>
  <c r="AU37" i="2"/>
  <c r="AT37" i="2"/>
  <c r="AR37" i="2"/>
  <c r="AO37" i="2"/>
  <c r="AH37" i="2"/>
  <c r="U37" i="2"/>
  <c r="T37" i="2"/>
  <c r="J37" i="2"/>
  <c r="AQ37" i="2"/>
  <c r="AX36" i="2"/>
  <c r="AW36" i="2"/>
  <c r="AV36" i="2"/>
  <c r="AU36" i="2"/>
  <c r="AT36" i="2"/>
  <c r="AR36" i="2"/>
  <c r="AO36" i="2"/>
  <c r="AH36" i="2"/>
  <c r="U36" i="2"/>
  <c r="T36" i="2"/>
  <c r="J36" i="2"/>
  <c r="AQ36" i="2"/>
  <c r="AX35" i="2"/>
  <c r="AW35" i="2"/>
  <c r="AV35" i="2"/>
  <c r="AU35" i="2"/>
  <c r="AT35" i="2"/>
  <c r="AR35" i="2"/>
  <c r="U35" i="2"/>
  <c r="T35" i="2"/>
  <c r="J35" i="2"/>
  <c r="AQ35" i="2"/>
  <c r="AO35" i="2"/>
  <c r="AH35" i="2"/>
  <c r="AX34" i="2"/>
  <c r="AW34" i="2"/>
  <c r="AW33" i="2"/>
  <c r="AW53" i="2"/>
  <c r="AV34" i="2"/>
  <c r="AU34" i="2"/>
  <c r="AT34" i="2"/>
  <c r="AT33" i="2"/>
  <c r="AT53" i="2"/>
  <c r="AR34" i="2"/>
  <c r="AO34" i="2"/>
  <c r="AH34" i="2"/>
  <c r="U34" i="2"/>
  <c r="T34" i="2"/>
  <c r="T54" i="2"/>
  <c r="J34" i="2"/>
  <c r="AQ34" i="2"/>
  <c r="AX33" i="2"/>
  <c r="AX53" i="2"/>
  <c r="AV33" i="2"/>
  <c r="AU33" i="2"/>
  <c r="AR33" i="2"/>
  <c r="AR53" i="2"/>
  <c r="AH33" i="2"/>
  <c r="AH55" i="2"/>
  <c r="U33" i="2"/>
  <c r="I55" i="2"/>
  <c r="H33" i="2"/>
  <c r="AO33" i="2"/>
  <c r="AO53" i="2"/>
  <c r="H53" i="2"/>
  <c r="U28" i="2"/>
  <c r="U31" i="2"/>
  <c r="T28" i="2"/>
  <c r="T31" i="2"/>
  <c r="I31" i="2"/>
  <c r="H31" i="2"/>
  <c r="G31" i="2"/>
  <c r="S28" i="2"/>
  <c r="S30" i="2"/>
  <c r="I30" i="2"/>
  <c r="H30" i="2"/>
  <c r="G30" i="2"/>
  <c r="U29" i="2"/>
  <c r="T29" i="2"/>
  <c r="S29" i="2"/>
  <c r="G29" i="2"/>
  <c r="AX28" i="2"/>
  <c r="AW28" i="2"/>
  <c r="AV28" i="2"/>
  <c r="AU28" i="2"/>
  <c r="AT28" i="2"/>
  <c r="AS28" i="2"/>
  <c r="AR28" i="2"/>
  <c r="AP28" i="2"/>
  <c r="AO28" i="2"/>
  <c r="U30" i="2"/>
  <c r="T30" i="2"/>
  <c r="S31" i="2"/>
  <c r="J28" i="2"/>
  <c r="AQ28" i="2"/>
  <c r="AX27" i="2"/>
  <c r="AW27" i="2"/>
  <c r="AV27" i="2"/>
  <c r="AU27" i="2"/>
  <c r="AT27" i="2"/>
  <c r="AS27" i="2"/>
  <c r="AR27" i="2"/>
  <c r="J27" i="2"/>
  <c r="AQ27" i="2"/>
  <c r="AP27" i="2"/>
  <c r="AO27" i="2"/>
  <c r="R27" i="2"/>
  <c r="AH27" i="2"/>
  <c r="AX26" i="2"/>
  <c r="AW26" i="2"/>
  <c r="AV26" i="2"/>
  <c r="AU26" i="2"/>
  <c r="AT26" i="2"/>
  <c r="AS26" i="2"/>
  <c r="AR26" i="2"/>
  <c r="AP26" i="2"/>
  <c r="AO26" i="2"/>
  <c r="R26" i="2"/>
  <c r="AH26" i="2"/>
  <c r="J26" i="2"/>
  <c r="AQ26" i="2"/>
  <c r="AX25" i="2"/>
  <c r="AW25" i="2"/>
  <c r="AV25" i="2"/>
  <c r="AU25" i="2"/>
  <c r="AT25" i="2"/>
  <c r="AS25" i="2"/>
  <c r="AR25" i="2"/>
  <c r="AP25" i="2"/>
  <c r="AO25" i="2"/>
  <c r="R25" i="2"/>
  <c r="AH25" i="2"/>
  <c r="J25" i="2"/>
  <c r="AQ25" i="2"/>
  <c r="AX24" i="2"/>
  <c r="AW24" i="2"/>
  <c r="AV24" i="2"/>
  <c r="AU24" i="2"/>
  <c r="AT24" i="2"/>
  <c r="AS24" i="2"/>
  <c r="AR24" i="2"/>
  <c r="J24" i="2"/>
  <c r="AQ24" i="2"/>
  <c r="AP24" i="2"/>
  <c r="AO24" i="2"/>
  <c r="R24" i="2"/>
  <c r="AH24" i="2"/>
  <c r="AX23" i="2"/>
  <c r="AW23" i="2"/>
  <c r="AV23" i="2"/>
  <c r="AU23" i="2"/>
  <c r="AT23" i="2"/>
  <c r="AS23" i="2"/>
  <c r="AR23" i="2"/>
  <c r="J23" i="2"/>
  <c r="AQ23" i="2"/>
  <c r="AP23" i="2"/>
  <c r="AO23" i="2"/>
  <c r="R23" i="2"/>
  <c r="AH23" i="2"/>
  <c r="J31" i="2"/>
  <c r="AX22" i="2"/>
  <c r="AW22" i="2"/>
  <c r="AV22" i="2"/>
  <c r="AU22" i="2"/>
  <c r="AT22" i="2"/>
  <c r="AS22" i="2"/>
  <c r="AR22" i="2"/>
  <c r="AQ22" i="2"/>
  <c r="AP22" i="2"/>
  <c r="AO22" i="2"/>
  <c r="AM22" i="2"/>
  <c r="R22" i="2"/>
  <c r="AH22" i="2"/>
  <c r="AX21" i="2"/>
  <c r="AW21" i="2"/>
  <c r="AV21" i="2"/>
  <c r="AU21" i="2"/>
  <c r="AT21" i="2"/>
  <c r="AS21" i="2"/>
  <c r="AR21" i="2"/>
  <c r="AQ21" i="2"/>
  <c r="AP21" i="2"/>
  <c r="AO21" i="2"/>
  <c r="AM21" i="2"/>
  <c r="R21" i="2"/>
  <c r="AH21" i="2"/>
  <c r="AX20" i="2"/>
  <c r="AW20" i="2"/>
  <c r="AV20" i="2"/>
  <c r="AU20" i="2"/>
  <c r="AT20" i="2"/>
  <c r="AS20" i="2"/>
  <c r="AR20" i="2"/>
  <c r="AQ20" i="2"/>
  <c r="AP20" i="2"/>
  <c r="AO20" i="2"/>
  <c r="AM20" i="2"/>
  <c r="R20" i="2"/>
  <c r="AH20" i="2"/>
  <c r="AX19" i="2"/>
  <c r="AW19" i="2"/>
  <c r="AV19" i="2"/>
  <c r="AU19" i="2"/>
  <c r="AT19" i="2"/>
  <c r="AS19" i="2"/>
  <c r="AR19" i="2"/>
  <c r="AQ19" i="2"/>
  <c r="AP19" i="2"/>
  <c r="AO19" i="2"/>
  <c r="AM19" i="2"/>
  <c r="R19" i="2"/>
  <c r="AH19" i="2"/>
  <c r="AX18" i="2"/>
  <c r="AW18" i="2"/>
  <c r="AV18" i="2"/>
  <c r="AU18" i="2"/>
  <c r="AT18" i="2"/>
  <c r="AS18" i="2"/>
  <c r="AR18" i="2"/>
  <c r="AQ18" i="2"/>
  <c r="AP18" i="2"/>
  <c r="AO18" i="2"/>
  <c r="AM18" i="2"/>
  <c r="R18" i="2"/>
  <c r="AH18" i="2"/>
  <c r="AX17" i="2"/>
  <c r="AW17" i="2"/>
  <c r="AV17" i="2"/>
  <c r="AU17" i="2"/>
  <c r="AT17" i="2"/>
  <c r="AS17" i="2"/>
  <c r="AR17" i="2"/>
  <c r="AQ17" i="2"/>
  <c r="AP17" i="2"/>
  <c r="AO17" i="2"/>
  <c r="AM17" i="2"/>
  <c r="R17" i="2"/>
  <c r="AH17" i="2"/>
  <c r="AX16" i="2"/>
  <c r="AW16" i="2"/>
  <c r="AV16" i="2"/>
  <c r="AU16" i="2"/>
  <c r="AT16" i="2"/>
  <c r="AS16" i="2"/>
  <c r="AR16" i="2"/>
  <c r="AQ16" i="2"/>
  <c r="AP16" i="2"/>
  <c r="AO16" i="2"/>
  <c r="AM16" i="2"/>
  <c r="R16" i="2"/>
  <c r="AH16" i="2"/>
  <c r="AX15" i="2"/>
  <c r="AW15" i="2"/>
  <c r="AV15" i="2"/>
  <c r="AU15" i="2"/>
  <c r="AT15" i="2"/>
  <c r="AS15" i="2"/>
  <c r="AR15" i="2"/>
  <c r="AQ15" i="2"/>
  <c r="AP15" i="2"/>
  <c r="AO15" i="2"/>
  <c r="AM15" i="2"/>
  <c r="R15" i="2"/>
  <c r="AH15" i="2"/>
  <c r="AX14" i="2"/>
  <c r="AW14" i="2"/>
  <c r="AV14" i="2"/>
  <c r="AU14" i="2"/>
  <c r="AT14" i="2"/>
  <c r="AS14" i="2"/>
  <c r="AR14" i="2"/>
  <c r="AQ14" i="2"/>
  <c r="AP14" i="2"/>
  <c r="AO14" i="2"/>
  <c r="AM14" i="2"/>
  <c r="R14" i="2"/>
  <c r="AH14" i="2"/>
  <c r="AX13" i="2"/>
  <c r="AW13" i="2"/>
  <c r="AV13" i="2"/>
  <c r="AU13" i="2"/>
  <c r="AT13" i="2"/>
  <c r="AS13" i="2"/>
  <c r="AR13" i="2"/>
  <c r="AQ13" i="2"/>
  <c r="AP13" i="2"/>
  <c r="AO13" i="2"/>
  <c r="AM13" i="2"/>
  <c r="R13" i="2"/>
  <c r="AH13" i="2"/>
  <c r="AX12" i="2"/>
  <c r="AW12" i="2"/>
  <c r="AV12" i="2"/>
  <c r="AU12" i="2"/>
  <c r="AT12" i="2"/>
  <c r="AS12" i="2"/>
  <c r="AR12" i="2"/>
  <c r="AQ12" i="2"/>
  <c r="AP12" i="2"/>
  <c r="AO12" i="2"/>
  <c r="AM12" i="2"/>
  <c r="R12" i="2"/>
  <c r="AH12" i="2"/>
  <c r="AX11" i="2"/>
  <c r="AW11" i="2"/>
  <c r="AV11" i="2"/>
  <c r="AU11" i="2"/>
  <c r="AT11" i="2"/>
  <c r="AS11" i="2"/>
  <c r="AR11" i="2"/>
  <c r="AQ11" i="2"/>
  <c r="AP11" i="2"/>
  <c r="AO11" i="2"/>
  <c r="AM11" i="2"/>
  <c r="R11" i="2"/>
  <c r="AH11" i="2"/>
  <c r="AX10" i="2"/>
  <c r="AW10" i="2"/>
  <c r="AV10" i="2"/>
  <c r="AU10" i="2"/>
  <c r="AT10" i="2"/>
  <c r="AS10" i="2"/>
  <c r="AR10" i="2"/>
  <c r="AQ10" i="2"/>
  <c r="AP10" i="2"/>
  <c r="AO10" i="2"/>
  <c r="AM10" i="2"/>
  <c r="R10" i="2"/>
  <c r="AH10" i="2"/>
  <c r="AX9" i="2"/>
  <c r="AW9" i="2"/>
  <c r="AV9" i="2"/>
  <c r="AU9" i="2"/>
  <c r="AT9" i="2"/>
  <c r="AT4" i="2"/>
  <c r="AT5" i="2"/>
  <c r="AT6" i="2"/>
  <c r="AT7" i="2"/>
  <c r="AT8" i="2"/>
  <c r="AT29" i="2"/>
  <c r="AS9" i="2"/>
  <c r="AR9" i="2"/>
  <c r="AQ9" i="2"/>
  <c r="AP9" i="2"/>
  <c r="AO9" i="2"/>
  <c r="AM9" i="2"/>
  <c r="R9" i="2"/>
  <c r="AH9" i="2"/>
  <c r="AX8" i="2"/>
  <c r="AW8" i="2"/>
  <c r="AV8" i="2"/>
  <c r="AU8" i="2"/>
  <c r="AS8" i="2"/>
  <c r="AR8" i="2"/>
  <c r="AQ8" i="2"/>
  <c r="AP8" i="2"/>
  <c r="AO8" i="2"/>
  <c r="AM8" i="2"/>
  <c r="R8" i="2"/>
  <c r="AH8" i="2"/>
  <c r="AX7" i="2"/>
  <c r="AW7" i="2"/>
  <c r="AV7" i="2"/>
  <c r="AV4" i="2"/>
  <c r="AV5" i="2"/>
  <c r="AV6" i="2"/>
  <c r="AV29" i="2"/>
  <c r="AU7" i="2"/>
  <c r="AS7" i="2"/>
  <c r="AR7" i="2"/>
  <c r="AQ7" i="2"/>
  <c r="AP7" i="2"/>
  <c r="AO7" i="2"/>
  <c r="AM7" i="2"/>
  <c r="AM4" i="2"/>
  <c r="AM5" i="2"/>
  <c r="AM6" i="2"/>
  <c r="AM30" i="2"/>
  <c r="R7" i="2"/>
  <c r="AH7" i="2"/>
  <c r="AX6" i="2"/>
  <c r="AW6" i="2"/>
  <c r="AU6" i="2"/>
  <c r="AS6" i="2"/>
  <c r="AR6" i="2"/>
  <c r="AQ6" i="2"/>
  <c r="AP6" i="2"/>
  <c r="AO6" i="2"/>
  <c r="R6" i="2"/>
  <c r="AH6" i="2"/>
  <c r="AX5" i="2"/>
  <c r="AW5" i="2"/>
  <c r="AU5" i="2"/>
  <c r="AS5" i="2"/>
  <c r="AR5" i="2"/>
  <c r="AR4" i="2"/>
  <c r="AR29" i="2"/>
  <c r="AQ5" i="2"/>
  <c r="AP5" i="2"/>
  <c r="AO5" i="2"/>
  <c r="R5" i="2"/>
  <c r="AH5" i="2"/>
  <c r="AX4" i="2"/>
  <c r="AW4" i="2"/>
  <c r="AW29" i="2"/>
  <c r="AU4" i="2"/>
  <c r="AU29" i="2"/>
  <c r="AS4" i="2"/>
  <c r="AQ4" i="2"/>
  <c r="AP4" i="2"/>
  <c r="AO4" i="2"/>
  <c r="AO29" i="2"/>
  <c r="H29" i="2"/>
  <c r="AM31" i="2"/>
  <c r="R4" i="2"/>
  <c r="AH4" i="2"/>
  <c r="AZ334" i="1"/>
  <c r="AW334" i="1"/>
  <c r="AZ333" i="1"/>
  <c r="AW333" i="1"/>
  <c r="AZ332" i="1"/>
  <c r="AW332" i="1"/>
  <c r="AW330" i="1"/>
  <c r="AW327" i="1"/>
  <c r="AZ326" i="1"/>
  <c r="AW326" i="1"/>
  <c r="AZ325" i="1"/>
  <c r="AW325" i="1"/>
  <c r="AZ324" i="1"/>
  <c r="AW324" i="1"/>
  <c r="AZ307" i="1"/>
  <c r="AZ306" i="1"/>
  <c r="AZ305" i="1"/>
  <c r="AZ300" i="1"/>
  <c r="AZ296" i="1"/>
  <c r="S295" i="1"/>
  <c r="AZ292" i="1"/>
  <c r="AZ290" i="1"/>
  <c r="S283" i="1"/>
  <c r="AZ283" i="1"/>
  <c r="AZ282" i="1"/>
  <c r="AZ281" i="1"/>
  <c r="AZ280" i="1"/>
  <c r="AZ279" i="1"/>
  <c r="AZ275" i="1"/>
  <c r="AZ268" i="1"/>
  <c r="AW268" i="1"/>
  <c r="AZ266" i="1"/>
  <c r="AZ257" i="1"/>
  <c r="S253" i="1"/>
  <c r="AZ245" i="1"/>
  <c r="AZ243" i="1"/>
  <c r="AZ238" i="1"/>
  <c r="AZ233" i="1"/>
  <c r="AW233" i="1"/>
  <c r="AW232" i="1"/>
  <c r="AW231" i="1"/>
  <c r="AW226" i="1"/>
  <c r="AW225" i="1"/>
  <c r="AW224" i="1"/>
  <c r="AW221" i="1"/>
  <c r="AW219" i="1"/>
  <c r="AZ217" i="1"/>
  <c r="AW217" i="1"/>
  <c r="AW212" i="1"/>
  <c r="AI212" i="1"/>
  <c r="AW210" i="1"/>
  <c r="AH210" i="1"/>
  <c r="AZ204" i="1"/>
  <c r="AW201" i="1"/>
  <c r="AW200" i="1"/>
  <c r="AW199" i="1"/>
  <c r="AW198" i="1"/>
  <c r="AZ197" i="1"/>
  <c r="AW197" i="1"/>
  <c r="AZ192" i="1"/>
  <c r="AW192" i="1"/>
  <c r="AX190" i="1"/>
  <c r="AZ166" i="1"/>
  <c r="AW166" i="1"/>
  <c r="AW154" i="1"/>
  <c r="AW145" i="1"/>
  <c r="AZ143" i="1"/>
  <c r="AW143" i="1"/>
  <c r="AW141" i="1"/>
  <c r="AW140" i="1"/>
  <c r="AM134" i="1"/>
  <c r="AK134" i="1"/>
  <c r="AW133" i="1"/>
  <c r="AW132" i="1"/>
  <c r="AZ131" i="1"/>
  <c r="AW131" i="1"/>
  <c r="AW130" i="1"/>
  <c r="AW129" i="1"/>
  <c r="AW128" i="1"/>
  <c r="AW127" i="1"/>
  <c r="AW126" i="1"/>
  <c r="AZ125" i="1"/>
  <c r="AW125" i="1"/>
  <c r="AZ120" i="1"/>
  <c r="AL120" i="1"/>
  <c r="AZ119" i="1"/>
  <c r="AW119" i="1"/>
  <c r="AW118" i="1"/>
  <c r="AZ115" i="1"/>
  <c r="AW115" i="1"/>
  <c r="AZ114" i="1"/>
  <c r="AW114" i="1"/>
  <c r="AZ105" i="1"/>
  <c r="AW105" i="1"/>
  <c r="AZ103" i="1"/>
  <c r="AW103" i="1"/>
  <c r="AZ97" i="1"/>
  <c r="AW97" i="1"/>
  <c r="AW96" i="1"/>
  <c r="AZ95" i="1"/>
  <c r="AW95" i="1"/>
  <c r="AZ92" i="1"/>
  <c r="AW92" i="1"/>
  <c r="AZ91" i="1"/>
  <c r="AZ89" i="1"/>
  <c r="AW89" i="1"/>
  <c r="AZ84" i="1"/>
  <c r="AW84" i="1"/>
  <c r="AZ83" i="1"/>
  <c r="AW83" i="1"/>
  <c r="AZ82" i="1"/>
  <c r="AW82" i="1"/>
  <c r="AZ80" i="1"/>
  <c r="AZ79" i="1"/>
  <c r="AZ78" i="1"/>
  <c r="AW78" i="1"/>
  <c r="AW71" i="1"/>
  <c r="AZ70" i="1"/>
  <c r="AW70" i="1"/>
  <c r="AZ69" i="1"/>
  <c r="AW69" i="1"/>
  <c r="AZ66" i="1"/>
  <c r="AZ64" i="1"/>
  <c r="AZ62" i="1"/>
  <c r="AZ58" i="1"/>
  <c r="AZ56" i="1"/>
  <c r="AZ55" i="1"/>
  <c r="AW55" i="1"/>
  <c r="AZ54" i="1"/>
  <c r="AZ52" i="1"/>
  <c r="AZ51" i="1"/>
  <c r="AZ50" i="1"/>
  <c r="AZ48" i="1"/>
  <c r="AZ46" i="1"/>
  <c r="AZ41" i="1"/>
  <c r="AW41" i="1"/>
  <c r="AZ38" i="1"/>
  <c r="AW38" i="1"/>
  <c r="AZ37" i="1"/>
  <c r="AW37" i="1"/>
  <c r="AZ36" i="1"/>
  <c r="AZ35" i="1"/>
  <c r="AW35" i="1"/>
  <c r="AZ34" i="1"/>
  <c r="AW34" i="1"/>
  <c r="AZ33" i="1"/>
  <c r="AW33" i="1"/>
  <c r="AZ32" i="1"/>
  <c r="AO32" i="1"/>
  <c r="AW32" i="1"/>
  <c r="AK32" i="1"/>
  <c r="AZ31" i="1"/>
  <c r="AW31" i="1"/>
  <c r="AZ30" i="1"/>
  <c r="AW30" i="1"/>
  <c r="AW29" i="1"/>
  <c r="AW28" i="1"/>
  <c r="AZ27" i="1"/>
  <c r="AI26" i="1"/>
  <c r="AZ25" i="1"/>
  <c r="AZ24" i="1"/>
  <c r="AW24" i="1"/>
  <c r="AZ23" i="1"/>
  <c r="AZ22" i="1"/>
  <c r="AW22" i="1"/>
  <c r="AW21" i="1"/>
  <c r="AZ20" i="1"/>
  <c r="AZ19" i="1"/>
  <c r="AW17" i="1"/>
  <c r="AZ16" i="1"/>
  <c r="AZ15" i="1"/>
  <c r="AZ14" i="1"/>
  <c r="AW14" i="1"/>
  <c r="AK14" i="1"/>
  <c r="AZ13" i="1"/>
  <c r="AW13" i="1"/>
  <c r="AZ12" i="1"/>
  <c r="AW12" i="1"/>
  <c r="AQ145" i="2"/>
  <c r="AX145" i="2"/>
  <c r="AP145" i="2"/>
  <c r="AW145" i="2"/>
  <c r="AO145" i="2"/>
  <c r="G171" i="2"/>
  <c r="AV145" i="2"/>
  <c r="AM145" i="2"/>
  <c r="G169" i="2"/>
  <c r="AT145" i="2"/>
  <c r="G170" i="2"/>
  <c r="AU145" i="2"/>
  <c r="AS145" i="2"/>
  <c r="AR145" i="2"/>
  <c r="AQ29" i="2"/>
  <c r="J29" i="2"/>
  <c r="AP29" i="2"/>
  <c r="I29" i="2"/>
  <c r="AX29" i="2"/>
  <c r="E29" i="2"/>
  <c r="U55" i="2"/>
  <c r="AV140" i="2"/>
  <c r="AR162" i="2"/>
  <c r="AQ192" i="2"/>
  <c r="U311" i="2"/>
  <c r="U309" i="2"/>
  <c r="U310" i="2"/>
  <c r="AH344" i="2"/>
  <c r="AO491" i="2"/>
  <c r="AW491" i="2"/>
  <c r="Z492" i="2"/>
  <c r="AU513" i="2"/>
  <c r="AO537" i="2"/>
  <c r="AW537" i="2"/>
  <c r="AH531" i="2"/>
  <c r="AW563" i="2"/>
  <c r="AJ563" i="2"/>
  <c r="T643" i="2"/>
  <c r="AV656" i="2"/>
  <c r="AQ680" i="2"/>
  <c r="J680" i="2"/>
  <c r="U748" i="2"/>
  <c r="AU790" i="2"/>
  <c r="AP917" i="2"/>
  <c r="AX917" i="2"/>
  <c r="E917" i="2"/>
  <c r="V1258" i="2"/>
  <c r="V1259" i="2"/>
  <c r="V1260" i="2"/>
  <c r="T55" i="2"/>
  <c r="AU53" i="2"/>
  <c r="T53" i="2"/>
  <c r="AP119" i="2"/>
  <c r="AX119" i="2"/>
  <c r="E119" i="2"/>
  <c r="AQ140" i="2"/>
  <c r="AQ141" i="2"/>
  <c r="G141" i="2"/>
  <c r="J141" i="2"/>
  <c r="AX140" i="2"/>
  <c r="G143" i="2"/>
  <c r="AR158" i="2"/>
  <c r="AQ309" i="2"/>
  <c r="J309" i="2"/>
  <c r="AO342" i="2"/>
  <c r="AW342" i="2"/>
  <c r="U355" i="2"/>
  <c r="AP491" i="2"/>
  <c r="AX491" i="2"/>
  <c r="E491" i="2"/>
  <c r="Z491" i="2"/>
  <c r="AH513" i="2"/>
  <c r="AV513" i="2"/>
  <c r="AP537" i="2"/>
  <c r="AX537" i="2"/>
  <c r="AP563" i="2"/>
  <c r="I563" i="2"/>
  <c r="AX563" i="2"/>
  <c r="AJ585" i="2"/>
  <c r="AJ586" i="2"/>
  <c r="AW583" i="2"/>
  <c r="AW584" i="2"/>
  <c r="AJ584" i="2"/>
  <c r="T762" i="2"/>
  <c r="T760" i="2"/>
  <c r="T761" i="2"/>
  <c r="I761" i="2"/>
  <c r="AP758" i="2"/>
  <c r="I762" i="2"/>
  <c r="R1151" i="2"/>
  <c r="R1152" i="2"/>
  <c r="R1150" i="2"/>
  <c r="AP1141" i="2"/>
  <c r="I1151" i="2"/>
  <c r="I1152" i="2"/>
  <c r="AM29" i="2"/>
  <c r="J33" i="2"/>
  <c r="AV53" i="2"/>
  <c r="AH53" i="2"/>
  <c r="U53" i="2"/>
  <c r="U54" i="2"/>
  <c r="AU72" i="2"/>
  <c r="AO72" i="2"/>
  <c r="H72" i="2"/>
  <c r="AW72" i="2"/>
  <c r="AQ119" i="2"/>
  <c r="AR309" i="2"/>
  <c r="K309" i="2"/>
  <c r="AR346" i="2"/>
  <c r="AR354" i="2"/>
  <c r="G356" i="2"/>
  <c r="AQ346" i="2"/>
  <c r="AX346" i="2"/>
  <c r="AX354" i="2"/>
  <c r="AP346" i="2"/>
  <c r="AP354" i="2"/>
  <c r="I354" i="2"/>
  <c r="AW346" i="2"/>
  <c r="AO346" i="2"/>
  <c r="AV346" i="2"/>
  <c r="AV354" i="2"/>
  <c r="AU346" i="2"/>
  <c r="AU354" i="2"/>
  <c r="T355" i="2"/>
  <c r="T354" i="2"/>
  <c r="AQ491" i="2"/>
  <c r="J491" i="2"/>
  <c r="AQ537" i="2"/>
  <c r="J537" i="2"/>
  <c r="X539" i="2"/>
  <c r="X538" i="2"/>
  <c r="AH518" i="2"/>
  <c r="AL585" i="2"/>
  <c r="AL586" i="2"/>
  <c r="R645" i="2"/>
  <c r="R643" i="2"/>
  <c r="AP746" i="2"/>
  <c r="AX746" i="2"/>
  <c r="E898" i="2"/>
  <c r="AS29" i="2"/>
  <c r="R28" i="2"/>
  <c r="AH28" i="2"/>
  <c r="AH29" i="2"/>
  <c r="J30" i="2"/>
  <c r="AH54" i="2"/>
  <c r="AH74" i="2"/>
  <c r="I171" i="2"/>
  <c r="AS309" i="2"/>
  <c r="AH342" i="2"/>
  <c r="AR491" i="2"/>
  <c r="AV537" i="2"/>
  <c r="H585" i="2"/>
  <c r="AO583" i="2"/>
  <c r="H586" i="2"/>
  <c r="AT604" i="2"/>
  <c r="M604" i="2"/>
  <c r="AQ653" i="2"/>
  <c r="AU665" i="2"/>
  <c r="AU666" i="2"/>
  <c r="AU668" i="2"/>
  <c r="AU671" i="2"/>
  <c r="G672" i="2"/>
  <c r="AT665" i="2"/>
  <c r="AS665" i="2"/>
  <c r="AS668" i="2"/>
  <c r="AS671" i="2"/>
  <c r="AR665" i="2"/>
  <c r="AQ665" i="2"/>
  <c r="G673" i="2"/>
  <c r="G671" i="2"/>
  <c r="AX665" i="2"/>
  <c r="AX666" i="2"/>
  <c r="AX668" i="2"/>
  <c r="AX669" i="2"/>
  <c r="AX671" i="2"/>
  <c r="AP665" i="2"/>
  <c r="AP666" i="2"/>
  <c r="AP668" i="2"/>
  <c r="AP669" i="2"/>
  <c r="AP671" i="2"/>
  <c r="AT668" i="2"/>
  <c r="AR668" i="2"/>
  <c r="AQ668" i="2"/>
  <c r="AW668" i="2"/>
  <c r="AO668" i="2"/>
  <c r="AQ746" i="2"/>
  <c r="J746" i="2"/>
  <c r="AU822" i="2"/>
  <c r="J883" i="2"/>
  <c r="J884" i="2"/>
  <c r="R31" i="2"/>
  <c r="R30" i="2"/>
  <c r="H54" i="2"/>
  <c r="AX141" i="2"/>
  <c r="AS146" i="2"/>
  <c r="AR146" i="2"/>
  <c r="AQ146" i="2"/>
  <c r="AX146" i="2"/>
  <c r="AP146" i="2"/>
  <c r="AV146" i="2"/>
  <c r="AM146" i="2"/>
  <c r="AM169" i="2"/>
  <c r="AQ162" i="2"/>
  <c r="AX162" i="2"/>
  <c r="AP162" i="2"/>
  <c r="AW162" i="2"/>
  <c r="AO162" i="2"/>
  <c r="AV162" i="2"/>
  <c r="AU162" i="2"/>
  <c r="AT162" i="2"/>
  <c r="AT192" i="2"/>
  <c r="AU192" i="2"/>
  <c r="AO315" i="2"/>
  <c r="H315" i="2"/>
  <c r="AW315" i="2"/>
  <c r="AS491" i="2"/>
  <c r="L491" i="2"/>
  <c r="AQ513" i="2"/>
  <c r="J513" i="2"/>
  <c r="U539" i="2"/>
  <c r="AS563" i="2"/>
  <c r="AQ582" i="2"/>
  <c r="AQ584" i="2"/>
  <c r="AX577" i="2"/>
  <c r="AP577" i="2"/>
  <c r="AO577" i="2"/>
  <c r="G584" i="2"/>
  <c r="AV577" i="2"/>
  <c r="AV578" i="2"/>
  <c r="AV579" i="2"/>
  <c r="AV580" i="2"/>
  <c r="AV581" i="2"/>
  <c r="AV582" i="2"/>
  <c r="AV583" i="2"/>
  <c r="AV584" i="2"/>
  <c r="AH577" i="2"/>
  <c r="G585" i="2"/>
  <c r="AU577" i="2"/>
  <c r="AT577" i="2"/>
  <c r="AS577" i="2"/>
  <c r="AS578" i="2"/>
  <c r="AS579" i="2"/>
  <c r="AS580" i="2"/>
  <c r="AS581" i="2"/>
  <c r="AS584" i="2"/>
  <c r="AX578" i="2"/>
  <c r="AP578" i="2"/>
  <c r="AP579" i="2"/>
  <c r="AP580" i="2"/>
  <c r="AP581" i="2"/>
  <c r="AP582" i="2"/>
  <c r="AP583" i="2"/>
  <c r="AP584" i="2"/>
  <c r="I584" i="2"/>
  <c r="AO578" i="2"/>
  <c r="AO579" i="2"/>
  <c r="AO580" i="2"/>
  <c r="AO581" i="2"/>
  <c r="AO582" i="2"/>
  <c r="AO584" i="2"/>
  <c r="H584" i="2"/>
  <c r="AH578" i="2"/>
  <c r="AU578" i="2"/>
  <c r="AT578" i="2"/>
  <c r="AX579" i="2"/>
  <c r="AH579" i="2"/>
  <c r="AU579" i="2"/>
  <c r="AT579" i="2"/>
  <c r="AX580" i="2"/>
  <c r="AH580" i="2"/>
  <c r="AU580" i="2"/>
  <c r="AT580" i="2"/>
  <c r="AX581" i="2"/>
  <c r="AH581" i="2"/>
  <c r="AU581" i="2"/>
  <c r="AT581" i="2"/>
  <c r="AX582" i="2"/>
  <c r="AH582" i="2"/>
  <c r="AU582" i="2"/>
  <c r="U582" i="2"/>
  <c r="U584" i="2"/>
  <c r="AT582" i="2"/>
  <c r="I585" i="2"/>
  <c r="I586" i="2"/>
  <c r="AM644" i="2"/>
  <c r="AM645" i="2"/>
  <c r="AM643" i="2"/>
  <c r="AO665" i="2"/>
  <c r="AO666" i="2"/>
  <c r="AO671" i="2"/>
  <c r="H671" i="2"/>
  <c r="AU680" i="2"/>
  <c r="AR746" i="2"/>
  <c r="AP760" i="2"/>
  <c r="I760" i="2"/>
  <c r="AX760" i="2"/>
  <c r="U783" i="2"/>
  <c r="T791" i="2"/>
  <c r="T790" i="2"/>
  <c r="T792" i="2"/>
  <c r="T850" i="2"/>
  <c r="AQ835" i="2"/>
  <c r="AX835" i="2"/>
  <c r="I835" i="2"/>
  <c r="AP835" i="2"/>
  <c r="AW835" i="2"/>
  <c r="AO835" i="2"/>
  <c r="AV835" i="2"/>
  <c r="AV838" i="2"/>
  <c r="AV840" i="2"/>
  <c r="AV841" i="2"/>
  <c r="AV844" i="2"/>
  <c r="AV849" i="2"/>
  <c r="AU835" i="2"/>
  <c r="AS835" i="2"/>
  <c r="AT835" i="2"/>
  <c r="AR835" i="2"/>
  <c r="AH31" i="2"/>
  <c r="R29" i="2"/>
  <c r="H55" i="2"/>
  <c r="P121" i="2"/>
  <c r="AW82" i="2"/>
  <c r="AW119" i="2"/>
  <c r="P119" i="2"/>
  <c r="AV119" i="2"/>
  <c r="AT119" i="2"/>
  <c r="U142" i="2"/>
  <c r="U141" i="2"/>
  <c r="G142" i="2"/>
  <c r="AS140" i="2"/>
  <c r="AS141" i="2"/>
  <c r="L141" i="2"/>
  <c r="AR140" i="2"/>
  <c r="AR141" i="2"/>
  <c r="K141" i="2"/>
  <c r="AW140" i="2"/>
  <c r="AW141" i="2"/>
  <c r="H140" i="2"/>
  <c r="AO140" i="2"/>
  <c r="AO141" i="2"/>
  <c r="H141" i="2"/>
  <c r="M140" i="2"/>
  <c r="AT140" i="2"/>
  <c r="AT141" i="2"/>
  <c r="M141" i="2"/>
  <c r="AM142" i="2"/>
  <c r="AM141" i="2"/>
  <c r="AQ158" i="2"/>
  <c r="AX158" i="2"/>
  <c r="AP158" i="2"/>
  <c r="AW158" i="2"/>
  <c r="AO158" i="2"/>
  <c r="AV158" i="2"/>
  <c r="AU158" i="2"/>
  <c r="AT158" i="2"/>
  <c r="AU309" i="2"/>
  <c r="T344" i="2"/>
  <c r="T343" i="2"/>
  <c r="T342" i="2"/>
  <c r="AT584" i="2"/>
  <c r="AX584" i="2"/>
  <c r="J585" i="2"/>
  <c r="J586" i="2"/>
  <c r="AM656" i="2"/>
  <c r="AV665" i="2"/>
  <c r="AV666" i="2"/>
  <c r="AV668" i="2"/>
  <c r="AV669" i="2"/>
  <c r="AV671" i="2"/>
  <c r="AS746" i="2"/>
  <c r="AQ760" i="2"/>
  <c r="J760" i="2"/>
  <c r="U792" i="2"/>
  <c r="U791" i="2"/>
  <c r="U790" i="2"/>
  <c r="AT887" i="2"/>
  <c r="AT888" i="2"/>
  <c r="AP1103" i="2"/>
  <c r="I1103" i="2"/>
  <c r="AX1103" i="2"/>
  <c r="E1103" i="2"/>
  <c r="AH30" i="2"/>
  <c r="AQ72" i="2"/>
  <c r="P120" i="2"/>
  <c r="AH143" i="2"/>
  <c r="AH142" i="2"/>
  <c r="AV141" i="2"/>
  <c r="AP140" i="2"/>
  <c r="AP141" i="2"/>
  <c r="AT342" i="2"/>
  <c r="R344" i="2"/>
  <c r="R343" i="2"/>
  <c r="R342" i="2"/>
  <c r="X493" i="2"/>
  <c r="X537" i="2"/>
  <c r="AU537" i="2"/>
  <c r="AL563" i="2"/>
  <c r="AL565" i="2"/>
  <c r="T645" i="2"/>
  <c r="AR656" i="2"/>
  <c r="AT746" i="2"/>
  <c r="AP783" i="2"/>
  <c r="V783" i="2"/>
  <c r="T822" i="2"/>
  <c r="I821" i="2"/>
  <c r="T823" i="2"/>
  <c r="T824" i="2"/>
  <c r="S143" i="2"/>
  <c r="S142" i="2"/>
  <c r="T171" i="2"/>
  <c r="T169" i="2"/>
  <c r="T170" i="2"/>
  <c r="T311" i="2"/>
  <c r="T309" i="2"/>
  <c r="AT354" i="2"/>
  <c r="AV491" i="2"/>
  <c r="AM563" i="2"/>
  <c r="AM565" i="2"/>
  <c r="AW642" i="2"/>
  <c r="AW643" i="2"/>
  <c r="J655" i="2"/>
  <c r="AQ655" i="2"/>
  <c r="AQ656" i="2"/>
  <c r="J656" i="2"/>
  <c r="T656" i="2"/>
  <c r="AX783" i="2"/>
  <c r="AW917" i="2"/>
  <c r="P917" i="2"/>
  <c r="R1021" i="2"/>
  <c r="AV1128" i="2"/>
  <c r="AH1128" i="2"/>
  <c r="AU1128" i="2"/>
  <c r="AX1128" i="2"/>
  <c r="AW1128" i="2"/>
  <c r="M1128" i="2"/>
  <c r="AT1128" i="2"/>
  <c r="AR1128" i="2"/>
  <c r="I1128" i="2"/>
  <c r="AP1128" i="2"/>
  <c r="AV1132" i="2"/>
  <c r="AH1132" i="2"/>
  <c r="AU1132" i="2"/>
  <c r="AX1132" i="2"/>
  <c r="I1132" i="2"/>
  <c r="AP1132" i="2"/>
  <c r="AW1132" i="2"/>
  <c r="AR1132" i="2"/>
  <c r="M1132" i="2"/>
  <c r="AT1132" i="2"/>
  <c r="AV1195" i="2"/>
  <c r="AU1195" i="2"/>
  <c r="AT1195" i="2"/>
  <c r="AX1195" i="2"/>
  <c r="AP1195" i="2"/>
  <c r="AS1195" i="2"/>
  <c r="AR1195" i="2"/>
  <c r="AQ1195" i="2"/>
  <c r="AO1195" i="2"/>
  <c r="AW1195" i="2"/>
  <c r="AH72" i="2"/>
  <c r="AA141" i="2"/>
  <c r="W143" i="2"/>
  <c r="AV159" i="2"/>
  <c r="AP160" i="2"/>
  <c r="AX160" i="2"/>
  <c r="AR161" i="2"/>
  <c r="AV163" i="2"/>
  <c r="AP164" i="2"/>
  <c r="AX164" i="2"/>
  <c r="R313" i="2"/>
  <c r="AV341" i="2"/>
  <c r="AV342" i="2"/>
  <c r="S342" i="2"/>
  <c r="I343" i="2"/>
  <c r="AO347" i="2"/>
  <c r="AW347" i="2"/>
  <c r="AQ348" i="2"/>
  <c r="J349" i="2"/>
  <c r="AH515" i="2"/>
  <c r="U538" i="2"/>
  <c r="AO562" i="2"/>
  <c r="AO563" i="2"/>
  <c r="H563" i="2"/>
  <c r="G565" i="2"/>
  <c r="R583" i="2"/>
  <c r="R585" i="2"/>
  <c r="AM583" i="2"/>
  <c r="S584" i="2"/>
  <c r="T585" i="2"/>
  <c r="T584" i="2"/>
  <c r="T658" i="2"/>
  <c r="AI586" i="2"/>
  <c r="AO647" i="2"/>
  <c r="AO656" i="2"/>
  <c r="H656" i="2"/>
  <c r="AR667" i="2"/>
  <c r="AT669" i="2"/>
  <c r="AT671" i="2"/>
  <c r="H682" i="2"/>
  <c r="K785" i="2"/>
  <c r="AM822" i="2"/>
  <c r="AV822" i="2"/>
  <c r="U822" i="2"/>
  <c r="J821" i="2"/>
  <c r="U824" i="2"/>
  <c r="U823" i="2"/>
  <c r="AT871" i="2"/>
  <c r="AT898" i="2"/>
  <c r="P919" i="2"/>
  <c r="AQ917" i="2"/>
  <c r="AU961" i="2"/>
  <c r="AO961" i="2"/>
  <c r="H961" i="2"/>
  <c r="AW961" i="2"/>
  <c r="R992" i="2"/>
  <c r="AQ991" i="2"/>
  <c r="AR1020" i="2"/>
  <c r="AU1034" i="2"/>
  <c r="AX1034" i="2"/>
  <c r="I1055" i="2"/>
  <c r="AM1055" i="2"/>
  <c r="AX1111" i="2"/>
  <c r="AW1111" i="2"/>
  <c r="AO1111" i="2"/>
  <c r="AU1111" i="2"/>
  <c r="AR1111" i="2"/>
  <c r="AH1111" i="2"/>
  <c r="J1111" i="2"/>
  <c r="AQ1111" i="2"/>
  <c r="I1111" i="2"/>
  <c r="AP1111" i="2"/>
  <c r="AV1111" i="2"/>
  <c r="G1197" i="2"/>
  <c r="AR1707" i="2"/>
  <c r="J1707" i="2"/>
  <c r="AQ1707" i="2"/>
  <c r="AX1707" i="2"/>
  <c r="AW1707" i="2"/>
  <c r="I1707" i="2"/>
  <c r="AP1707" i="2"/>
  <c r="AT1707" i="2"/>
  <c r="AH1707" i="2"/>
  <c r="AV1707" i="2"/>
  <c r="G1709" i="2"/>
  <c r="H1707" i="2"/>
  <c r="AO1707" i="2"/>
  <c r="AS1707" i="2"/>
  <c r="AU1707" i="2"/>
  <c r="AS161" i="2"/>
  <c r="S316" i="2"/>
  <c r="AM356" i="2"/>
  <c r="R564" i="2"/>
  <c r="T657" i="2"/>
  <c r="AX642" i="2"/>
  <c r="AX643" i="2"/>
  <c r="H657" i="2"/>
  <c r="R963" i="2"/>
  <c r="R962" i="2"/>
  <c r="AH941" i="2"/>
  <c r="AT972" i="2"/>
  <c r="AS1020" i="2"/>
  <c r="L1020" i="2"/>
  <c r="T1054" i="2"/>
  <c r="T1056" i="2"/>
  <c r="T1055" i="2"/>
  <c r="T1454" i="2"/>
  <c r="T1452" i="2"/>
  <c r="T1453" i="2"/>
  <c r="AR160" i="2"/>
  <c r="AT161" i="2"/>
  <c r="AR164" i="2"/>
  <c r="AP341" i="2"/>
  <c r="AP342" i="2"/>
  <c r="G342" i="2"/>
  <c r="I342" i="2"/>
  <c r="AX341" i="2"/>
  <c r="AX342" i="2"/>
  <c r="E342" i="2"/>
  <c r="U354" i="2"/>
  <c r="X492" i="2"/>
  <c r="H642" i="2"/>
  <c r="AQ642" i="2"/>
  <c r="AQ643" i="2"/>
  <c r="G643" i="2"/>
  <c r="G645" i="2"/>
  <c r="I657" i="2"/>
  <c r="AW666" i="2"/>
  <c r="AW671" i="2"/>
  <c r="AQ777" i="2"/>
  <c r="AQ783" i="2"/>
  <c r="J783" i="2"/>
  <c r="AS783" i="2"/>
  <c r="T883" i="2"/>
  <c r="AS917" i="2"/>
  <c r="AS961" i="2"/>
  <c r="AQ961" i="2"/>
  <c r="T962" i="2"/>
  <c r="I981" i="2"/>
  <c r="AS991" i="2"/>
  <c r="R1022" i="2"/>
  <c r="AT1020" i="2"/>
  <c r="M1020" i="2"/>
  <c r="AW1034" i="2"/>
  <c r="U1137" i="2"/>
  <c r="U1135" i="2"/>
  <c r="J1107" i="2"/>
  <c r="U1136" i="2"/>
  <c r="M1108" i="2"/>
  <c r="Z1108" i="2"/>
  <c r="AS160" i="2"/>
  <c r="AU161" i="2"/>
  <c r="AS164" i="2"/>
  <c r="S317" i="2"/>
  <c r="AM354" i="2"/>
  <c r="Z538" i="2"/>
  <c r="I642" i="2"/>
  <c r="AR642" i="2"/>
  <c r="AR643" i="2"/>
  <c r="G644" i="2"/>
  <c r="R746" i="2"/>
  <c r="R748" i="2"/>
  <c r="K784" i="2"/>
  <c r="U785" i="2"/>
  <c r="AX822" i="2"/>
  <c r="T849" i="2"/>
  <c r="AM850" i="2"/>
  <c r="AO860" i="2"/>
  <c r="AO865" i="2"/>
  <c r="H898" i="2"/>
  <c r="AP937" i="2"/>
  <c r="I937" i="2"/>
  <c r="AX937" i="2"/>
  <c r="AV937" i="2"/>
  <c r="AT937" i="2"/>
  <c r="AR961" i="2"/>
  <c r="AT991" i="2"/>
  <c r="X1021" i="2"/>
  <c r="AU1020" i="2"/>
  <c r="T1036" i="2"/>
  <c r="T1034" i="2"/>
  <c r="AP1150" i="2"/>
  <c r="I1150" i="2"/>
  <c r="AR159" i="2"/>
  <c r="AT160" i="2"/>
  <c r="AV161" i="2"/>
  <c r="AR163" i="2"/>
  <c r="AT164" i="2"/>
  <c r="AR341" i="2"/>
  <c r="AR342" i="2"/>
  <c r="AH343" i="2"/>
  <c r="AH517" i="2"/>
  <c r="S565" i="2"/>
  <c r="S658" i="2"/>
  <c r="AR583" i="2"/>
  <c r="AR584" i="2"/>
  <c r="AS642" i="2"/>
  <c r="AS643" i="2"/>
  <c r="AQ666" i="2"/>
  <c r="AQ671" i="2"/>
  <c r="AO675" i="2"/>
  <c r="AO680" i="2"/>
  <c r="H680" i="2"/>
  <c r="AH684" i="2"/>
  <c r="V785" i="2"/>
  <c r="AR783" i="2"/>
  <c r="K783" i="2"/>
  <c r="AU783" i="2"/>
  <c r="AR822" i="2"/>
  <c r="AR888" i="2"/>
  <c r="AV898" i="2"/>
  <c r="AU917" i="2"/>
  <c r="P918" i="2"/>
  <c r="AU991" i="2"/>
  <c r="Z1021" i="2"/>
  <c r="AV1020" i="2"/>
  <c r="AM1036" i="2"/>
  <c r="T1035" i="2"/>
  <c r="AV1103" i="2"/>
  <c r="M1111" i="2"/>
  <c r="AT1111" i="2"/>
  <c r="Z1111" i="2"/>
  <c r="AT1113" i="2"/>
  <c r="AS1113" i="2"/>
  <c r="AO1113" i="2"/>
  <c r="AX1113" i="2"/>
  <c r="AH1113" i="2"/>
  <c r="AW1113" i="2"/>
  <c r="AV1113" i="2"/>
  <c r="AU1113" i="2"/>
  <c r="AR1113" i="2"/>
  <c r="AQ1113" i="2"/>
  <c r="AO161" i="2"/>
  <c r="X491" i="2"/>
  <c r="U746" i="2"/>
  <c r="AV783" i="2"/>
  <c r="AS822" i="2"/>
  <c r="G851" i="2"/>
  <c r="AS833" i="2"/>
  <c r="AS834" i="2"/>
  <c r="AS836" i="2"/>
  <c r="AS840" i="2"/>
  <c r="AS841" i="2"/>
  <c r="AS843" i="2"/>
  <c r="AS844" i="2"/>
  <c r="AS849" i="2"/>
  <c r="AR833" i="2"/>
  <c r="AR834" i="2"/>
  <c r="AR839" i="2"/>
  <c r="AR842" i="2"/>
  <c r="AR843" i="2"/>
  <c r="AR849" i="2"/>
  <c r="G849" i="2"/>
  <c r="AQ833" i="2"/>
  <c r="AX833" i="2"/>
  <c r="AX838" i="2"/>
  <c r="AX841" i="2"/>
  <c r="AX842" i="2"/>
  <c r="AX849" i="2"/>
  <c r="I833" i="2"/>
  <c r="AP833" i="2"/>
  <c r="I834" i="2"/>
  <c r="AP834" i="2"/>
  <c r="AP838" i="2"/>
  <c r="AP841" i="2"/>
  <c r="AP842" i="2"/>
  <c r="AP849" i="2"/>
  <c r="I849" i="2"/>
  <c r="G850" i="2"/>
  <c r="AW833" i="2"/>
  <c r="AW838" i="2"/>
  <c r="AW841" i="2"/>
  <c r="AW849" i="2"/>
  <c r="AO833" i="2"/>
  <c r="AO838" i="2"/>
  <c r="AO840" i="2"/>
  <c r="AO841" i="2"/>
  <c r="AO844" i="2"/>
  <c r="AO849" i="2"/>
  <c r="AU833" i="2"/>
  <c r="AU834" i="2"/>
  <c r="AU841" i="2"/>
  <c r="AU849" i="2"/>
  <c r="AQ871" i="2"/>
  <c r="AX871" i="2"/>
  <c r="AX874" i="2"/>
  <c r="AX877" i="2"/>
  <c r="AX882" i="2"/>
  <c r="AP871" i="2"/>
  <c r="AW871" i="2"/>
  <c r="AW874" i="2"/>
  <c r="AW876" i="2"/>
  <c r="AW877" i="2"/>
  <c r="AW882" i="2"/>
  <c r="AO871" i="2"/>
  <c r="AO874" i="2"/>
  <c r="AO876" i="2"/>
  <c r="AO877" i="2"/>
  <c r="AO882" i="2"/>
  <c r="AV871" i="2"/>
  <c r="U871" i="2"/>
  <c r="AU871" i="2"/>
  <c r="AS871" i="2"/>
  <c r="AQ877" i="2"/>
  <c r="AV877" i="2"/>
  <c r="AU877" i="2"/>
  <c r="AS877" i="2"/>
  <c r="I877" i="2"/>
  <c r="AP877" i="2"/>
  <c r="AT961" i="2"/>
  <c r="E961" i="2"/>
  <c r="AV991" i="2"/>
  <c r="AV1112" i="2"/>
  <c r="AH1112" i="2"/>
  <c r="AU1112" i="2"/>
  <c r="AX1112" i="2"/>
  <c r="AW1112" i="2"/>
  <c r="AT1112" i="2"/>
  <c r="AS1112" i="2"/>
  <c r="AR1112" i="2"/>
  <c r="AQ1112" i="2"/>
  <c r="AP1112" i="2"/>
  <c r="AT838" i="2"/>
  <c r="T851" i="2"/>
  <c r="AS860" i="2"/>
  <c r="AS865" i="2"/>
  <c r="G867" i="2"/>
  <c r="AT874" i="2"/>
  <c r="AT978" i="2"/>
  <c r="AT979" i="2"/>
  <c r="R993" i="2"/>
  <c r="AM1035" i="2"/>
  <c r="AM1056" i="2"/>
  <c r="AX1041" i="2"/>
  <c r="AX1047" i="2"/>
  <c r="AX1054" i="2"/>
  <c r="E1054" i="2"/>
  <c r="AP1041" i="2"/>
  <c r="AT1041" i="2"/>
  <c r="J1103" i="2"/>
  <c r="AV1191" i="2"/>
  <c r="AV1192" i="2"/>
  <c r="AV1196" i="2"/>
  <c r="AV1197" i="2"/>
  <c r="AU1191" i="2"/>
  <c r="AU1197" i="2"/>
  <c r="AT1191" i="2"/>
  <c r="AX1191" i="2"/>
  <c r="AX1192" i="2"/>
  <c r="AX1193" i="2"/>
  <c r="AX1196" i="2"/>
  <c r="AX1197" i="2"/>
  <c r="AP1191" i="2"/>
  <c r="AR1191" i="2"/>
  <c r="AQ1191" i="2"/>
  <c r="AQ1192" i="2"/>
  <c r="AQ1193" i="2"/>
  <c r="AQ1196" i="2"/>
  <c r="AQ1197" i="2"/>
  <c r="J1197" i="2"/>
  <c r="AO1191" i="2"/>
  <c r="AO1192" i="2"/>
  <c r="AO1193" i="2"/>
  <c r="AO1196" i="2"/>
  <c r="AO1197" i="2"/>
  <c r="V1297" i="2"/>
  <c r="V1317" i="2"/>
  <c r="W1315" i="2"/>
  <c r="V1316" i="2"/>
  <c r="W1316" i="2"/>
  <c r="W1317" i="2"/>
  <c r="R1361" i="2"/>
  <c r="R1360" i="2"/>
  <c r="R1359" i="2"/>
  <c r="AM823" i="2"/>
  <c r="AQ843" i="2"/>
  <c r="AU860" i="2"/>
  <c r="AU865" i="2"/>
  <c r="T867" i="2"/>
  <c r="AR870" i="2"/>
  <c r="U874" i="2"/>
  <c r="AV874" i="2"/>
  <c r="AT876" i="2"/>
  <c r="G882" i="2"/>
  <c r="AV887" i="2"/>
  <c r="AV888" i="2"/>
  <c r="G889" i="2"/>
  <c r="P899" i="2"/>
  <c r="R961" i="2"/>
  <c r="AV978" i="2"/>
  <c r="AV979" i="2"/>
  <c r="G980" i="2"/>
  <c r="R991" i="2"/>
  <c r="AP1025" i="2"/>
  <c r="AP1034" i="2"/>
  <c r="I1034" i="2"/>
  <c r="AQ1028" i="2"/>
  <c r="AQ1034" i="2"/>
  <c r="AS1029" i="2"/>
  <c r="AP1039" i="2"/>
  <c r="AV1041" i="2"/>
  <c r="AO1045" i="2"/>
  <c r="AW1046" i="2"/>
  <c r="AO1046" i="2"/>
  <c r="AV1046" i="2"/>
  <c r="AT1046" i="2"/>
  <c r="AS1103" i="2"/>
  <c r="I1262" i="2"/>
  <c r="T1292" i="2"/>
  <c r="T1293" i="2"/>
  <c r="T1291" i="2"/>
  <c r="AH794" i="2"/>
  <c r="AQ836" i="2"/>
  <c r="AQ838" i="2"/>
  <c r="AQ849" i="2"/>
  <c r="AT840" i="2"/>
  <c r="AT844" i="2"/>
  <c r="E849" i="2"/>
  <c r="AV860" i="2"/>
  <c r="AV865" i="2"/>
  <c r="AS870" i="2"/>
  <c r="AQ872" i="2"/>
  <c r="AR875" i="2"/>
  <c r="AU876" i="2"/>
  <c r="AO887" i="2"/>
  <c r="AO888" i="2"/>
  <c r="AW887" i="2"/>
  <c r="AW888" i="2"/>
  <c r="I889" i="2"/>
  <c r="Q893" i="2"/>
  <c r="AO978" i="2"/>
  <c r="AO979" i="2"/>
  <c r="AW978" i="2"/>
  <c r="AW979" i="2"/>
  <c r="I980" i="2"/>
  <c r="X1020" i="2"/>
  <c r="Z1022" i="2"/>
  <c r="AR1028" i="2"/>
  <c r="AR1034" i="2"/>
  <c r="AT1029" i="2"/>
  <c r="AM1034" i="2"/>
  <c r="AW1040" i="2"/>
  <c r="AW1041" i="2"/>
  <c r="AW1049" i="2"/>
  <c r="AW1054" i="2"/>
  <c r="AO1040" i="2"/>
  <c r="AO1041" i="2"/>
  <c r="AO1054" i="2"/>
  <c r="AT1040" i="2"/>
  <c r="AR1042" i="2"/>
  <c r="AT1043" i="2"/>
  <c r="AP1045" i="2"/>
  <c r="AU1046" i="2"/>
  <c r="AT1103" i="2"/>
  <c r="S1136" i="2"/>
  <c r="G1198" i="2"/>
  <c r="AW1423" i="2"/>
  <c r="AM824" i="2"/>
  <c r="AT834" i="2"/>
  <c r="AT843" i="2"/>
  <c r="AT849" i="2"/>
  <c r="AW860" i="2"/>
  <c r="AW865" i="2"/>
  <c r="G866" i="2"/>
  <c r="AT870" i="2"/>
  <c r="AT882" i="2"/>
  <c r="AP874" i="2"/>
  <c r="AP887" i="2"/>
  <c r="AP888" i="2"/>
  <c r="I888" i="2"/>
  <c r="AX887" i="2"/>
  <c r="AX888" i="2"/>
  <c r="AW894" i="2"/>
  <c r="R899" i="2"/>
  <c r="AP978" i="2"/>
  <c r="AP979" i="2"/>
  <c r="I979" i="2"/>
  <c r="AX978" i="2"/>
  <c r="AX979" i="2"/>
  <c r="AS1028" i="2"/>
  <c r="AU1103" i="2"/>
  <c r="H1115" i="2"/>
  <c r="AO1115" i="2"/>
  <c r="S1137" i="2"/>
  <c r="S1135" i="2"/>
  <c r="AR1150" i="2"/>
  <c r="AU1175" i="2"/>
  <c r="AT1175" i="2"/>
  <c r="AW1175" i="2"/>
  <c r="AO1175" i="2"/>
  <c r="AO1176" i="2"/>
  <c r="AO1179" i="2"/>
  <c r="AO1180" i="2"/>
  <c r="AO1186" i="2"/>
  <c r="AS1175" i="2"/>
  <c r="AR1175" i="2"/>
  <c r="AQ1175" i="2"/>
  <c r="AQ1176" i="2"/>
  <c r="AQ1179" i="2"/>
  <c r="AQ1180" i="2"/>
  <c r="AQ1186" i="2"/>
  <c r="AP1175" i="2"/>
  <c r="AS1191" i="2"/>
  <c r="AP1196" i="2"/>
  <c r="AP1192" i="2"/>
  <c r="AP1193" i="2"/>
  <c r="AP1197" i="2"/>
  <c r="I1197" i="2"/>
  <c r="AW1196" i="2"/>
  <c r="AR1196" i="2"/>
  <c r="AT1196" i="2"/>
  <c r="AS1196" i="2"/>
  <c r="R1377" i="2"/>
  <c r="R1378" i="2"/>
  <c r="R1376" i="2"/>
  <c r="R821" i="2"/>
  <c r="AH821" i="2"/>
  <c r="AP860" i="2"/>
  <c r="AP865" i="2"/>
  <c r="I865" i="2"/>
  <c r="AX860" i="2"/>
  <c r="AX865" i="2"/>
  <c r="AU870" i="2"/>
  <c r="AU882" i="2"/>
  <c r="AS872" i="2"/>
  <c r="AQ874" i="2"/>
  <c r="AQ887" i="2"/>
  <c r="AQ888" i="2"/>
  <c r="G888" i="2"/>
  <c r="G890" i="2"/>
  <c r="AH893" i="2"/>
  <c r="AQ978" i="2"/>
  <c r="AQ979" i="2"/>
  <c r="G979" i="2"/>
  <c r="G981" i="2"/>
  <c r="Z1020" i="2"/>
  <c r="G1036" i="2"/>
  <c r="AS1025" i="2"/>
  <c r="AT1028" i="2"/>
  <c r="AT1034" i="2"/>
  <c r="G1035" i="2"/>
  <c r="AV1039" i="2"/>
  <c r="AV1054" i="2"/>
  <c r="G1056" i="2"/>
  <c r="AS1039" i="2"/>
  <c r="AS1045" i="2"/>
  <c r="AS1049" i="2"/>
  <c r="AS1054" i="2"/>
  <c r="AQ1041" i="2"/>
  <c r="AQ1047" i="2"/>
  <c r="AQ1054" i="2"/>
  <c r="AT1042" i="2"/>
  <c r="AP1047" i="2"/>
  <c r="AU1047" i="2"/>
  <c r="AU1049" i="2"/>
  <c r="AT1049" i="2"/>
  <c r="R1120" i="2"/>
  <c r="H1120" i="2"/>
  <c r="AO1120" i="2"/>
  <c r="AW1191" i="2"/>
  <c r="AT1376" i="2"/>
  <c r="AQ1376" i="2"/>
  <c r="AQ860" i="2"/>
  <c r="AQ865" i="2"/>
  <c r="U870" i="2"/>
  <c r="AV870" i="2"/>
  <c r="AP876" i="2"/>
  <c r="AW893" i="2"/>
  <c r="AW898" i="2"/>
  <c r="I1056" i="2"/>
  <c r="AR1041" i="2"/>
  <c r="AR1054" i="2"/>
  <c r="AU1045" i="2"/>
  <c r="AU1054" i="2"/>
  <c r="AT1045" i="2"/>
  <c r="AO1103" i="2"/>
  <c r="H1103" i="2"/>
  <c r="AW1103" i="2"/>
  <c r="T1136" i="2"/>
  <c r="T1137" i="2"/>
  <c r="T1135" i="2"/>
  <c r="I1107" i="2"/>
  <c r="AT1150" i="2"/>
  <c r="AS1273" i="2"/>
  <c r="AR1273" i="2"/>
  <c r="AQ1273" i="2"/>
  <c r="AX1273" i="2"/>
  <c r="AP1273" i="2"/>
  <c r="AW1273" i="2"/>
  <c r="AO1273" i="2"/>
  <c r="AU1273" i="2"/>
  <c r="AV1273" i="2"/>
  <c r="AT1273" i="2"/>
  <c r="T1316" i="2"/>
  <c r="X1136" i="2"/>
  <c r="AM1188" i="2"/>
  <c r="AM1187" i="2"/>
  <c r="AW1176" i="2"/>
  <c r="AV1176" i="2"/>
  <c r="AV1179" i="2"/>
  <c r="AV1180" i="2"/>
  <c r="AV1186" i="2"/>
  <c r="AU1176" i="2"/>
  <c r="AU1179" i="2"/>
  <c r="AT1179" i="2"/>
  <c r="AW1179" i="2"/>
  <c r="AM1186" i="2"/>
  <c r="AW1192" i="2"/>
  <c r="AR1192" i="2"/>
  <c r="AR1193" i="2"/>
  <c r="AT1193" i="2"/>
  <c r="AW1193" i="2"/>
  <c r="R1260" i="2"/>
  <c r="R1258" i="2"/>
  <c r="AM1316" i="2"/>
  <c r="AM1317" i="2"/>
  <c r="AM1315" i="2"/>
  <c r="AU1359" i="2"/>
  <c r="U1361" i="2"/>
  <c r="U1360" i="2"/>
  <c r="U1359" i="2"/>
  <c r="AX1375" i="2"/>
  <c r="AX1376" i="2"/>
  <c r="AM1453" i="2"/>
  <c r="AR1443" i="2"/>
  <c r="U1498" i="2"/>
  <c r="U1499" i="2"/>
  <c r="U1500" i="2"/>
  <c r="AS1498" i="2"/>
  <c r="AQ1495" i="2"/>
  <c r="J1499" i="2"/>
  <c r="AX1555" i="2"/>
  <c r="J1583" i="2"/>
  <c r="AQ1571" i="2"/>
  <c r="AQ1582" i="2"/>
  <c r="J1582" i="2"/>
  <c r="J1584" i="2"/>
  <c r="T2019" i="2"/>
  <c r="T2021" i="2"/>
  <c r="T2020" i="2"/>
  <c r="Y1137" i="2"/>
  <c r="Y1135" i="2"/>
  <c r="AO1108" i="2"/>
  <c r="AX1108" i="2"/>
  <c r="J1110" i="2"/>
  <c r="AQ1110" i="2"/>
  <c r="AR1110" i="2"/>
  <c r="L1111" i="2"/>
  <c r="AS1111" i="2"/>
  <c r="AS1114" i="2"/>
  <c r="AR1126" i="2"/>
  <c r="AQ1126" i="2"/>
  <c r="AV1126" i="2"/>
  <c r="AV1130" i="2"/>
  <c r="AV1134" i="2"/>
  <c r="X1135" i="2"/>
  <c r="Y1136" i="2"/>
  <c r="AX1176" i="2"/>
  <c r="AX1179" i="2"/>
  <c r="AR1197" i="2"/>
  <c r="T1197" i="2"/>
  <c r="AQ1275" i="2"/>
  <c r="AX1275" i="2"/>
  <c r="AX1274" i="2"/>
  <c r="AX1282" i="2"/>
  <c r="AX1285" i="2"/>
  <c r="AX1286" i="2"/>
  <c r="AX1287" i="2"/>
  <c r="AX1291" i="2"/>
  <c r="AW1275" i="2"/>
  <c r="AO1275" i="2"/>
  <c r="AV1275" i="2"/>
  <c r="AU1275" i="2"/>
  <c r="AS1275" i="2"/>
  <c r="AS1285" i="2"/>
  <c r="AR1285" i="2"/>
  <c r="AQ1285" i="2"/>
  <c r="I1285" i="2"/>
  <c r="AP1285" i="2"/>
  <c r="AW1285" i="2"/>
  <c r="AO1285" i="2"/>
  <c r="AU1285" i="2"/>
  <c r="AW1315" i="2"/>
  <c r="H1330" i="2"/>
  <c r="AT1359" i="2"/>
  <c r="AO1436" i="2"/>
  <c r="AJ1436" i="2"/>
  <c r="AM1452" i="2"/>
  <c r="AO1498" i="2"/>
  <c r="AM1054" i="2"/>
  <c r="G1136" i="2"/>
  <c r="G1137" i="2"/>
  <c r="G1135" i="2"/>
  <c r="AW1107" i="2"/>
  <c r="AO1107" i="2"/>
  <c r="Z1107" i="2"/>
  <c r="AU1107" i="2"/>
  <c r="AP1108" i="2"/>
  <c r="AS1109" i="2"/>
  <c r="L1110" i="2"/>
  <c r="AS1110" i="2"/>
  <c r="AT1114" i="2"/>
  <c r="R1118" i="2"/>
  <c r="AW1126" i="2"/>
  <c r="J1128" i="2"/>
  <c r="AQ1128" i="2"/>
  <c r="AU1129" i="2"/>
  <c r="J1132" i="2"/>
  <c r="AQ1132" i="2"/>
  <c r="AU1133" i="2"/>
  <c r="X1137" i="2"/>
  <c r="T1150" i="2"/>
  <c r="AW1150" i="2"/>
  <c r="AW1180" i="2"/>
  <c r="AW1186" i="2"/>
  <c r="AU1180" i="2"/>
  <c r="AU1186" i="2"/>
  <c r="G1199" i="2"/>
  <c r="U1197" i="2"/>
  <c r="I1275" i="2"/>
  <c r="AP1275" i="2"/>
  <c r="AP1315" i="2"/>
  <c r="I1315" i="2"/>
  <c r="E1330" i="2"/>
  <c r="AO1359" i="2"/>
  <c r="H1359" i="2"/>
  <c r="AW1359" i="2"/>
  <c r="AQ1423" i="2"/>
  <c r="AM1454" i="2"/>
  <c r="AQ1445" i="2"/>
  <c r="AT1445" i="2"/>
  <c r="AS1445" i="2"/>
  <c r="AR1445" i="2"/>
  <c r="AP1445" i="2"/>
  <c r="AO1445" i="2"/>
  <c r="AX1445" i="2"/>
  <c r="AV1445" i="2"/>
  <c r="AV1443" i="2"/>
  <c r="AV1444" i="2"/>
  <c r="AV1452" i="2"/>
  <c r="AP1582" i="2"/>
  <c r="I1582" i="2"/>
  <c r="U2256" i="2"/>
  <c r="U2254" i="2"/>
  <c r="U2255" i="2"/>
  <c r="AR1108" i="2"/>
  <c r="AR1129" i="2"/>
  <c r="AR1130" i="2"/>
  <c r="AR1133" i="2"/>
  <c r="AR1134" i="2"/>
  <c r="AR1135" i="2"/>
  <c r="AT1110" i="2"/>
  <c r="AU1114" i="2"/>
  <c r="AA1135" i="2"/>
  <c r="AA1136" i="2"/>
  <c r="T1152" i="2"/>
  <c r="AO1150" i="2"/>
  <c r="H1150" i="2"/>
  <c r="AT1186" i="2"/>
  <c r="I1187" i="2"/>
  <c r="AR1275" i="2"/>
  <c r="AT1285" i="2"/>
  <c r="AQ1330" i="2"/>
  <c r="AX1359" i="2"/>
  <c r="E1359" i="2"/>
  <c r="AT1391" i="2"/>
  <c r="AR1391" i="2"/>
  <c r="L1126" i="2"/>
  <c r="AS1126" i="2"/>
  <c r="AS1127" i="2"/>
  <c r="L1128" i="2"/>
  <c r="AS1128" i="2"/>
  <c r="AQ1130" i="2"/>
  <c r="AT1130" i="2"/>
  <c r="AH1130" i="2"/>
  <c r="L1132" i="2"/>
  <c r="AS1132" i="2"/>
  <c r="AQ1134" i="2"/>
  <c r="AT1134" i="2"/>
  <c r="AH1134" i="2"/>
  <c r="AA1137" i="2"/>
  <c r="T1151" i="2"/>
  <c r="AP1176" i="2"/>
  <c r="AP1179" i="2"/>
  <c r="R1259" i="2"/>
  <c r="AT1275" i="2"/>
  <c r="AQ1282" i="2"/>
  <c r="AP1282" i="2"/>
  <c r="AW1282" i="2"/>
  <c r="AO1282" i="2"/>
  <c r="AV1282" i="2"/>
  <c r="AU1282" i="2"/>
  <c r="AS1282" i="2"/>
  <c r="AV1285" i="2"/>
  <c r="AQ1287" i="2"/>
  <c r="AP1287" i="2"/>
  <c r="AW1287" i="2"/>
  <c r="AO1287" i="2"/>
  <c r="AV1287" i="2"/>
  <c r="AU1287" i="2"/>
  <c r="AS1287" i="2"/>
  <c r="AR1315" i="2"/>
  <c r="K1315" i="2"/>
  <c r="AU1443" i="2"/>
  <c r="AX1443" i="2"/>
  <c r="AX1444" i="2"/>
  <c r="AX1447" i="2"/>
  <c r="AX1452" i="2"/>
  <c r="AP1443" i="2"/>
  <c r="AQ1443" i="2"/>
  <c r="AO1443" i="2"/>
  <c r="G1452" i="2"/>
  <c r="AW1443" i="2"/>
  <c r="AS1443" i="2"/>
  <c r="AS1452" i="2"/>
  <c r="AO1468" i="2"/>
  <c r="H1468" i="2"/>
  <c r="AT1468" i="2"/>
  <c r="AV1567" i="2"/>
  <c r="AR1567" i="2"/>
  <c r="AR1709" i="2"/>
  <c r="T2059" i="2"/>
  <c r="T2060" i="2"/>
  <c r="AP2048" i="2"/>
  <c r="AP2049" i="2"/>
  <c r="AP2053" i="2"/>
  <c r="AP2054" i="2"/>
  <c r="AP2055" i="2"/>
  <c r="AP2059" i="2"/>
  <c r="G2059" i="2"/>
  <c r="I2059" i="2"/>
  <c r="I2061" i="2"/>
  <c r="T2211" i="2"/>
  <c r="T2210" i="2"/>
  <c r="T2209" i="2"/>
  <c r="AP2207" i="2"/>
  <c r="I2211" i="2"/>
  <c r="I2210" i="2"/>
  <c r="AQ1108" i="2"/>
  <c r="AT1108" i="2"/>
  <c r="M1129" i="2"/>
  <c r="AT1129" i="2"/>
  <c r="M1133" i="2"/>
  <c r="AT1133" i="2"/>
  <c r="AT1135" i="2"/>
  <c r="M1135" i="2"/>
  <c r="AV1110" i="2"/>
  <c r="AV1114" i="2"/>
  <c r="AV1135" i="2"/>
  <c r="AH1110" i="2"/>
  <c r="AH1114" i="2"/>
  <c r="AH1137" i="2"/>
  <c r="AU1110" i="2"/>
  <c r="AX1110" i="2"/>
  <c r="AW1114" i="2"/>
  <c r="AO1114" i="2"/>
  <c r="AX1129" i="2"/>
  <c r="AX1133" i="2"/>
  <c r="AX1135" i="2"/>
  <c r="AP1129" i="2"/>
  <c r="AW1129" i="2"/>
  <c r="AO1129" i="2"/>
  <c r="AP1133" i="2"/>
  <c r="AW1133" i="2"/>
  <c r="AO1133" i="2"/>
  <c r="AX1177" i="2"/>
  <c r="AX1181" i="2"/>
  <c r="AX1186" i="2"/>
  <c r="E1186" i="2"/>
  <c r="AR1176" i="2"/>
  <c r="AW1197" i="2"/>
  <c r="AS1192" i="2"/>
  <c r="AS1193" i="2"/>
  <c r="S1317" i="2"/>
  <c r="S1315" i="2"/>
  <c r="S1316" i="2"/>
  <c r="R1295" i="2"/>
  <c r="T1378" i="2"/>
  <c r="I1375" i="2"/>
  <c r="I1377" i="2"/>
  <c r="T1376" i="2"/>
  <c r="T1377" i="2"/>
  <c r="I1454" i="2"/>
  <c r="U1584" i="2"/>
  <c r="U1583" i="2"/>
  <c r="U1582" i="2"/>
  <c r="AP1587" i="2"/>
  <c r="AP1591" i="2"/>
  <c r="AS1177" i="2"/>
  <c r="AS1181" i="2"/>
  <c r="AS1186" i="2"/>
  <c r="AQ1269" i="2"/>
  <c r="AQ1270" i="2"/>
  <c r="AQ1277" i="2"/>
  <c r="AQ1278" i="2"/>
  <c r="AQ1289" i="2"/>
  <c r="AQ1290" i="2"/>
  <c r="AQ1291" i="2"/>
  <c r="AT1270" i="2"/>
  <c r="AR1272" i="2"/>
  <c r="AR1284" i="2"/>
  <c r="AR1291" i="2"/>
  <c r="AP1274" i="2"/>
  <c r="AT1278" i="2"/>
  <c r="AP1286" i="2"/>
  <c r="AT1290" i="2"/>
  <c r="AQ1315" i="2"/>
  <c r="J1315" i="2"/>
  <c r="I1317" i="2"/>
  <c r="AV1423" i="2"/>
  <c r="AQ1441" i="2"/>
  <c r="AQ1447" i="2"/>
  <c r="AQ1452" i="2"/>
  <c r="AT1441" i="2"/>
  <c r="AT1447" i="2"/>
  <c r="AT1452" i="2"/>
  <c r="AU1441" i="2"/>
  <c r="AU1447" i="2"/>
  <c r="AP1447" i="2"/>
  <c r="AT1474" i="2"/>
  <c r="AT1475" i="2"/>
  <c r="AW1498" i="2"/>
  <c r="AP1519" i="2"/>
  <c r="AX1542" i="2"/>
  <c r="AT1555" i="2"/>
  <c r="AO1582" i="2"/>
  <c r="H1582" i="2"/>
  <c r="I1584" i="2"/>
  <c r="I2060" i="2"/>
  <c r="AQ2055" i="2"/>
  <c r="AX2055" i="2"/>
  <c r="AW2055" i="2"/>
  <c r="AO2055" i="2"/>
  <c r="AV2055" i="2"/>
  <c r="AU2055" i="2"/>
  <c r="AS2055" i="2"/>
  <c r="AT2055" i="2"/>
  <c r="AR2055" i="2"/>
  <c r="AX2122" i="2"/>
  <c r="AS1269" i="2"/>
  <c r="AT1272" i="2"/>
  <c r="AS1277" i="2"/>
  <c r="AT1284" i="2"/>
  <c r="AS1289" i="2"/>
  <c r="G1292" i="2"/>
  <c r="T1315" i="2"/>
  <c r="AV1359" i="2"/>
  <c r="G1476" i="2"/>
  <c r="AS1473" i="2"/>
  <c r="G1477" i="2"/>
  <c r="G1475" i="2"/>
  <c r="AV1473" i="2"/>
  <c r="AV1474" i="2"/>
  <c r="AV1475" i="2"/>
  <c r="AR1473" i="2"/>
  <c r="AR1475" i="2"/>
  <c r="AW1473" i="2"/>
  <c r="AW1475" i="2"/>
  <c r="AX1473" i="2"/>
  <c r="AX1474" i="2"/>
  <c r="AX1475" i="2"/>
  <c r="AQ1498" i="2"/>
  <c r="J1498" i="2"/>
  <c r="M1519" i="2"/>
  <c r="AV1587" i="2"/>
  <c r="AV1591" i="2"/>
  <c r="AM1587" i="2"/>
  <c r="AQ1587" i="2"/>
  <c r="AO1587" i="2"/>
  <c r="AX1587" i="2"/>
  <c r="AT1587" i="2"/>
  <c r="AS1615" i="2"/>
  <c r="AV1615" i="2"/>
  <c r="AH1615" i="2"/>
  <c r="AU1615" i="2"/>
  <c r="AT1615" i="2"/>
  <c r="AR1615" i="2"/>
  <c r="AP1615" i="2"/>
  <c r="AO1615" i="2"/>
  <c r="R1781" i="2"/>
  <c r="R1783" i="2"/>
  <c r="R1784" i="2"/>
  <c r="I2296" i="2"/>
  <c r="AP2294" i="2"/>
  <c r="I2297" i="2"/>
  <c r="AT1269" i="2"/>
  <c r="AT1274" i="2"/>
  <c r="AT1277" i="2"/>
  <c r="AT1286" i="2"/>
  <c r="AT1289" i="2"/>
  <c r="AT1291" i="2"/>
  <c r="U1316" i="2"/>
  <c r="AR1376" i="2"/>
  <c r="AU1468" i="2"/>
  <c r="AQ1474" i="2"/>
  <c r="AQ1475" i="2"/>
  <c r="AO1474" i="2"/>
  <c r="AS1474" i="2"/>
  <c r="AR1582" i="2"/>
  <c r="I1583" i="2"/>
  <c r="AT1586" i="2"/>
  <c r="AW1586" i="2"/>
  <c r="AW1591" i="2"/>
  <c r="AO1586" i="2"/>
  <c r="AO1591" i="2"/>
  <c r="G1593" i="2"/>
  <c r="AS1586" i="2"/>
  <c r="AR1586" i="2"/>
  <c r="AQ1586" i="2"/>
  <c r="G1591" i="2"/>
  <c r="AX1586" i="2"/>
  <c r="I1593" i="2"/>
  <c r="AQ1615" i="2"/>
  <c r="AP1666" i="2"/>
  <c r="AM1197" i="2"/>
  <c r="I1269" i="2"/>
  <c r="AP1269" i="2"/>
  <c r="AU1269" i="2"/>
  <c r="AU1274" i="2"/>
  <c r="AU1277" i="2"/>
  <c r="AU1286" i="2"/>
  <c r="AU1289" i="2"/>
  <c r="AU1291" i="2"/>
  <c r="AV1272" i="2"/>
  <c r="I1277" i="2"/>
  <c r="AP1277" i="2"/>
  <c r="AV1284" i="2"/>
  <c r="I1289" i="2"/>
  <c r="AP1289" i="2"/>
  <c r="U1315" i="2"/>
  <c r="I1316" i="2"/>
  <c r="T1317" i="2"/>
  <c r="AS1375" i="2"/>
  <c r="AS1376" i="2"/>
  <c r="H1375" i="2"/>
  <c r="AU1375" i="2"/>
  <c r="AU1376" i="2"/>
  <c r="G1377" i="2"/>
  <c r="AO1441" i="2"/>
  <c r="AO1440" i="2"/>
  <c r="AO1444" i="2"/>
  <c r="AO1447" i="2"/>
  <c r="AO1452" i="2"/>
  <c r="AW1444" i="2"/>
  <c r="AR1444" i="2"/>
  <c r="AU1444" i="2"/>
  <c r="AM1470" i="2"/>
  <c r="AM1468" i="2"/>
  <c r="AP1555" i="2"/>
  <c r="AV1555" i="2"/>
  <c r="AS1582" i="2"/>
  <c r="AU1614" i="2"/>
  <c r="AU1617" i="2"/>
  <c r="AW1615" i="2"/>
  <c r="AM1710" i="2"/>
  <c r="AM1711" i="2"/>
  <c r="AM1709" i="2"/>
  <c r="AQ2019" i="2"/>
  <c r="J2019" i="2"/>
  <c r="R1114" i="2"/>
  <c r="AR1174" i="2"/>
  <c r="AR1178" i="2"/>
  <c r="AR1186" i="2"/>
  <c r="AP1177" i="2"/>
  <c r="AP1181" i="2"/>
  <c r="AP1186" i="2"/>
  <c r="I1186" i="2"/>
  <c r="G1187" i="2"/>
  <c r="AS1190" i="2"/>
  <c r="AS1268" i="2"/>
  <c r="AS1276" i="2"/>
  <c r="AS1288" i="2"/>
  <c r="AS1291" i="2"/>
  <c r="AV1269" i="2"/>
  <c r="AV1277" i="2"/>
  <c r="AV1289" i="2"/>
  <c r="AV1291" i="2"/>
  <c r="AO1272" i="2"/>
  <c r="AW1272" i="2"/>
  <c r="AW1284" i="2"/>
  <c r="AW1291" i="2"/>
  <c r="AO1284" i="2"/>
  <c r="G1291" i="2"/>
  <c r="G1293" i="2"/>
  <c r="J1317" i="2"/>
  <c r="V1315" i="2"/>
  <c r="J1316" i="2"/>
  <c r="U1317" i="2"/>
  <c r="T1360" i="2"/>
  <c r="AV1375" i="2"/>
  <c r="AV1376" i="2"/>
  <c r="AS1423" i="2"/>
  <c r="AW1440" i="2"/>
  <c r="AW1452" i="2"/>
  <c r="AR1440" i="2"/>
  <c r="AR1441" i="2"/>
  <c r="AR1447" i="2"/>
  <c r="AR1452" i="2"/>
  <c r="AU1440" i="2"/>
  <c r="AU1452" i="2"/>
  <c r="AP1441" i="2"/>
  <c r="AP1452" i="2"/>
  <c r="I1452" i="2"/>
  <c r="AO1473" i="2"/>
  <c r="AO1475" i="2"/>
  <c r="AT1567" i="2"/>
  <c r="AT1582" i="2"/>
  <c r="AR1587" i="2"/>
  <c r="AX1615" i="2"/>
  <c r="AO1644" i="2"/>
  <c r="AJ1644" i="2"/>
  <c r="AP1655" i="2"/>
  <c r="I1655" i="2"/>
  <c r="AX1655" i="2"/>
  <c r="AO2019" i="2"/>
  <c r="H2019" i="2"/>
  <c r="AW2019" i="2"/>
  <c r="AP2154" i="2"/>
  <c r="I2154" i="2"/>
  <c r="AX2154" i="2"/>
  <c r="AO1269" i="2"/>
  <c r="AO1277" i="2"/>
  <c r="AO1289" i="2"/>
  <c r="AO1291" i="2"/>
  <c r="AP1272" i="2"/>
  <c r="AP1284" i="2"/>
  <c r="AW1375" i="2"/>
  <c r="AW1376" i="2"/>
  <c r="AU1391" i="2"/>
  <c r="I1453" i="2"/>
  <c r="G1453" i="2"/>
  <c r="AP1468" i="2"/>
  <c r="AX1468" i="2"/>
  <c r="AM1469" i="2"/>
  <c r="AP1473" i="2"/>
  <c r="AP1474" i="2"/>
  <c r="AP1475" i="2"/>
  <c r="I1475" i="2"/>
  <c r="T1582" i="2"/>
  <c r="T1583" i="2"/>
  <c r="T1584" i="2"/>
  <c r="AM1586" i="2"/>
  <c r="AS1587" i="2"/>
  <c r="AW1614" i="2"/>
  <c r="AO1614" i="2"/>
  <c r="AO1616" i="2"/>
  <c r="AO1617" i="2"/>
  <c r="AR1614" i="2"/>
  <c r="AV1614" i="2"/>
  <c r="G1619" i="2"/>
  <c r="AT1614" i="2"/>
  <c r="AT1616" i="2"/>
  <c r="AT1617" i="2"/>
  <c r="G1617" i="2"/>
  <c r="M1617" i="2"/>
  <c r="G1618" i="2"/>
  <c r="AQ1614" i="2"/>
  <c r="AP1614" i="2"/>
  <c r="AP1617" i="2"/>
  <c r="AH1648" i="2"/>
  <c r="R1656" i="2"/>
  <c r="R1655" i="2"/>
  <c r="R1657" i="2"/>
  <c r="AV2254" i="2"/>
  <c r="J1500" i="2"/>
  <c r="AR1519" i="2"/>
  <c r="T1593" i="2"/>
  <c r="AW1616" i="2"/>
  <c r="AW1617" i="2"/>
  <c r="AR1616" i="2"/>
  <c r="AX1616" i="2"/>
  <c r="AR1655" i="2"/>
  <c r="R1665" i="2"/>
  <c r="S1668" i="2"/>
  <c r="AS1700" i="2"/>
  <c r="AU1782" i="2"/>
  <c r="AR1782" i="2"/>
  <c r="AQ2039" i="2"/>
  <c r="AO2039" i="2"/>
  <c r="AW2039" i="2"/>
  <c r="AO2085" i="2"/>
  <c r="H2085" i="2"/>
  <c r="AW2085" i="2"/>
  <c r="AU2220" i="2"/>
  <c r="AR2220" i="2"/>
  <c r="G2348" i="2"/>
  <c r="AV2341" i="2"/>
  <c r="AQ2341" i="2"/>
  <c r="AP2341" i="2"/>
  <c r="AX2341" i="2"/>
  <c r="AO2341" i="2"/>
  <c r="G2347" i="2"/>
  <c r="G2346" i="2"/>
  <c r="AW2341" i="2"/>
  <c r="AU2341" i="2"/>
  <c r="AT2341" i="2"/>
  <c r="AS2341" i="2"/>
  <c r="AR2341" i="2"/>
  <c r="AR2346" i="2"/>
  <c r="U2348" i="2"/>
  <c r="U2347" i="2"/>
  <c r="AO2344" i="2"/>
  <c r="H2348" i="2"/>
  <c r="J1705" i="2"/>
  <c r="AQ1705" i="2"/>
  <c r="AQ1709" i="2"/>
  <c r="J1709" i="2"/>
  <c r="G1710" i="2"/>
  <c r="AX1705" i="2"/>
  <c r="AW1705" i="2"/>
  <c r="AW1709" i="2"/>
  <c r="I1705" i="2"/>
  <c r="AV1705" i="2"/>
  <c r="AV1709" i="2"/>
  <c r="AS1705" i="2"/>
  <c r="AS1706" i="2"/>
  <c r="AS1709" i="2"/>
  <c r="AT1705" i="2"/>
  <c r="AM2060" i="2"/>
  <c r="AP2085" i="2"/>
  <c r="I2085" i="2"/>
  <c r="AX2085" i="2"/>
  <c r="E2085" i="2"/>
  <c r="AR2122" i="2"/>
  <c r="AR2154" i="2"/>
  <c r="AW2170" i="2"/>
  <c r="AW2176" i="2"/>
  <c r="AW2177" i="2"/>
  <c r="AR2185" i="2"/>
  <c r="AV2220" i="2"/>
  <c r="AS2702" i="2"/>
  <c r="AR2702" i="2"/>
  <c r="AQ2702" i="2"/>
  <c r="AX2702" i="2"/>
  <c r="AP2702" i="2"/>
  <c r="AW2702" i="2"/>
  <c r="AO2702" i="2"/>
  <c r="AV2702" i="2"/>
  <c r="AU2702" i="2"/>
  <c r="AT2702" i="2"/>
  <c r="AH2702" i="2"/>
  <c r="AR1666" i="2"/>
  <c r="R1709" i="2"/>
  <c r="AU1705" i="2"/>
  <c r="AU1706" i="2"/>
  <c r="AU1709" i="2"/>
  <c r="G1711" i="2"/>
  <c r="R2000" i="2"/>
  <c r="T2061" i="2"/>
  <c r="AU2254" i="2"/>
  <c r="AR2254" i="2"/>
  <c r="U2399" i="2"/>
  <c r="U2400" i="2"/>
  <c r="U2398" i="2"/>
  <c r="AU1655" i="2"/>
  <c r="AS1666" i="2"/>
  <c r="R1668" i="2"/>
  <c r="T1702" i="2"/>
  <c r="T1700" i="2"/>
  <c r="T1701" i="2"/>
  <c r="AV1700" i="2"/>
  <c r="S1709" i="2"/>
  <c r="S1711" i="2"/>
  <c r="H1705" i="2"/>
  <c r="AO1705" i="2"/>
  <c r="AS1782" i="2"/>
  <c r="S1782" i="2"/>
  <c r="R1782" i="2"/>
  <c r="S1783" i="2"/>
  <c r="S1784" i="2"/>
  <c r="AT1998" i="2"/>
  <c r="J2021" i="2"/>
  <c r="AQ2085" i="2"/>
  <c r="AT2122" i="2"/>
  <c r="AT2154" i="2"/>
  <c r="R2256" i="2"/>
  <c r="R1584" i="2"/>
  <c r="R1583" i="2"/>
  <c r="AR1617" i="2"/>
  <c r="J1619" i="2"/>
  <c r="AH1655" i="2"/>
  <c r="AT1666" i="2"/>
  <c r="AT1700" i="2"/>
  <c r="AT1782" i="2"/>
  <c r="AQ1782" i="2"/>
  <c r="AS1871" i="2"/>
  <c r="L1871" i="2"/>
  <c r="Z1871" i="2"/>
  <c r="Z1873" i="2"/>
  <c r="U1872" i="2"/>
  <c r="U1871" i="2"/>
  <c r="AU1998" i="2"/>
  <c r="AU2019" i="2"/>
  <c r="AS2085" i="2"/>
  <c r="AO1519" i="2"/>
  <c r="AW1519" i="2"/>
  <c r="R1556" i="2"/>
  <c r="AO1567" i="2"/>
  <c r="AW1567" i="2"/>
  <c r="AU1582" i="2"/>
  <c r="R1582" i="2"/>
  <c r="AQ1606" i="2"/>
  <c r="AQ1617" i="2"/>
  <c r="J1617" i="2"/>
  <c r="AS1613" i="2"/>
  <c r="AS1617" i="2"/>
  <c r="L1617" i="2"/>
  <c r="AV1613" i="2"/>
  <c r="AV1617" i="2"/>
  <c r="AH1613" i="2"/>
  <c r="AH1618" i="2"/>
  <c r="AX1613" i="2"/>
  <c r="AX1617" i="2"/>
  <c r="E1617" i="2"/>
  <c r="AP1700" i="2"/>
  <c r="I1700" i="2"/>
  <c r="AX1700" i="2"/>
  <c r="U1711" i="2"/>
  <c r="U1710" i="2"/>
  <c r="U1709" i="2"/>
  <c r="AT1871" i="2"/>
  <c r="M1871" i="2"/>
  <c r="Z1872" i="2"/>
  <c r="AV1998" i="2"/>
  <c r="AH2002" i="2"/>
  <c r="AV2019" i="2"/>
  <c r="AP2254" i="2"/>
  <c r="I2254" i="2"/>
  <c r="AX2254" i="2"/>
  <c r="AQ1665" i="2"/>
  <c r="AQ1666" i="2"/>
  <c r="J1666" i="2"/>
  <c r="AH1667" i="2"/>
  <c r="I1706" i="2"/>
  <c r="AP1706" i="2"/>
  <c r="AX1706" i="2"/>
  <c r="AX1708" i="2"/>
  <c r="AX1709" i="2"/>
  <c r="AP1708" i="2"/>
  <c r="AO1781" i="2"/>
  <c r="AO1782" i="2"/>
  <c r="H1782" i="2"/>
  <c r="AW1781" i="2"/>
  <c r="AW1782" i="2"/>
  <c r="X1873" i="2"/>
  <c r="R1998" i="2"/>
  <c r="S2021" i="2"/>
  <c r="AM2040" i="2"/>
  <c r="AQ2047" i="2"/>
  <c r="AQ2049" i="2"/>
  <c r="AQ2051" i="2"/>
  <c r="AQ2053" i="2"/>
  <c r="AQ2056" i="2"/>
  <c r="AQ2057" i="2"/>
  <c r="AQ2059" i="2"/>
  <c r="AU2049" i="2"/>
  <c r="AO2050" i="2"/>
  <c r="AW2050" i="2"/>
  <c r="AU2053" i="2"/>
  <c r="AX2054" i="2"/>
  <c r="AV2056" i="2"/>
  <c r="AQ2168" i="2"/>
  <c r="AQ2170" i="2"/>
  <c r="AQ2172" i="2"/>
  <c r="AQ2177" i="2"/>
  <c r="AH2170" i="2"/>
  <c r="AX2172" i="2"/>
  <c r="AO2176" i="2"/>
  <c r="AO2177" i="2"/>
  <c r="G2177" i="2"/>
  <c r="H2177" i="2"/>
  <c r="AS2176" i="2"/>
  <c r="AV2176" i="2"/>
  <c r="AP2185" i="2"/>
  <c r="I2185" i="2"/>
  <c r="AX2185" i="2"/>
  <c r="AP2209" i="2"/>
  <c r="I2209" i="2"/>
  <c r="AX2209" i="2"/>
  <c r="AH2229" i="2"/>
  <c r="AT2273" i="2"/>
  <c r="AS2273" i="2"/>
  <c r="AR2273" i="2"/>
  <c r="AQ2273" i="2"/>
  <c r="AX2273" i="2"/>
  <c r="AP2273" i="2"/>
  <c r="AW2273" i="2"/>
  <c r="AO2273" i="2"/>
  <c r="G2297" i="2"/>
  <c r="AQ2293" i="2"/>
  <c r="AX2293" i="2"/>
  <c r="AX2295" i="2"/>
  <c r="AP2293" i="2"/>
  <c r="AP2295" i="2"/>
  <c r="I2295" i="2"/>
  <c r="G2295" i="2"/>
  <c r="AW2293" i="2"/>
  <c r="AW2295" i="2"/>
  <c r="AO2293" i="2"/>
  <c r="AO2295" i="2"/>
  <c r="AV2293" i="2"/>
  <c r="AV2294" i="2"/>
  <c r="AV2295" i="2"/>
  <c r="G2296" i="2"/>
  <c r="AU2293" i="2"/>
  <c r="AU2295" i="2"/>
  <c r="AT2293" i="2"/>
  <c r="AT2295" i="2"/>
  <c r="AR2323" i="2"/>
  <c r="I2347" i="2"/>
  <c r="I2348" i="2"/>
  <c r="T2348" i="2"/>
  <c r="T2347" i="2"/>
  <c r="AV2554" i="2"/>
  <c r="AS2562" i="2"/>
  <c r="AR2562" i="2"/>
  <c r="AQ2562" i="2"/>
  <c r="AX2562" i="2"/>
  <c r="AP2562" i="2"/>
  <c r="AW2562" i="2"/>
  <c r="AW2563" i="2"/>
  <c r="AW2564" i="2"/>
  <c r="AW2599" i="2"/>
  <c r="G2599" i="2"/>
  <c r="P2599" i="2"/>
  <c r="AO2562" i="2"/>
  <c r="AU2562" i="2"/>
  <c r="AV2562" i="2"/>
  <c r="AT2562" i="2"/>
  <c r="AO2775" i="2"/>
  <c r="H2775" i="2"/>
  <c r="AW2775" i="2"/>
  <c r="AM2020" i="2"/>
  <c r="AS2047" i="2"/>
  <c r="AS2050" i="2"/>
  <c r="AS2051" i="2"/>
  <c r="AS2056" i="2"/>
  <c r="AS2059" i="2"/>
  <c r="G2060" i="2"/>
  <c r="AT2168" i="2"/>
  <c r="AT2170" i="2"/>
  <c r="AT2177" i="2"/>
  <c r="Z2255" i="2"/>
  <c r="Z2254" i="2"/>
  <c r="I2265" i="2"/>
  <c r="AR2272" i="2"/>
  <c r="AQ2272" i="2"/>
  <c r="AX2272" i="2"/>
  <c r="AP2272" i="2"/>
  <c r="AW2272" i="2"/>
  <c r="AO2272" i="2"/>
  <c r="AV2272" i="2"/>
  <c r="AM2272" i="2"/>
  <c r="AU2272" i="2"/>
  <c r="AT2323" i="2"/>
  <c r="U2346" i="2"/>
  <c r="I2452" i="2"/>
  <c r="AP2441" i="2"/>
  <c r="I2453" i="2"/>
  <c r="G2607" i="2"/>
  <c r="AS2604" i="2"/>
  <c r="AR2604" i="2"/>
  <c r="AQ2604" i="2"/>
  <c r="AQ2606" i="2"/>
  <c r="AX2604" i="2"/>
  <c r="AX2605" i="2"/>
  <c r="AX2606" i="2"/>
  <c r="AP2604" i="2"/>
  <c r="AW2604" i="2"/>
  <c r="AW2606" i="2"/>
  <c r="AO2604" i="2"/>
  <c r="AO2606" i="2"/>
  <c r="AU2604" i="2"/>
  <c r="G2608" i="2"/>
  <c r="AV2604" i="2"/>
  <c r="AV2606" i="2"/>
  <c r="G2606" i="2"/>
  <c r="AT2604" i="2"/>
  <c r="R1666" i="2"/>
  <c r="T1710" i="2"/>
  <c r="R1711" i="2"/>
  <c r="R1999" i="2"/>
  <c r="AT2047" i="2"/>
  <c r="AX2049" i="2"/>
  <c r="AX2053" i="2"/>
  <c r="AX2059" i="2"/>
  <c r="AT2051" i="2"/>
  <c r="AT2054" i="2"/>
  <c r="AT2057" i="2"/>
  <c r="AT2059" i="2"/>
  <c r="AH2085" i="2"/>
  <c r="AH2087" i="2"/>
  <c r="R2179" i="2"/>
  <c r="R2178" i="2"/>
  <c r="AM2179" i="2"/>
  <c r="AM2178" i="2"/>
  <c r="AP2170" i="2"/>
  <c r="AP2173" i="2"/>
  <c r="AP2175" i="2"/>
  <c r="AP2177" i="2"/>
  <c r="I2177" i="2"/>
  <c r="AR2172" i="2"/>
  <c r="AT2254" i="2"/>
  <c r="M2254" i="2"/>
  <c r="AH2228" i="2"/>
  <c r="AH2230" i="2"/>
  <c r="AH2234" i="2"/>
  <c r="AH2255" i="2"/>
  <c r="I2290" i="2"/>
  <c r="AR2280" i="2"/>
  <c r="AQ2280" i="2"/>
  <c r="AX2280" i="2"/>
  <c r="AP2280" i="2"/>
  <c r="AW2280" i="2"/>
  <c r="AO2280" i="2"/>
  <c r="AV2280" i="2"/>
  <c r="AU2280" i="2"/>
  <c r="AT2337" i="2"/>
  <c r="T2463" i="2"/>
  <c r="T2461" i="2"/>
  <c r="AT1706" i="2"/>
  <c r="AT1709" i="2"/>
  <c r="J2020" i="2"/>
  <c r="AM2021" i="2"/>
  <c r="AU2047" i="2"/>
  <c r="AU2051" i="2"/>
  <c r="AU2057" i="2"/>
  <c r="AU2059" i="2"/>
  <c r="AR2056" i="2"/>
  <c r="AH2158" i="2"/>
  <c r="AU2168" i="2"/>
  <c r="AU2170" i="2"/>
  <c r="AU2172" i="2"/>
  <c r="AU2177" i="2"/>
  <c r="AR2170" i="2"/>
  <c r="AR2177" i="2"/>
  <c r="AS2172" i="2"/>
  <c r="AT2185" i="2"/>
  <c r="AT2209" i="2"/>
  <c r="T2221" i="2"/>
  <c r="AS2220" i="2"/>
  <c r="T2222" i="2"/>
  <c r="T2290" i="2"/>
  <c r="G2269" i="2"/>
  <c r="T2288" i="2"/>
  <c r="T2289" i="2"/>
  <c r="AV2423" i="2"/>
  <c r="X2556" i="2"/>
  <c r="R1667" i="2"/>
  <c r="AH1706" i="2"/>
  <c r="AH1708" i="2"/>
  <c r="AH1710" i="2"/>
  <c r="R2018" i="2"/>
  <c r="AH2018" i="2"/>
  <c r="AV2047" i="2"/>
  <c r="AV2051" i="2"/>
  <c r="AV2059" i="2"/>
  <c r="AR2049" i="2"/>
  <c r="AR2053" i="2"/>
  <c r="AR2059" i="2"/>
  <c r="AH2168" i="2"/>
  <c r="R2177" i="2"/>
  <c r="AO2220" i="2"/>
  <c r="AW2220" i="2"/>
  <c r="S2255" i="2"/>
  <c r="S2254" i="2"/>
  <c r="AS2265" i="2"/>
  <c r="AS2272" i="2"/>
  <c r="AS2295" i="2"/>
  <c r="J2324" i="2"/>
  <c r="AW2323" i="2"/>
  <c r="AS2379" i="2"/>
  <c r="T2452" i="2"/>
  <c r="AO2808" i="2"/>
  <c r="AO2047" i="2"/>
  <c r="AO2051" i="2"/>
  <c r="AO2059" i="2"/>
  <c r="AW2047" i="2"/>
  <c r="AW2059" i="2"/>
  <c r="AH2172" i="2"/>
  <c r="AV2172" i="2"/>
  <c r="AV2177" i="2"/>
  <c r="AO2254" i="2"/>
  <c r="H2254" i="2"/>
  <c r="AW2254" i="2"/>
  <c r="R2255" i="2"/>
  <c r="R2254" i="2"/>
  <c r="AT2265" i="2"/>
  <c r="AR2265" i="2"/>
  <c r="AT2272" i="2"/>
  <c r="AR2276" i="2"/>
  <c r="AQ2276" i="2"/>
  <c r="AX2276" i="2"/>
  <c r="AP2276" i="2"/>
  <c r="AW2276" i="2"/>
  <c r="AO2276" i="2"/>
  <c r="AV2276" i="2"/>
  <c r="AU2276" i="2"/>
  <c r="AO2323" i="2"/>
  <c r="AS2398" i="2"/>
  <c r="AW2450" i="2"/>
  <c r="AO2450" i="2"/>
  <c r="AV2450" i="2"/>
  <c r="AS2450" i="2"/>
  <c r="AQ2450" i="2"/>
  <c r="AQ2438" i="2"/>
  <c r="AQ2449" i="2"/>
  <c r="AQ2451" i="2"/>
  <c r="AX2450" i="2"/>
  <c r="AU2450" i="2"/>
  <c r="AT2450" i="2"/>
  <c r="AR2450" i="2"/>
  <c r="AP2450" i="2"/>
  <c r="X2554" i="2"/>
  <c r="AH2468" i="2"/>
  <c r="AS2171" i="2"/>
  <c r="AS2177" i="2"/>
  <c r="AX2173" i="2"/>
  <c r="AX2175" i="2"/>
  <c r="AX2177" i="2"/>
  <c r="E2177" i="2"/>
  <c r="AQ2270" i="2"/>
  <c r="AS2271" i="2"/>
  <c r="AQ2274" i="2"/>
  <c r="AS2275" i="2"/>
  <c r="AQ2278" i="2"/>
  <c r="AS2279" i="2"/>
  <c r="AQ2282" i="2"/>
  <c r="AS2283" i="2"/>
  <c r="I2289" i="2"/>
  <c r="AM2297" i="2"/>
  <c r="AS2343" i="2"/>
  <c r="R2344" i="2"/>
  <c r="AW2345" i="2"/>
  <c r="T2398" i="2"/>
  <c r="T2608" i="2"/>
  <c r="T2606" i="2"/>
  <c r="T2607" i="2"/>
  <c r="AS2656" i="2"/>
  <c r="AO2656" i="2"/>
  <c r="H2656" i="2"/>
  <c r="AH2765" i="2"/>
  <c r="T2789" i="2"/>
  <c r="AS2808" i="2"/>
  <c r="AM2810" i="2"/>
  <c r="AR2270" i="2"/>
  <c r="AR2274" i="2"/>
  <c r="AR2278" i="2"/>
  <c r="AR2282" i="2"/>
  <c r="J2325" i="2"/>
  <c r="AT2343" i="2"/>
  <c r="AQ2398" i="2"/>
  <c r="J2398" i="2"/>
  <c r="AS2449" i="2"/>
  <c r="AS2451" i="2"/>
  <c r="AR2449" i="2"/>
  <c r="AW2449" i="2"/>
  <c r="AW2451" i="2"/>
  <c r="AO2449" i="2"/>
  <c r="AU2449" i="2"/>
  <c r="AQ2554" i="2"/>
  <c r="J2554" i="2"/>
  <c r="U2636" i="2"/>
  <c r="U2637" i="2"/>
  <c r="U2638" i="2"/>
  <c r="G2636" i="2"/>
  <c r="AS2270" i="2"/>
  <c r="AS2274" i="2"/>
  <c r="AS2278" i="2"/>
  <c r="AS2282" i="2"/>
  <c r="AU2343" i="2"/>
  <c r="AP2345" i="2"/>
  <c r="AM2381" i="2"/>
  <c r="AM2379" i="2"/>
  <c r="G2452" i="2"/>
  <c r="AV2438" i="2"/>
  <c r="AV2451" i="2"/>
  <c r="G2453" i="2"/>
  <c r="G2451" i="2"/>
  <c r="AT2438" i="2"/>
  <c r="AX2438" i="2"/>
  <c r="AX2448" i="2"/>
  <c r="AX2451" i="2"/>
  <c r="AP2449" i="2"/>
  <c r="AV2621" i="2"/>
  <c r="AT2621" i="2"/>
  <c r="AT2620" i="2"/>
  <c r="AT2622" i="2"/>
  <c r="AT2627" i="2"/>
  <c r="AR2621" i="2"/>
  <c r="AQ2621" i="2"/>
  <c r="AP2621" i="2"/>
  <c r="AO2621" i="2"/>
  <c r="AX2621" i="2"/>
  <c r="AU2621" i="2"/>
  <c r="H2631" i="2"/>
  <c r="AO2631" i="2"/>
  <c r="AO2636" i="2"/>
  <c r="H2636" i="2"/>
  <c r="AR2699" i="2"/>
  <c r="AQ2699" i="2"/>
  <c r="AX2699" i="2"/>
  <c r="AP2699" i="2"/>
  <c r="AW2699" i="2"/>
  <c r="AO2699" i="2"/>
  <c r="AV2699" i="2"/>
  <c r="AH2699" i="2"/>
  <c r="AU2699" i="2"/>
  <c r="AT2699" i="2"/>
  <c r="AS2699" i="2"/>
  <c r="AT2270" i="2"/>
  <c r="AT2274" i="2"/>
  <c r="AT2278" i="2"/>
  <c r="AT2282" i="2"/>
  <c r="AQ2294" i="2"/>
  <c r="T2296" i="2"/>
  <c r="AV2343" i="2"/>
  <c r="AQ2345" i="2"/>
  <c r="AT2379" i="2"/>
  <c r="AP2423" i="2"/>
  <c r="AX2423" i="2"/>
  <c r="AQ2461" i="2"/>
  <c r="J2461" i="2"/>
  <c r="R2555" i="2"/>
  <c r="AS2554" i="2"/>
  <c r="L2554" i="2"/>
  <c r="AU2270" i="2"/>
  <c r="AO2271" i="2"/>
  <c r="AU2274" i="2"/>
  <c r="AO2275" i="2"/>
  <c r="AU2278" i="2"/>
  <c r="AO2279" i="2"/>
  <c r="AU2282" i="2"/>
  <c r="AO2283" i="2"/>
  <c r="AR2294" i="2"/>
  <c r="AR2295" i="2"/>
  <c r="AQ2299" i="2"/>
  <c r="AQ2323" i="2"/>
  <c r="J2323" i="2"/>
  <c r="AW2342" i="2"/>
  <c r="AO2342" i="2"/>
  <c r="AS2342" i="2"/>
  <c r="AW2343" i="2"/>
  <c r="AS2345" i="2"/>
  <c r="T2399" i="2"/>
  <c r="T2453" i="2"/>
  <c r="T2451" i="2"/>
  <c r="AO2438" i="2"/>
  <c r="AT2449" i="2"/>
  <c r="AT2451" i="2"/>
  <c r="X2555" i="2"/>
  <c r="AT2554" i="2"/>
  <c r="M2554" i="2"/>
  <c r="AH2466" i="2"/>
  <c r="AH2472" i="2"/>
  <c r="AH2555" i="2"/>
  <c r="G2627" i="2"/>
  <c r="G2629" i="2"/>
  <c r="AQ2763" i="2"/>
  <c r="J2763" i="2"/>
  <c r="AR2838" i="2"/>
  <c r="AQ2838" i="2"/>
  <c r="AQ2845" i="2"/>
  <c r="AQ2846" i="2"/>
  <c r="AX2838" i="2"/>
  <c r="AX2841" i="2"/>
  <c r="AX2845" i="2"/>
  <c r="AX2846" i="2"/>
  <c r="G2846" i="2"/>
  <c r="E2846" i="2"/>
  <c r="AP2838" i="2"/>
  <c r="AW2838" i="2"/>
  <c r="AO2838" i="2"/>
  <c r="AV2838" i="2"/>
  <c r="AU2838" i="2"/>
  <c r="AT2838" i="2"/>
  <c r="AS2838" i="2"/>
  <c r="U2324" i="2"/>
  <c r="AO2337" i="2"/>
  <c r="H2337" i="2"/>
  <c r="AW2337" i="2"/>
  <c r="AO2343" i="2"/>
  <c r="AX2343" i="2"/>
  <c r="AT2345" i="2"/>
  <c r="AV2379" i="2"/>
  <c r="AR2423" i="2"/>
  <c r="Z2555" i="2"/>
  <c r="AU2554" i="2"/>
  <c r="AU2564" i="2"/>
  <c r="AT2564" i="2"/>
  <c r="AS2564" i="2"/>
  <c r="AR2564" i="2"/>
  <c r="AQ2564" i="2"/>
  <c r="AO2564" i="2"/>
  <c r="AT2631" i="2"/>
  <c r="AT2636" i="2"/>
  <c r="AS2631" i="2"/>
  <c r="AS2636" i="2"/>
  <c r="G2638" i="2"/>
  <c r="J2631" i="2"/>
  <c r="AQ2631" i="2"/>
  <c r="G2637" i="2"/>
  <c r="AW2631" i="2"/>
  <c r="AW2636" i="2"/>
  <c r="AV2631" i="2"/>
  <c r="AV2636" i="2"/>
  <c r="AU2631" i="2"/>
  <c r="AU2636" i="2"/>
  <c r="AR2631" i="2"/>
  <c r="AR2636" i="2"/>
  <c r="I2631" i="2"/>
  <c r="AP2631" i="2"/>
  <c r="AP2636" i="2"/>
  <c r="I2636" i="2"/>
  <c r="AH2631" i="2"/>
  <c r="AU2775" i="2"/>
  <c r="AX2808" i="2"/>
  <c r="E2808" i="2"/>
  <c r="AW2808" i="2"/>
  <c r="AP2344" i="2"/>
  <c r="AP2448" i="2"/>
  <c r="AP2451" i="2"/>
  <c r="I2451" i="2"/>
  <c r="AS2560" i="2"/>
  <c r="AP2561" i="2"/>
  <c r="AX2561" i="2"/>
  <c r="AR2563" i="2"/>
  <c r="AT2565" i="2"/>
  <c r="AQ2566" i="2"/>
  <c r="AP2605" i="2"/>
  <c r="AQ2617" i="2"/>
  <c r="AQ2622" i="2"/>
  <c r="AQ2627" i="2"/>
  <c r="AU2619" i="2"/>
  <c r="AP2620" i="2"/>
  <c r="AT2656" i="2"/>
  <c r="AS2673" i="2"/>
  <c r="AS2690" i="2"/>
  <c r="AQ2696" i="2"/>
  <c r="AX2696" i="2"/>
  <c r="AP2696" i="2"/>
  <c r="AW2696" i="2"/>
  <c r="AO2696" i="2"/>
  <c r="AV2696" i="2"/>
  <c r="AV2707" i="2"/>
  <c r="AH2696" i="2"/>
  <c r="AU2696" i="2"/>
  <c r="AR2808" i="2"/>
  <c r="AI2818" i="2"/>
  <c r="J2832" i="2"/>
  <c r="J2835" i="2"/>
  <c r="AV2833" i="2"/>
  <c r="U2834" i="2"/>
  <c r="AQ2832" i="2"/>
  <c r="AQ2833" i="2"/>
  <c r="J2833" i="2"/>
  <c r="U2833" i="2"/>
  <c r="AR2845" i="2"/>
  <c r="AR2846" i="2"/>
  <c r="AX2894" i="2"/>
  <c r="AR2448" i="2"/>
  <c r="AR2451" i="2"/>
  <c r="AU2560" i="2"/>
  <c r="AU2561" i="2"/>
  <c r="AU2563" i="2"/>
  <c r="AU2599" i="2"/>
  <c r="AR2561" i="2"/>
  <c r="AR2599" i="2"/>
  <c r="AT2563" i="2"/>
  <c r="AT2599" i="2"/>
  <c r="AS2566" i="2"/>
  <c r="AR2605" i="2"/>
  <c r="AS2617" i="2"/>
  <c r="AS2619" i="2"/>
  <c r="AS2627" i="2"/>
  <c r="AO2619" i="2"/>
  <c r="AO2627" i="2"/>
  <c r="AW2619" i="2"/>
  <c r="AW2620" i="2"/>
  <c r="AW2622" i="2"/>
  <c r="AW2627" i="2"/>
  <c r="AU2673" i="2"/>
  <c r="AR2696" i="2"/>
  <c r="AT2763" i="2"/>
  <c r="AH2764" i="2"/>
  <c r="AP2775" i="2"/>
  <c r="AX2775" i="2"/>
  <c r="AT2808" i="2"/>
  <c r="U2809" i="2"/>
  <c r="AO2833" i="2"/>
  <c r="H2833" i="2"/>
  <c r="AX2833" i="2"/>
  <c r="E2833" i="2"/>
  <c r="AH2835" i="2"/>
  <c r="I2862" i="2"/>
  <c r="AR2852" i="2"/>
  <c r="AR2856" i="2"/>
  <c r="AR2860" i="2"/>
  <c r="AQ2852" i="2"/>
  <c r="AQ2856" i="2"/>
  <c r="AQ2860" i="2"/>
  <c r="AX2852" i="2"/>
  <c r="AX2856" i="2"/>
  <c r="AX2860" i="2"/>
  <c r="AP2852" i="2"/>
  <c r="AW2852" i="2"/>
  <c r="AW2851" i="2"/>
  <c r="AW2855" i="2"/>
  <c r="AW2856" i="2"/>
  <c r="AW2860" i="2"/>
  <c r="AO2852" i="2"/>
  <c r="AV2852" i="2"/>
  <c r="AU2852" i="2"/>
  <c r="Z2554" i="2"/>
  <c r="Z2556" i="2"/>
  <c r="AV2560" i="2"/>
  <c r="AV2563" i="2"/>
  <c r="AV2599" i="2"/>
  <c r="G2601" i="2"/>
  <c r="AS2605" i="2"/>
  <c r="I2629" i="2"/>
  <c r="AP2619" i="2"/>
  <c r="AP2622" i="2"/>
  <c r="AP2627" i="2"/>
  <c r="I2627" i="2"/>
  <c r="AR2620" i="2"/>
  <c r="AU2620" i="2"/>
  <c r="AX2622" i="2"/>
  <c r="AV2622" i="2"/>
  <c r="AV2627" i="2"/>
  <c r="AV2690" i="2"/>
  <c r="G2708" i="2"/>
  <c r="AS2694" i="2"/>
  <c r="G2709" i="2"/>
  <c r="G2707" i="2"/>
  <c r="AR2694" i="2"/>
  <c r="AQ2694" i="2"/>
  <c r="AQ2697" i="2"/>
  <c r="AQ2707" i="2"/>
  <c r="AX2694" i="2"/>
  <c r="AX2707" i="2"/>
  <c r="AP2694" i="2"/>
  <c r="AW2694" i="2"/>
  <c r="AO2694" i="2"/>
  <c r="AP2726" i="2"/>
  <c r="AP2763" i="2"/>
  <c r="I2763" i="2"/>
  <c r="I2765" i="2"/>
  <c r="AQ2775" i="2"/>
  <c r="AU2808" i="2"/>
  <c r="AP2823" i="2"/>
  <c r="AP2833" i="2"/>
  <c r="I2833" i="2"/>
  <c r="I2834" i="2"/>
  <c r="T2848" i="2"/>
  <c r="AT2605" i="2"/>
  <c r="T2629" i="2"/>
  <c r="AU2622" i="2"/>
  <c r="G2628" i="2"/>
  <c r="R2637" i="2"/>
  <c r="R2636" i="2"/>
  <c r="AH2763" i="2"/>
  <c r="AV2763" i="2"/>
  <c r="AR2775" i="2"/>
  <c r="T2809" i="2"/>
  <c r="AV2808" i="2"/>
  <c r="AM2809" i="2"/>
  <c r="I2847" i="2"/>
  <c r="AM2860" i="2"/>
  <c r="AP2856" i="2"/>
  <c r="AO2856" i="2"/>
  <c r="AV2856" i="2"/>
  <c r="AU2856" i="2"/>
  <c r="AM2868" i="2"/>
  <c r="AU2448" i="2"/>
  <c r="AU2451" i="2"/>
  <c r="R2554" i="2"/>
  <c r="R2556" i="2"/>
  <c r="AP2560" i="2"/>
  <c r="AP2563" i="2"/>
  <c r="AP2599" i="2"/>
  <c r="AX2560" i="2"/>
  <c r="AX2599" i="2"/>
  <c r="AO2563" i="2"/>
  <c r="AO2599" i="2"/>
  <c r="AU2605" i="2"/>
  <c r="AM2627" i="2"/>
  <c r="AM2628" i="2"/>
  <c r="AR2619" i="2"/>
  <c r="AR2627" i="2"/>
  <c r="I2628" i="2"/>
  <c r="R2638" i="2"/>
  <c r="AH2694" i="2"/>
  <c r="AM2763" i="2"/>
  <c r="AW2763" i="2"/>
  <c r="I2764" i="2"/>
  <c r="AS2775" i="2"/>
  <c r="AS2833" i="2"/>
  <c r="T2847" i="2"/>
  <c r="AX2620" i="2"/>
  <c r="AX2627" i="2"/>
  <c r="T2628" i="2"/>
  <c r="AT2694" i="2"/>
  <c r="AO2763" i="2"/>
  <c r="H2763" i="2"/>
  <c r="AX2763" i="2"/>
  <c r="E2763" i="2"/>
  <c r="AI2819" i="2"/>
  <c r="AO2813" i="2"/>
  <c r="AO2816" i="2"/>
  <c r="AO2818" i="2"/>
  <c r="AJ2818" i="2"/>
  <c r="AM2816" i="2"/>
  <c r="AM2817" i="2"/>
  <c r="AM2820" i="2"/>
  <c r="AT2833" i="2"/>
  <c r="AS2845" i="2"/>
  <c r="AP2845" i="2"/>
  <c r="AW2845" i="2"/>
  <c r="AO2845" i="2"/>
  <c r="AV2845" i="2"/>
  <c r="AS2837" i="2"/>
  <c r="AT2841" i="2"/>
  <c r="AS2844" i="2"/>
  <c r="AS2851" i="2"/>
  <c r="AS2855" i="2"/>
  <c r="G2861" i="2"/>
  <c r="AR2695" i="2"/>
  <c r="AT2701" i="2"/>
  <c r="AR2703" i="2"/>
  <c r="J2764" i="2"/>
  <c r="AM2765" i="2"/>
  <c r="U2789" i="2"/>
  <c r="T2810" i="2"/>
  <c r="T2833" i="2"/>
  <c r="J2834" i="2"/>
  <c r="I2835" i="2"/>
  <c r="AT2837" i="2"/>
  <c r="AU2841" i="2"/>
  <c r="AT2844" i="2"/>
  <c r="AM2848" i="2"/>
  <c r="AT2851" i="2"/>
  <c r="AT2854" i="2"/>
  <c r="AT2855" i="2"/>
  <c r="AT2860" i="2"/>
  <c r="I2861" i="2"/>
  <c r="AQ2632" i="2"/>
  <c r="AS2695" i="2"/>
  <c r="AT2698" i="2"/>
  <c r="AU2701" i="2"/>
  <c r="AS2703" i="2"/>
  <c r="U2810" i="2"/>
  <c r="AU2837" i="2"/>
  <c r="AS2840" i="2"/>
  <c r="AV2841" i="2"/>
  <c r="AS2843" i="2"/>
  <c r="AU2844" i="2"/>
  <c r="G2847" i="2"/>
  <c r="AS2850" i="2"/>
  <c r="AU2851" i="2"/>
  <c r="AS2854" i="2"/>
  <c r="AU2855" i="2"/>
  <c r="G2860" i="2"/>
  <c r="T2861" i="2"/>
  <c r="AT2695" i="2"/>
  <c r="AT2703" i="2"/>
  <c r="J2765" i="2"/>
  <c r="T2808" i="2"/>
  <c r="AV2837" i="2"/>
  <c r="AO2841" i="2"/>
  <c r="AW2841" i="2"/>
  <c r="AV2844" i="2"/>
  <c r="AV2851" i="2"/>
  <c r="AV2855" i="2"/>
  <c r="AV2860" i="2"/>
  <c r="AM2861" i="2"/>
  <c r="AM2894" i="2"/>
  <c r="AU2695" i="2"/>
  <c r="AU2703" i="2"/>
  <c r="AU2707" i="2"/>
  <c r="AS2697" i="2"/>
  <c r="AH2698" i="2"/>
  <c r="AO2701" i="2"/>
  <c r="AW2701" i="2"/>
  <c r="U2808" i="2"/>
  <c r="T2834" i="2"/>
  <c r="AO2837" i="2"/>
  <c r="AW2837" i="2"/>
  <c r="AS2839" i="2"/>
  <c r="AU2840" i="2"/>
  <c r="AP2841" i="2"/>
  <c r="AS2842" i="2"/>
  <c r="AU2843" i="2"/>
  <c r="AO2844" i="2"/>
  <c r="AW2844" i="2"/>
  <c r="AU2850" i="2"/>
  <c r="AU2854" i="2"/>
  <c r="AU2860" i="2"/>
  <c r="AO2851" i="2"/>
  <c r="AS2853" i="2"/>
  <c r="AO2855" i="2"/>
  <c r="AS2857" i="2"/>
  <c r="G2862" i="2"/>
  <c r="AH2695" i="2"/>
  <c r="AP2701" i="2"/>
  <c r="AH2703" i="2"/>
  <c r="AM2808" i="2"/>
  <c r="AP2837" i="2"/>
  <c r="AP2844" i="2"/>
  <c r="AP2846" i="2"/>
  <c r="AP2851" i="2"/>
  <c r="AP2855" i="2"/>
  <c r="AW134" i="1"/>
  <c r="AW120" i="1"/>
  <c r="Q898" i="2"/>
  <c r="I898" i="2"/>
  <c r="AP882" i="2"/>
  <c r="I882" i="2"/>
  <c r="AO1709" i="2"/>
  <c r="H1709" i="2"/>
  <c r="AR1258" i="2"/>
  <c r="K1258" i="2"/>
  <c r="AT1197" i="2"/>
  <c r="AT1258" i="2"/>
  <c r="AS1135" i="2"/>
  <c r="L1135" i="2"/>
  <c r="AR2707" i="2"/>
  <c r="AM2818" i="2"/>
  <c r="AH2256" i="2"/>
  <c r="AH2254" i="2"/>
  <c r="AR2606" i="2"/>
  <c r="AH2554" i="2"/>
  <c r="AH1619" i="2"/>
  <c r="AW1135" i="2"/>
  <c r="AW1258" i="2"/>
  <c r="Q900" i="2"/>
  <c r="Q899" i="2"/>
  <c r="H1136" i="2"/>
  <c r="AR882" i="2"/>
  <c r="AX1258" i="2"/>
  <c r="H142" i="2"/>
  <c r="H143" i="2"/>
  <c r="R586" i="2"/>
  <c r="J55" i="2"/>
  <c r="J54" i="2"/>
  <c r="AQ33" i="2"/>
  <c r="AQ53" i="2"/>
  <c r="J53" i="2"/>
  <c r="H342" i="2"/>
  <c r="AM171" i="2"/>
  <c r="AM170" i="2"/>
  <c r="AO2860" i="2"/>
  <c r="AS2860" i="2"/>
  <c r="AH2708" i="2"/>
  <c r="AH2709" i="2"/>
  <c r="AH2707" i="2"/>
  <c r="AH2178" i="2"/>
  <c r="AH2179" i="2"/>
  <c r="AH2177" i="2"/>
  <c r="AS2606" i="2"/>
  <c r="AH2556" i="2"/>
  <c r="AQ2295" i="2"/>
  <c r="AO2346" i="2"/>
  <c r="H2346" i="2"/>
  <c r="H1377" i="2"/>
  <c r="H1378" i="2"/>
  <c r="AX1591" i="2"/>
  <c r="AT1591" i="2"/>
  <c r="AS882" i="2"/>
  <c r="H1137" i="2"/>
  <c r="AP1054" i="2"/>
  <c r="I1054" i="2"/>
  <c r="R822" i="2"/>
  <c r="J1137" i="2"/>
  <c r="J1136" i="2"/>
  <c r="AQ1107" i="2"/>
  <c r="AQ1135" i="2"/>
  <c r="J1135" i="2"/>
  <c r="H644" i="2"/>
  <c r="H645" i="2"/>
  <c r="R584" i="2"/>
  <c r="R658" i="2"/>
  <c r="AO642" i="2"/>
  <c r="AO643" i="2"/>
  <c r="H643" i="2"/>
  <c r="AH583" i="2"/>
  <c r="AH586" i="2"/>
  <c r="S657" i="2"/>
  <c r="AR671" i="2"/>
  <c r="AV169" i="2"/>
  <c r="AU2627" i="2"/>
  <c r="AU2606" i="2"/>
  <c r="AX2346" i="2"/>
  <c r="I883" i="2"/>
  <c r="I884" i="2"/>
  <c r="R824" i="2"/>
  <c r="R823" i="2"/>
  <c r="J657" i="2"/>
  <c r="AQ349" i="2"/>
  <c r="AQ354" i="2"/>
  <c r="J354" i="2"/>
  <c r="AR169" i="2"/>
  <c r="AP2860" i="2"/>
  <c r="I2860" i="2"/>
  <c r="AO2707" i="2"/>
  <c r="H2707" i="2"/>
  <c r="AS2707" i="2"/>
  <c r="AS2599" i="2"/>
  <c r="AH2638" i="2"/>
  <c r="AH2636" i="2"/>
  <c r="AH2637" i="2"/>
  <c r="R2019" i="2"/>
  <c r="I1711" i="2"/>
  <c r="I1710" i="2"/>
  <c r="AS2346" i="2"/>
  <c r="AP2346" i="2"/>
  <c r="I2346" i="2"/>
  <c r="AH1617" i="2"/>
  <c r="AH1709" i="2"/>
  <c r="AP1375" i="2"/>
  <c r="AP1376" i="2"/>
  <c r="I1376" i="2"/>
  <c r="AQ1591" i="2"/>
  <c r="I1591" i="2"/>
  <c r="AH1136" i="2"/>
  <c r="AQ882" i="2"/>
  <c r="J882" i="2"/>
  <c r="R315" i="2"/>
  <c r="R317" i="2"/>
  <c r="R316" i="2"/>
  <c r="AV1258" i="2"/>
  <c r="AS169" i="2"/>
  <c r="AO169" i="2"/>
  <c r="AW2846" i="2"/>
  <c r="AW2707" i="2"/>
  <c r="H2637" i="2"/>
  <c r="H2638" i="2"/>
  <c r="J2638" i="2"/>
  <c r="J2637" i="2"/>
  <c r="AQ2599" i="2"/>
  <c r="AT2346" i="2"/>
  <c r="AQ2346" i="2"/>
  <c r="J2346" i="2"/>
  <c r="AM1592" i="2"/>
  <c r="AM1591" i="2"/>
  <c r="AM1593" i="2"/>
  <c r="AH1711" i="2"/>
  <c r="AR1591" i="2"/>
  <c r="AH1295" i="2"/>
  <c r="R1317" i="2"/>
  <c r="R1315" i="2"/>
  <c r="R1316" i="2"/>
  <c r="AH1135" i="2"/>
  <c r="AV882" i="2"/>
  <c r="J356" i="2"/>
  <c r="J658" i="2"/>
  <c r="J355" i="2"/>
  <c r="AU169" i="2"/>
  <c r="AW169" i="2"/>
  <c r="I2846" i="2"/>
  <c r="AO2846" i="2"/>
  <c r="AT2846" i="2"/>
  <c r="AS2846" i="2"/>
  <c r="AT2707" i="2"/>
  <c r="AM2819" i="2"/>
  <c r="AP2707" i="2"/>
  <c r="I2707" i="2"/>
  <c r="AQ2636" i="2"/>
  <c r="J2636" i="2"/>
  <c r="R2346" i="2"/>
  <c r="R2348" i="2"/>
  <c r="AP2606" i="2"/>
  <c r="I2606" i="2"/>
  <c r="AH2019" i="2"/>
  <c r="AH2021" i="2"/>
  <c r="AH2020" i="2"/>
  <c r="AU2346" i="2"/>
  <c r="AV2346" i="2"/>
  <c r="AH1656" i="2"/>
  <c r="AH1657" i="2"/>
  <c r="AS1591" i="2"/>
  <c r="AS1475" i="2"/>
  <c r="R2021" i="2"/>
  <c r="I1378" i="2"/>
  <c r="L1137" i="2"/>
  <c r="AU1135" i="2"/>
  <c r="AU1258" i="2"/>
  <c r="U882" i="2"/>
  <c r="U883" i="2"/>
  <c r="U884" i="2"/>
  <c r="AH899" i="2"/>
  <c r="AH900" i="2"/>
  <c r="AT1054" i="2"/>
  <c r="I1293" i="2"/>
  <c r="I1292" i="2"/>
  <c r="AP1262" i="2"/>
  <c r="AP1291" i="2"/>
  <c r="I1291" i="2"/>
  <c r="I850" i="2"/>
  <c r="I851" i="2"/>
  <c r="AH747" i="2"/>
  <c r="AH746" i="2"/>
  <c r="AH748" i="2"/>
  <c r="AH585" i="2"/>
  <c r="AH898" i="2"/>
  <c r="J824" i="2"/>
  <c r="AQ821" i="2"/>
  <c r="AQ822" i="2"/>
  <c r="J822" i="2"/>
  <c r="J823" i="2"/>
  <c r="M143" i="2"/>
  <c r="M142" i="2"/>
  <c r="U585" i="2"/>
  <c r="U586" i="2"/>
  <c r="U658" i="2"/>
  <c r="AP169" i="2"/>
  <c r="I169" i="2"/>
  <c r="I2638" i="2"/>
  <c r="I2637" i="2"/>
  <c r="AT2269" i="2"/>
  <c r="AT2288" i="2"/>
  <c r="AS2269" i="2"/>
  <c r="AS2288" i="2"/>
  <c r="G2290" i="2"/>
  <c r="AR2269" i="2"/>
  <c r="AR2288" i="2"/>
  <c r="AQ2269" i="2"/>
  <c r="AQ2288" i="2"/>
  <c r="G2288" i="2"/>
  <c r="AX2269" i="2"/>
  <c r="AX2288" i="2"/>
  <c r="AP2269" i="2"/>
  <c r="AP2288" i="2"/>
  <c r="I2288" i="2"/>
  <c r="AW2269" i="2"/>
  <c r="AW2288" i="2"/>
  <c r="AO2269" i="2"/>
  <c r="AO2288" i="2"/>
  <c r="G2289" i="2"/>
  <c r="AU2269" i="2"/>
  <c r="AU2288" i="2"/>
  <c r="AM2269" i="2"/>
  <c r="AV2269" i="2"/>
  <c r="AV2288" i="2"/>
  <c r="AT2606" i="2"/>
  <c r="R2020" i="2"/>
  <c r="J1710" i="2"/>
  <c r="J1711" i="2"/>
  <c r="AW2346" i="2"/>
  <c r="Z1137" i="2"/>
  <c r="Z1136" i="2"/>
  <c r="Z1135" i="2"/>
  <c r="AH963" i="2"/>
  <c r="AH962" i="2"/>
  <c r="AM586" i="2"/>
  <c r="AM584" i="2"/>
  <c r="AM585" i="2"/>
  <c r="AM658" i="2"/>
  <c r="I824" i="2"/>
  <c r="AP821" i="2"/>
  <c r="AP822" i="2"/>
  <c r="I822" i="2"/>
  <c r="I823" i="2"/>
  <c r="AH961" i="2"/>
  <c r="AO354" i="2"/>
  <c r="AT169" i="2"/>
  <c r="AX169" i="2"/>
  <c r="AV2846" i="2"/>
  <c r="AU2846" i="2"/>
  <c r="AO2451" i="2"/>
  <c r="H1710" i="2"/>
  <c r="H1711" i="2"/>
  <c r="AP1705" i="2"/>
  <c r="AP1709" i="2"/>
  <c r="I1709" i="2"/>
  <c r="AS1197" i="2"/>
  <c r="R1137" i="2"/>
  <c r="R1136" i="2"/>
  <c r="R1135" i="2"/>
  <c r="AO1375" i="2"/>
  <c r="AO1376" i="2"/>
  <c r="H1376" i="2"/>
  <c r="AO1135" i="2"/>
  <c r="H1135" i="2"/>
  <c r="I1136" i="2"/>
  <c r="I1137" i="2"/>
  <c r="AP1107" i="2"/>
  <c r="AP1135" i="2"/>
  <c r="L1136" i="2"/>
  <c r="AS1034" i="2"/>
  <c r="AH822" i="2"/>
  <c r="AH824" i="2"/>
  <c r="AH823" i="2"/>
  <c r="AH538" i="2"/>
  <c r="AH537" i="2"/>
  <c r="AH539" i="2"/>
  <c r="I644" i="2"/>
  <c r="I645" i="2"/>
  <c r="M1136" i="2"/>
  <c r="M1137" i="2"/>
  <c r="AP642" i="2"/>
  <c r="AP643" i="2"/>
  <c r="I643" i="2"/>
  <c r="AU584" i="2"/>
  <c r="J584" i="2"/>
  <c r="AW354" i="2"/>
  <c r="AQ169" i="2"/>
  <c r="I1135" i="2"/>
  <c r="AP1258" i="2"/>
  <c r="I1258" i="2"/>
  <c r="U657" i="2"/>
  <c r="AH584" i="2"/>
  <c r="AH658" i="2"/>
  <c r="AO1258" i="2"/>
  <c r="H1258" i="2"/>
  <c r="AM657" i="2"/>
  <c r="R657" i="2"/>
  <c r="AM2288" i="2"/>
  <c r="AM2289" i="2"/>
  <c r="AM2290" i="2"/>
  <c r="AS1258" i="2"/>
  <c r="AQ1258" i="2"/>
  <c r="J1258" i="2"/>
  <c r="AH1317" i="2"/>
  <c r="AH1316" i="2"/>
  <c r="AH1315" i="2"/>
  <c r="AH65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Gavin Mudd</author>
  </authors>
  <commentList>
    <comment ref="AN19" authorId="0" shapeId="0" xr:uid="{7A0A40F2-D53E-479C-82FF-CC85B1DF2C8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estimated data</t>
        </r>
      </text>
    </comment>
    <comment ref="AF143" authorId="0" shapeId="0" xr:uid="{5FD31CD5-470B-44F8-8A42-98147581A81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grade of Pb-Zn-Ag only (not combined overall average of both sides of Mount Isa's operations)</t>
        </r>
      </text>
    </comment>
    <comment ref="AG143" authorId="0" shapeId="0" xr:uid="{CA1BA0B0-A5B6-47FD-A34C-FD2FB0ADE75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grade of Pb-Zn-Ag only (not combined overall average of both sides of Mount Isa's operations)</t>
        </r>
      </text>
    </comment>
    <comment ref="AH143" authorId="0" shapeId="0" xr:uid="{CBB5D16A-D7CB-46C2-A6C4-133F6BE20DB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grade of Pb-Zn-Ag only (not combined overall average of both sides of Mount Isa's operations)</t>
        </r>
      </text>
    </comment>
    <comment ref="AI143" authorId="0" shapeId="0" xr:uid="{59B39CB8-8F59-47F2-9F89-DD79386B940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grade of Cu only (not combined overall average of both sides of Mount Isa's operations)</t>
        </r>
      </text>
    </comment>
    <comment ref="AX190" authorId="0" shapeId="0" xr:uid="{8B028FB1-6AE2-47C4-9DB4-0DF933FFDA2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apprpoximate based on limited historical data</t>
        </r>
      </text>
    </comment>
    <comment ref="AH212" authorId="0" shapeId="0" xr:uid="{07B11789-E241-4295-AD01-826C9E3EFA0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(2016-06)</t>
        </r>
      </text>
    </comment>
    <comment ref="AI212" authorId="0" shapeId="0" xr:uid="{0BD02439-7B26-4F0F-86CD-F38FE11051D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(2016-06)</t>
        </r>
      </text>
    </comment>
    <comment ref="AJ212" authorId="0" shapeId="0" xr:uid="{10642309-680C-4183-AC4F-1DE8E9ED240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(2016-06)</t>
        </r>
      </text>
    </comment>
    <comment ref="AX307" authorId="0" shapeId="0" xr:uid="{0F39D9E3-8FE6-47FA-A532-6CA5D89FEDE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incomplete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Gavin Mudd</author>
  </authors>
  <commentList>
    <comment ref="C2" authorId="0" shapeId="0" xr:uid="{E83F6D44-EBB4-47DF-B794-2AF292CA6D9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OC - open cut
UG - underground
OC-UG - majority OC
UG-OC - majority UG</t>
        </r>
      </text>
    </comment>
    <comment ref="D2" authorId="0" shapeId="0" xr:uid="{A0E5B340-00CA-49FF-9DA9-CB27C5C2F3C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 - flotation
S - smelter
R - refinery
HL - heap leach
HM - hydrometallurgical plant
C - cyanide leach circuits</t>
        </r>
      </text>
    </comment>
    <comment ref="C3" authorId="0" shapeId="0" xr:uid="{4AFDA2C5-E876-4070-946E-CDDC89530B2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OC - open cut
UG - underground
OC-UG - majority OC
UG-OC - majority UG</t>
        </r>
      </text>
    </comment>
    <comment ref="D3" authorId="0" shapeId="0" xr:uid="{AEB01E79-15F2-431B-AC8F-A4A742A8B56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 - flotation
S - smelter
R - refinery
HL - heap leach
HM - hydrometallurgical plant
C - cyanide leach circuits</t>
        </r>
      </text>
    </comment>
    <comment ref="J33" authorId="0" shapeId="0" xr:uid="{2ED18748-D22E-4720-A663-DE0F79F881A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34" authorId="0" shapeId="0" xr:uid="{399008CB-90DB-4AD9-A9B7-D734D7B9BA7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35" authorId="0" shapeId="0" xr:uid="{A9BE604B-0037-47F8-B91C-9EE6E6AF32A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36" authorId="0" shapeId="0" xr:uid="{66617D7C-6508-48D9-9030-497FA16C650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37" authorId="0" shapeId="0" xr:uid="{50547BD1-61C7-49C4-9611-6C0AA3E4061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38" authorId="0" shapeId="0" xr:uid="{3B5D2093-26E7-4D31-B6C2-B5DD4C82B84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39" authorId="0" shapeId="0" xr:uid="{83A50843-5EE4-4F62-B80B-AB5ACC63D8D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40" authorId="0" shapeId="0" xr:uid="{F4D2650D-D6E9-4296-AE90-1EC34F01ADB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41" authorId="0" shapeId="0" xr:uid="{F9B1E0ED-FB23-4860-8BE9-F6D17577E2F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42" authorId="0" shapeId="0" xr:uid="{58F89B3A-AEEF-4F46-A98E-B5904E0709F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43" authorId="0" shapeId="0" xr:uid="{FB2178AF-7654-416E-80C8-C4269B3398C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44" authorId="0" shapeId="0" xr:uid="{ED002719-C522-4A04-A815-7AEE5045CBF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45" authorId="0" shapeId="0" xr:uid="{039C9FC3-B1BD-4A93-9D7B-DECE50D02DB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46" authorId="0" shapeId="0" xr:uid="{F8C8D146-FFAC-4F0B-A325-4F506A1426F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47" authorId="0" shapeId="0" xr:uid="{13DB6880-CB80-406A-B2CB-77965B6434A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48" authorId="0" shapeId="0" xr:uid="{AD93378A-DFF4-4F32-BFA3-B095BDC43B9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49" authorId="0" shapeId="0" xr:uid="{C3116BE2-67A7-47EE-A8CB-D6CE9A43E2C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50" authorId="0" shapeId="0" xr:uid="{4160D9F5-A184-4904-800B-91733FC2010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51" authorId="0" shapeId="0" xr:uid="{21C16512-48BA-4B6F-93B5-227BEEABC6D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J52" authorId="0" shapeId="0" xr:uid="{430CF1B4-5609-4794-98F5-58DB4945010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Au</t>
        </r>
      </text>
    </comment>
    <comment ref="E57" authorId="0" shapeId="0" xr:uid="{7A084FD6-415D-42CE-867B-14CF2824B59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57" authorId="0" shapeId="0" xr:uid="{4E20CBD3-79BC-4259-82F4-D38FABC4F39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88.13%</t>
        </r>
      </text>
    </comment>
    <comment ref="H57" authorId="0" shapeId="0" xr:uid="{F3FD8CD8-EB19-4508-B4B0-9D512D9BF04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due to lack of data</t>
        </r>
      </text>
    </comment>
    <comment ref="K57" authorId="0" shapeId="0" xr:uid="{3543EC1A-D00E-4E1E-A8E5-07DD5788BD3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AH57" authorId="0" shapeId="0" xr:uid="{7DFA5873-3486-464B-90E2-A54E97E2598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97.5% ore becoming tailings</t>
        </r>
      </text>
    </comment>
    <comment ref="AM57" authorId="0" shapeId="0" xr:uid="{D016D21C-D955-4E7A-AC2A-C025715F230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typical strip ratio of 0.7</t>
        </r>
      </text>
    </comment>
    <comment ref="E58" authorId="0" shapeId="0" xr:uid="{63B6C7D8-BE03-4573-91EC-19A901631D9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58" authorId="0" shapeId="0" xr:uid="{AB54E3E4-E5D7-4324-A2B2-717D4AAAD16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88.13%</t>
        </r>
      </text>
    </comment>
    <comment ref="H58" authorId="0" shapeId="0" xr:uid="{12944E29-7CE2-492F-8456-8D5A3611CAC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due to lack of data</t>
        </r>
      </text>
    </comment>
    <comment ref="K58" authorId="0" shapeId="0" xr:uid="{DA43C142-139C-4D02-B1FB-7AE744AC923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AH58" authorId="0" shapeId="0" xr:uid="{D16E8F46-7992-4575-B3FA-AC2A7BDFC64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97.5% ore becoming tailings</t>
        </r>
      </text>
    </comment>
    <comment ref="AM58" authorId="0" shapeId="0" xr:uid="{B651F424-24E9-43E4-AA9D-4AF71D81710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typical strip ratio of 0.7</t>
        </r>
      </text>
    </comment>
    <comment ref="E59" authorId="0" shapeId="0" xr:uid="{6E292348-319E-492C-8834-CBB66D35D53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59" authorId="0" shapeId="0" xr:uid="{81890993-1D92-4A7B-BAE4-439223C3F20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AH59" authorId="0" shapeId="0" xr:uid="{B9EE137B-50BD-4EB9-B95D-0A6B820F974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97.5% ore becoming tailings</t>
        </r>
      </text>
    </comment>
    <comment ref="AM59" authorId="0" shapeId="0" xr:uid="{E1502151-7201-439E-B141-D8BD393A87A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typical strip ratio of 0.7</t>
        </r>
      </text>
    </comment>
    <comment ref="E60" authorId="0" shapeId="0" xr:uid="{FB02CEC4-36CB-4B43-8E2A-E59C1052DD4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60" authorId="0" shapeId="0" xr:uid="{76BA57BE-C758-434F-9411-665A353EF32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AH60" authorId="0" shapeId="0" xr:uid="{4368AB82-52D0-4737-B24C-C8D75F177F2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97.5% ore becoming tailings</t>
        </r>
      </text>
    </comment>
    <comment ref="E61" authorId="0" shapeId="0" xr:uid="{EAFEBDD0-6ED5-44F2-874D-AB767027E0E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61" authorId="0" shapeId="0" xr:uid="{F0A8F8AC-20A0-41C7-A5FC-B7556606F83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AH61" authorId="0" shapeId="0" xr:uid="{6DA01CCC-E892-40C2-AC4E-34BFB6E692B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97.5% ore becoming tailings</t>
        </r>
      </text>
    </comment>
    <comment ref="E62" authorId="0" shapeId="0" xr:uid="{3819D790-17EE-442B-816C-FA00F3715E3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62" authorId="0" shapeId="0" xr:uid="{6EE9A74A-1368-474A-A982-4F670E965AA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AH62" authorId="0" shapeId="0" xr:uid="{FCCBCC9F-6FAF-48D5-8E1B-B1096468E24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97.5% ore becoming tailings</t>
        </r>
      </text>
    </comment>
    <comment ref="E63" authorId="0" shapeId="0" xr:uid="{E23A3408-D2D7-4EF4-99C6-AFBC839DF57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63" authorId="0" shapeId="0" xr:uid="{9711DB1B-988C-420B-94F8-6577DE8738E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AH63" authorId="0" shapeId="0" xr:uid="{949A7E8D-9748-499A-8275-50A0F171D05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97.5% ore becoming tailings</t>
        </r>
      </text>
    </comment>
    <comment ref="E64" authorId="0" shapeId="0" xr:uid="{F5556BFB-61F6-4FD2-8DA3-E24F4694E10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64" authorId="0" shapeId="0" xr:uid="{429D2FE0-390B-4AD9-B7AD-2FCB11F2770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AH64" authorId="0" shapeId="0" xr:uid="{0AA25BB8-1233-4E07-894D-AD3594E24A2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97.5% ore becoming tailings</t>
        </r>
      </text>
    </comment>
    <comment ref="E65" authorId="0" shapeId="0" xr:uid="{0C8AD5D1-3A9C-48D1-877F-BAAAA62AFED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65" authorId="0" shapeId="0" xr:uid="{5509DB50-68AF-493B-9164-44467A1E203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AH65" authorId="0" shapeId="0" xr:uid="{6A3B05BA-3509-4C8B-AF46-2D1D79C9595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97.5% ore becoming tailings</t>
        </r>
      </text>
    </comment>
    <comment ref="E66" authorId="0" shapeId="0" xr:uid="{6CCB96E6-4DE4-460E-A3C4-1D3B7B7F811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66" authorId="0" shapeId="0" xr:uid="{CBDC0149-F020-4270-BFD2-8D425DD64DA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E67" authorId="0" shapeId="0" xr:uid="{B9F5BB14-F800-4B8C-B4BB-7700E300AC0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67" authorId="0" shapeId="0" xr:uid="{97437BC2-04EB-4A77-A4C0-C6BA4EF35E0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88.13%</t>
        </r>
      </text>
    </comment>
    <comment ref="H67" authorId="0" shapeId="0" xr:uid="{6B26EA02-E15E-4E97-BB50-EF366000F8A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K67" authorId="0" shapeId="0" xr:uid="{53F778AB-0C18-4672-A171-C2F16AFC439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due to lack of data</t>
        </r>
      </text>
    </comment>
    <comment ref="E68" authorId="0" shapeId="0" xr:uid="{E012594E-DA32-4AC3-81AC-40F496E49ED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68" authorId="0" shapeId="0" xr:uid="{BE028C7A-D652-452F-84CE-DCB42BBDE2A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E69" authorId="0" shapeId="0" xr:uid="{65E26CBF-31FF-4734-83DE-E747B8B3FD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69" authorId="0" shapeId="0" xr:uid="{D3519A71-E336-4DC0-8E2C-F98067CE8E4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88.13%</t>
        </r>
      </text>
    </comment>
    <comment ref="H69" authorId="0" shapeId="0" xr:uid="{F8396B66-2C1A-457E-AC17-01E1DA467E8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K69" authorId="0" shapeId="0" xr:uid="{8F7115BD-9F40-4782-9410-257EC04B5FE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E70" authorId="0" shapeId="0" xr:uid="{576AAEB8-FA87-4ECC-B3FD-F5FFBB93A1F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70" authorId="0" shapeId="0" xr:uid="{30E9A9A7-5044-4685-89C1-14BC0DD1897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88.13%</t>
        </r>
      </text>
    </comment>
    <comment ref="H70" authorId="0" shapeId="0" xr:uid="{AC488544-E934-416C-871F-BF3FF2110BE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K70" authorId="0" shapeId="0" xr:uid="{9940DB01-BEB7-40C8-82BA-47A33BB68B0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E71" authorId="0" shapeId="0" xr:uid="{4DAE2F49-DF2E-4855-A84C-3B227EDB33D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71" authorId="0" shapeId="0" xr:uid="{A9D0B507-2903-4B39-8C39-A96878493CD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88.13%</t>
        </r>
      </text>
    </comment>
    <comment ref="H71" authorId="0" shapeId="0" xr:uid="{F5695E9F-548F-4AD8-90BF-2557E083D51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K71" authorId="0" shapeId="0" xr:uid="{63923495-679F-4D05-9159-D3113613FF0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E72" authorId="0" shapeId="0" xr:uid="{2B43B78C-75DC-46ED-B7A4-BC2FB3862ED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15" authorId="0" shapeId="0" xr:uid="{9C9B51C3-D33D-4D25-A912-7AD32F7581D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25% underground</t>
        </r>
      </text>
    </comment>
    <comment ref="E116" authorId="0" shapeId="0" xr:uid="{586CDFBE-CDEE-4969-BF53-E81D5DF39C7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50% underground</t>
        </r>
      </text>
    </comment>
    <comment ref="E117" authorId="0" shapeId="0" xr:uid="{A94991C5-2F95-4650-992C-2BE56C40A69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25% underground</t>
        </r>
      </text>
    </comment>
    <comment ref="K124" authorId="0" shapeId="0" xr:uid="{56E0E500-75B6-4A45-A350-B033617FBF8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25" authorId="0" shapeId="0" xr:uid="{F7DE9DB7-ED9E-452D-A696-1413BD40304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25" authorId="0" shapeId="0" xr:uid="{CD2D8F74-7203-45D0-90BA-B9246285E26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26" authorId="0" shapeId="0" xr:uid="{53363E6C-C24C-47D3-B291-E3DAC990546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26" authorId="0" shapeId="0" xr:uid="{5C624E49-7847-4094-913D-51C5C4A0A1C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27" authorId="0" shapeId="0" xr:uid="{3B9425C7-78F1-4280-9600-5C1F3C72C2C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27" authorId="0" shapeId="0" xr:uid="{069F4E7B-FB80-44F5-A278-DB7902F30DE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28" authorId="0" shapeId="0" xr:uid="{885F8843-9C21-458B-9B7B-035E2C9051E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28" authorId="0" shapeId="0" xr:uid="{29323CF4-B6F0-46AD-B31D-E26CBB76152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29" authorId="0" shapeId="0" xr:uid="{B074E70D-E5D9-429E-9532-1943C766E4F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29" authorId="0" shapeId="0" xr:uid="{A5A85D64-6F3E-4749-B60D-5CA4E40BE46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30" authorId="0" shapeId="0" xr:uid="{9211759C-23D6-4FB7-BB99-5FD7A7BAB9A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30" authorId="0" shapeId="0" xr:uid="{0FA91435-83C7-42B7-94BF-71905DEAF42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31" authorId="0" shapeId="0" xr:uid="{0CA5AD42-15F4-4CD5-96C0-D9E3EB6F219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31" authorId="0" shapeId="0" xr:uid="{B4BB2D20-96E9-4790-8C47-8EDBE5FA601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32" authorId="0" shapeId="0" xr:uid="{811AFE64-4783-42BB-A95E-412157E7E78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32" authorId="0" shapeId="0" xr:uid="{58DAD732-5D8C-4B7E-BB92-CDA3FA85395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33" authorId="0" shapeId="0" xr:uid="{FCDB1068-47CF-4AEE-99C1-82804871A08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33" authorId="0" shapeId="0" xr:uid="{4729DF61-9A71-4E6B-B91B-98E17FBA042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34" authorId="0" shapeId="0" xr:uid="{5080EF64-47A6-4672-A112-C35CE00424E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34" authorId="0" shapeId="0" xr:uid="{5FDA887D-48DB-4ED8-AD52-7AC298078E2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35" authorId="0" shapeId="0" xr:uid="{B946491E-88CB-460D-BF6B-5081119AB26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35" authorId="0" shapeId="0" xr:uid="{78CD0298-6AFB-4B41-B228-F8011D69652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36" authorId="0" shapeId="0" xr:uid="{36E380BD-F0DC-43A9-9F20-ED0834697E7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36" authorId="0" shapeId="0" xr:uid="{47C5FF96-F7D5-491A-ADA3-A9082FA621B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37" authorId="0" shapeId="0" xr:uid="{C07D5F25-7EF9-49D5-ACD5-52CBF30B998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37" authorId="0" shapeId="0" xr:uid="{7B6006C1-BFA2-4ECE-8446-0F7A1C593AE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38" authorId="0" shapeId="0" xr:uid="{1B820FEE-EBEB-4192-8878-3E7381B5736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38" authorId="0" shapeId="0" xr:uid="{07AC72D4-F73B-40F0-93BE-DF7F4F451B6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39" authorId="0" shapeId="0" xr:uid="{247C6766-BFCD-47E7-B63E-77C672E9B1B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39" authorId="0" shapeId="0" xr:uid="{50D70041-E4C2-4222-A877-830610CE2E3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140" authorId="0" shapeId="0" xr:uid="{822B8987-DF74-42B4-80DE-BDD0E8FB501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140" authorId="0" shapeId="0" xr:uid="{D3C4F7C6-527D-40D6-88F4-E11623F4DBE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G145" authorId="0" shapeId="0" xr:uid="{B0DF91F1-2F9A-4FA1-B243-C17F3C26CD5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Au recovery</t>
        </r>
      </text>
    </comment>
    <comment ref="I145" authorId="0" shapeId="0" xr:uid="{9D435366-E953-4A5E-9E94-46BD60CC993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source "Nevada Mineral Industry 1994"</t>
        </r>
      </text>
    </comment>
    <comment ref="T145" authorId="0" shapeId="0" xr:uid="{FB94B907-85E4-428B-86DC-4B084995DD1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15,000 oz from adjacent Alligator Ridge-Yankee mines; source "Nevada Mineral Industry 1994"</t>
        </r>
      </text>
    </comment>
    <comment ref="AM145" authorId="0" shapeId="0" xr:uid="{F2A7C2E5-FC13-45A2-B44F-BCFEAC7789B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G146" authorId="0" shapeId="0" xr:uid="{AE8D0973-E032-4EE6-AA3A-A685D6F8701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Au recovery</t>
        </r>
      </text>
    </comment>
    <comment ref="I146" authorId="0" shapeId="0" xr:uid="{4F165241-2367-41AC-8186-F7A9CAECEDB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source "Nevada Mineral Industry 1994"</t>
        </r>
      </text>
    </comment>
    <comment ref="AM146" authorId="0" shapeId="0" xr:uid="{16078AAE-9654-490E-ACED-D89062864E6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AM147" authorId="0" shapeId="0" xr:uid="{91FC9F15-2A35-4631-8F0D-4A631CDFAED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AM148" authorId="0" shapeId="0" xr:uid="{87195B29-7D21-4735-96FA-8A5BFEB855E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AM149" authorId="0" shapeId="0" xr:uid="{A3E22378-AD6C-4738-90F9-3AEC32EC40D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AM150" authorId="0" shapeId="0" xr:uid="{106679FF-5BD9-4E30-B366-84F6FE5DEB3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AM151" authorId="0" shapeId="0" xr:uid="{3AAC1DBC-B1E5-4193-A63B-A894425ED5B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AM152" authorId="0" shapeId="0" xr:uid="{A73631FE-CE8F-4C73-8BF8-A2153AD744A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AM153" authorId="0" shapeId="0" xr:uid="{38D0AF37-9DA4-4B00-A1A0-53AB535A2C8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AM154" authorId="0" shapeId="0" xr:uid="{7A01EF9D-9550-4C3B-B8FA-D1667D473C5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AM155" authorId="0" shapeId="0" xr:uid="{2CAD2FF2-DD7A-4C5D-A504-59AB36A1A97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AM156" authorId="0" shapeId="0" xr:uid="{ACD1E05B-2EDA-482C-B356-B2FB2EC9BA2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AM157" authorId="0" shapeId="0" xr:uid="{8133B4D9-223B-48B1-8230-2005C445D8F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2:1 strip ratio</t>
        </r>
      </text>
    </comment>
    <comment ref="AM168" authorId="0" shapeId="0" xr:uid="{DDD2007E-1FCE-46DB-AA3C-DE3493ACC34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H313" authorId="0" shapeId="0" xr:uid="{53418F24-59B4-4E2B-90DE-A6E9344C1E0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historical production data</t>
        </r>
      </text>
    </comment>
    <comment ref="L313" authorId="0" shapeId="0" xr:uid="{32677171-9332-42BF-8264-43FF7D45738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M313" authorId="0" shapeId="0" xr:uid="{ACBD78DF-4153-42D3-88E6-3F7E2C5DAB2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R313" authorId="0" shapeId="0" xr:uid="{F0ED254D-E250-493C-AC9E-1BAF0AFE3D1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historical production data</t>
        </r>
      </text>
    </comment>
    <comment ref="S313" authorId="0" shapeId="0" xr:uid="{15B0DABA-9580-4071-AC48-CD1D95B1A73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historical production data</t>
        </r>
      </text>
    </comment>
    <comment ref="H314" authorId="0" shapeId="0" xr:uid="{7CC0D5ED-2B9F-4BA4-9604-058BCF6C309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historical production data</t>
        </r>
      </text>
    </comment>
    <comment ref="L314" authorId="0" shapeId="0" xr:uid="{593A3067-C896-49E0-96FA-E835E0881D7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M314" authorId="0" shapeId="0" xr:uid="{6F100BAF-4420-479D-9496-E842CCB323A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R314" authorId="0" shapeId="0" xr:uid="{CA59C27A-7AC5-4118-93CD-A52BD3DA22F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historical production data</t>
        </r>
      </text>
    </comment>
    <comment ref="S314" authorId="0" shapeId="0" xr:uid="{C0CAE5DE-D5C6-4FF3-BD8D-690AAFF39EB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historical production data</t>
        </r>
      </text>
    </comment>
    <comment ref="A319" authorId="0" shapeId="0" xr:uid="{DFDA30DB-3C53-48F9-813C-34FE8F0D48D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20" authorId="0" shapeId="0" xr:uid="{C520B73B-0E80-4D5D-9738-65CE391D9AB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21" authorId="0" shapeId="0" xr:uid="{94848068-15BB-435E-9F29-8D847A57D44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22" authorId="0" shapeId="0" xr:uid="{E2172F0D-011A-4C09-BE1C-00B0572E93D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23" authorId="0" shapeId="0" xr:uid="{D054C70B-C88F-46B7-A249-D2E627E98F2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24" authorId="0" shapeId="0" xr:uid="{3EBC5273-4A3F-426F-A0D0-E0D348C5F78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25" authorId="0" shapeId="0" xr:uid="{C55E32E1-2829-42C5-833B-635D8E3851B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26" authorId="0" shapeId="0" xr:uid="{438E0C5F-084F-439D-BBDB-CBD7C51156C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27" authorId="0" shapeId="0" xr:uid="{7E84A2D6-A34E-42E8-9FBA-22EB87D7C97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28" authorId="0" shapeId="0" xr:uid="{5856B3D8-E18C-41F3-92A2-B7BFDB14DEA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29" authorId="0" shapeId="0" xr:uid="{65E40ECA-8B37-4280-ABAC-0C45856044B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30" authorId="0" shapeId="0" xr:uid="{DB80FDBF-FF6A-436B-8F8F-1D4637DEA14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31" authorId="0" shapeId="0" xr:uid="{D2179266-86A2-423E-A514-2E8115778B0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A332" authorId="0" shapeId="0" xr:uid="{D19DC0F1-664E-493E-8871-2260F62F32D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some estimated data</t>
        </r>
      </text>
    </comment>
    <comment ref="R333" authorId="0" shapeId="0" xr:uid="{5B1964EB-0DE2-4B84-837B-03C7F73798C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334" authorId="0" shapeId="0" xr:uid="{9067B491-9C48-4FCD-89EC-A99016129D1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335" authorId="0" shapeId="0" xr:uid="{B6FF881D-DE8B-4902-9789-2B2A9F5D841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336" authorId="0" shapeId="0" xr:uid="{96BFA626-AAE2-46B7-BD33-C2B9B40A472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337" authorId="0" shapeId="0" xr:uid="{15790D97-6C0F-4D26-90CD-BDCE1DB3865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338" authorId="0" shapeId="0" xr:uid="{ACFBDBAA-F5D0-433E-859C-77FBB25353E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339" authorId="0" shapeId="0" xr:uid="{DED1A138-5A50-43F7-A343-8348B451EF5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340" authorId="0" shapeId="0" xr:uid="{6223EF8B-34F6-461D-930E-9849F107CDF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341" authorId="0" shapeId="0" xr:uid="{8E76A84F-6761-492E-9566-B217DA78BAA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348" authorId="0" shapeId="0" xr:uid="{E9AEA050-4603-41B3-B127-F14F4EB77DA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60% Ag recovery</t>
        </r>
      </text>
    </comment>
    <comment ref="J349" authorId="0" shapeId="0" xr:uid="{18226E23-A5B4-434E-B2F8-3FBDA324B54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60% Ag recovery</t>
        </r>
      </text>
    </comment>
    <comment ref="J350" authorId="0" shapeId="0" xr:uid="{4EB6B8D2-6389-4921-BA2D-0E56A817354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60% Ag recovery</t>
        </r>
      </text>
    </comment>
    <comment ref="J351" authorId="0" shapeId="0" xr:uid="{5F246D4E-617A-431E-A1C9-3CEC953E4B4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60% Ag recovery</t>
        </r>
      </text>
    </comment>
    <comment ref="J352" authorId="0" shapeId="0" xr:uid="{F3146D69-1FBB-4224-AFBD-629F86CC66E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60% Ag recovery</t>
        </r>
      </text>
    </comment>
    <comment ref="J353" authorId="0" shapeId="0" xr:uid="{F6C81805-40D6-4AA5-8AD8-2AE84567442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60% Ag recovery</t>
        </r>
      </text>
    </comment>
    <comment ref="J495" authorId="0" shapeId="0" xr:uid="{2341DF4B-9A9E-4330-AFD4-E70503E367E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U495" authorId="0" shapeId="0" xr:uid="{0AFECE55-580F-45AD-8632-3D9EF0B40CB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Ag</t>
        </r>
      </text>
    </comment>
    <comment ref="J496" authorId="0" shapeId="0" xr:uid="{518ED2F1-57F9-4E2E-99CF-9326D58A215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U496" authorId="0" shapeId="0" xr:uid="{A1F178B7-516B-40CE-9AFC-007471AAFBC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Ag</t>
        </r>
      </text>
    </comment>
    <comment ref="J497" authorId="0" shapeId="0" xr:uid="{2D3A0256-5E2F-4451-B8EF-8610144BE97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U497" authorId="0" shapeId="0" xr:uid="{B460FA0B-D90C-4D72-BB7A-6AB60BA9414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Ag</t>
        </r>
      </text>
    </comment>
    <comment ref="J498" authorId="0" shapeId="0" xr:uid="{36D6EFEC-08E7-4C36-9CE2-10CFC1E4A69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U498" authorId="0" shapeId="0" xr:uid="{3020BBB2-9477-4848-AD34-5FC86BAD156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Ag</t>
        </r>
      </text>
    </comment>
    <comment ref="J499" authorId="0" shapeId="0" xr:uid="{00EBDB1B-33DF-4717-893E-BF6D2B8CBD0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U499" authorId="0" shapeId="0" xr:uid="{FEB70754-813C-4CAA-B46E-83B1B49A015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Ag</t>
        </r>
      </text>
    </comment>
    <comment ref="J500" authorId="0" shapeId="0" xr:uid="{E2092B3C-789E-45E6-8243-CB55B10A715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U500" authorId="0" shapeId="0" xr:uid="{2D0C30B0-4DDD-41C5-BFF1-DE7C92B892F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Ag</t>
        </r>
      </text>
    </comment>
    <comment ref="J501" authorId="0" shapeId="0" xr:uid="{D28F9E03-1F01-4044-9D1B-23A8204D2D6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U501" authorId="0" shapeId="0" xr:uid="{9B76A155-E938-42D0-85DD-41176D7AB42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Ag</t>
        </r>
      </text>
    </comment>
    <comment ref="J502" authorId="0" shapeId="0" xr:uid="{6999DCAC-408E-4B18-9B19-8235D6ED5B9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U502" authorId="0" shapeId="0" xr:uid="{D0522DF6-E167-4DAA-A34F-B6312F0F227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Ag</t>
        </r>
      </text>
    </comment>
    <comment ref="J503" authorId="0" shapeId="0" xr:uid="{CD031931-BACE-4F03-A464-8800C6019DC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U503" authorId="0" shapeId="0" xr:uid="{80ACE1AC-436A-454B-9939-DF9C2C247D4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Ag</t>
        </r>
      </text>
    </comment>
    <comment ref="J504" authorId="0" shapeId="0" xr:uid="{8A7A90EE-7665-4F92-A968-191AB757478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U504" authorId="0" shapeId="0" xr:uid="{77F1B8C3-52A3-4B61-8712-040F35F379C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Ag</t>
        </r>
      </text>
    </comment>
    <comment ref="J505" authorId="0" shapeId="0" xr:uid="{7D32C0D8-1439-42EB-9C5C-ED32E3490C6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U505" authorId="0" shapeId="0" xr:uid="{F64015B1-0983-490E-97EA-FCB5B0481A7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Ag</t>
        </r>
      </text>
    </comment>
    <comment ref="J506" authorId="0" shapeId="0" xr:uid="{975686E9-D972-4001-A418-EC4D184919E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U506" authorId="0" shapeId="0" xr:uid="{DFD7620A-B3AC-4FDE-9B5E-0E774FEF288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same Ag recovery as Ag</t>
        </r>
      </text>
    </comment>
    <comment ref="J507" authorId="0" shapeId="0" xr:uid="{2C5AC941-89A5-494B-BE7F-421A86E34A4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J508" authorId="0" shapeId="0" xr:uid="{F7510057-C937-4D57-B7BC-92822D618FC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J509" authorId="0" shapeId="0" xr:uid="{6FD28E5D-B0E7-4212-BA0A-D2F205F59A3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J510" authorId="0" shapeId="0" xr:uid="{CD180A58-8297-4F7F-A9AA-CA05FB42C24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J511" authorId="0" shapeId="0" xr:uid="{05BD539B-A0C6-449B-8E7C-DB16A5D363E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J512" authorId="0" shapeId="0" xr:uid="{9C8F5D8E-C80E-4D4C-BFC9-FBBF6BE04C1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approximate only; based on 2015 Ag reserves grades</t>
        </r>
      </text>
    </comment>
    <comment ref="R555" authorId="0" shapeId="0" xr:uid="{79F6FACC-D4A8-42B1-B816-B199C7D6712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56" authorId="0" shapeId="0" xr:uid="{F3491C48-1971-4DFB-AC22-E8C76EB90D1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57" authorId="0" shapeId="0" xr:uid="{D31F9EC8-3A02-46A6-86D3-F097023F884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58" authorId="0" shapeId="0" xr:uid="{9A20A9F9-19B4-4E35-BDCF-732902DAC7F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59" authorId="0" shapeId="0" xr:uid="{C54DB37A-DA19-4015-A15D-D872B34C10B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60" authorId="0" shapeId="0" xr:uid="{CE50340B-216E-40E1-B699-C7CC30C232F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61" authorId="0" shapeId="0" xr:uid="{B649CAF8-E97F-473C-8280-3966F934F60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62" authorId="0" shapeId="0" xr:uid="{B69378C4-80F2-4138-9D3B-630E55B46FA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77" authorId="0" shapeId="0" xr:uid="{2548DEBB-5073-43E7-9C88-6C5AA303A52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78" authorId="0" shapeId="0" xr:uid="{6B932579-17B8-4BA9-82A6-D3164586588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79" authorId="0" shapeId="0" xr:uid="{51309A4A-06A9-404E-A33D-ACCD05CCEA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80" authorId="0" shapeId="0" xr:uid="{29C74A50-F675-4F82-B924-51F5A67B917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81" authorId="0" shapeId="0" xr:uid="{63DB6DD1-3B38-4269-BFA7-EDDD5DEB69B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82" authorId="0" shapeId="0" xr:uid="{29A9C7AC-C0A9-485A-B85E-B4D4B018943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R583" authorId="0" shapeId="0" xr:uid="{53D18D2F-00A4-44AC-8E42-DD8F708A1A4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588" authorId="0" shapeId="0" xr:uid="{CAC38BE1-3521-48F8-9E5E-E417786F2D1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588" authorId="0" shapeId="0" xr:uid="{85441384-6193-48E2-B473-01816D3DC46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589" authorId="0" shapeId="0" xr:uid="{C887CA7A-EE62-4BFA-9FE3-0E99905DCCF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589" authorId="0" shapeId="0" xr:uid="{0CB56633-DCFD-4081-AB1A-2643C25FBCF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590" authorId="0" shapeId="0" xr:uid="{C92B2545-6037-4144-BE8D-11341597657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590" authorId="0" shapeId="0" xr:uid="{612881F3-387A-4CBE-9AC5-0791F3CD859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591" authorId="0" shapeId="0" xr:uid="{F0FE559E-CA06-4E8C-92DD-DBEE624A036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591" authorId="0" shapeId="0" xr:uid="{C133FF27-4E16-4B69-9156-1E236A234A9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592" authorId="0" shapeId="0" xr:uid="{BA6E14D9-D82E-433F-82F6-1834ACAE8E0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592" authorId="0" shapeId="0" xr:uid="{656A9F43-7F37-42BD-B801-43BC0406820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593" authorId="0" shapeId="0" xr:uid="{4AFFF7E3-DE2E-435B-91F4-ED088594322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593" authorId="0" shapeId="0" xr:uid="{D4B140AE-F520-4954-8132-8A72019A1C3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594" authorId="0" shapeId="0" xr:uid="{95FD72B5-66BC-4112-87C2-AF683E176D6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594" authorId="0" shapeId="0" xr:uid="{742A922E-F28A-4B69-A072-C0E64218354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595" authorId="0" shapeId="0" xr:uid="{2BC898A7-2EA2-4FF3-9557-A748D46C616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595" authorId="0" shapeId="0" xr:uid="{A2042BBA-10A5-4F5C-8A5D-6DD4901E03B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596" authorId="0" shapeId="0" xr:uid="{987D0310-5107-423F-AE41-BAEA2116F65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596" authorId="0" shapeId="0" xr:uid="{E67A46F3-AD75-4DDC-83F1-20407226E4C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597" authorId="0" shapeId="0" xr:uid="{ACB9B4BF-43D9-47AD-84DC-5A0AD000D1C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597" authorId="0" shapeId="0" xr:uid="{5FD78447-6DC8-4BCD-8F8F-CB49FE291F3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598" authorId="0" shapeId="0" xr:uid="{8561AC1E-FE8C-4FF5-AE30-E99007E539A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598" authorId="0" shapeId="0" xr:uid="{E460ADE8-55B9-4720-B10E-FD06508C455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599" authorId="0" shapeId="0" xr:uid="{4F6A509B-04FB-4C71-9FD6-D53A6BE5B82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599" authorId="0" shapeId="0" xr:uid="{C600A03E-3E16-403B-BA46-5B3758B8F3E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600" authorId="0" shapeId="0" xr:uid="{D62A4371-02D9-4FC8-86D7-11883D47428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600" authorId="0" shapeId="0" xr:uid="{5D2A763F-F8EB-40F8-8D34-C3E617AD4E9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601" authorId="0" shapeId="0" xr:uid="{12D07AF7-A5F0-45ED-A7A5-FBFA4661E5F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601" authorId="0" shapeId="0" xr:uid="{1C22DC97-C8CB-4E7E-B1B2-9FA62562858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602" authorId="0" shapeId="0" xr:uid="{A9BAFB08-5945-41D4-9253-49CBC7A7E77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602" authorId="0" shapeId="0" xr:uid="{F752C096-F20E-4D2F-B5B6-D567644219E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X603" authorId="0" shapeId="0" xr:uid="{87F2C867-55A8-4E25-B5CF-21AE42589C9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Z603" authorId="0" shapeId="0" xr:uid="{3BC2E1EC-C9E7-4D2B-9875-8A47E6BB471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47" authorId="0" shapeId="0" xr:uid="{AA865020-5667-4D25-90D2-ED149688C6D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48" authorId="0" shapeId="0" xr:uid="{EE9CC47F-5978-4AF9-932F-29241259490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49" authorId="0" shapeId="0" xr:uid="{A115ED00-6A63-4130-B1E4-8580F17FC36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50" authorId="0" shapeId="0" xr:uid="{4F869028-6BEA-44CB-9668-27F76931F9E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51" authorId="0" shapeId="0" xr:uid="{3C47A4CC-6730-49A0-AC4C-EBE9E30A38C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52" authorId="0" shapeId="0" xr:uid="{707F8DC6-A894-4C7B-B4AE-AF7DD0E7053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665" authorId="0" shapeId="0" xr:uid="{8491649B-3970-4526-9E8D-9C1AD233156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85% Cu recovery</t>
        </r>
      </text>
    </comment>
    <comment ref="H665" authorId="0" shapeId="0" xr:uid="{DE7208F7-FC41-447E-88A9-0875B657567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2013 ore reserves grade</t>
        </r>
      </text>
    </comment>
    <comment ref="G666" authorId="0" shapeId="0" xr:uid="{62429915-676D-4B18-8DC3-3736FFDC5BE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85% Cu recovery</t>
        </r>
      </text>
    </comment>
    <comment ref="H666" authorId="0" shapeId="0" xr:uid="{0039479F-8045-47BC-B647-FD407F07F1C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ore reserves grade</t>
        </r>
      </text>
    </comment>
    <comment ref="G667" authorId="0" shapeId="0" xr:uid="{9B146635-CBDE-4B55-BF91-FC2AEB06933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85% Cu recovery</t>
        </r>
      </text>
    </comment>
    <comment ref="H667" authorId="0" shapeId="0" xr:uid="{CA362E7A-0D6B-40F7-99EC-76AFD6BDD90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ore reserves grade</t>
        </r>
      </text>
    </comment>
    <comment ref="G668" authorId="0" shapeId="0" xr:uid="{3EDF2F6A-6B08-48D0-AC1A-96EDD8E1BCE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85% Cu recovery</t>
        </r>
      </text>
    </comment>
    <comment ref="H668" authorId="0" shapeId="0" xr:uid="{6F56D843-2764-4AC5-9060-10D537FC71C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ore reserves grade</t>
        </r>
      </text>
    </comment>
    <comment ref="G669" authorId="0" shapeId="0" xr:uid="{863EFEF3-3347-434B-A0C8-284C0CCD080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85% Cu recovery</t>
        </r>
      </text>
    </comment>
    <comment ref="H669" authorId="0" shapeId="0" xr:uid="{04F8CEA9-D77D-42B8-8F33-5CE777C218F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ore reserves grade</t>
        </r>
      </text>
    </comment>
    <comment ref="G670" authorId="0" shapeId="0" xr:uid="{C1CAB860-2D0E-402F-9C46-BCA89627330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H670" authorId="0" shapeId="0" xr:uid="{7C7F2004-09F4-46C1-B694-25B5D49359A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S670" authorId="0" shapeId="0" xr:uid="{F636FC4E-C681-4D71-AEC8-68AA71741BF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85% Cu recovery</t>
        </r>
      </text>
    </comment>
    <comment ref="I675" authorId="0" shapeId="0" xr:uid="{80EABCED-2BBE-4FD5-A400-D0EEC13C6CC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675" authorId="0" shapeId="0" xr:uid="{C99E2FB0-6FC1-42A0-B022-A3293BE1C14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675" authorId="0" shapeId="0" xr:uid="{105DE46E-2E38-4D04-8187-EE9B97CE42A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G676" authorId="0" shapeId="0" xr:uid="{9E6EC939-0779-4327-8B12-B2B4A0D1702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85.03%</t>
        </r>
      </text>
    </comment>
    <comment ref="H676" authorId="0" shapeId="0" xr:uid="{A8F6B4FE-0079-4AB5-9ED7-3DC930C23D6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I676" authorId="0" shapeId="0" xr:uid="{F937BAB7-31D6-4182-9E68-E27E78D3426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76" authorId="0" shapeId="0" xr:uid="{714EDB21-7832-4D3C-BBAE-24A20809803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676" authorId="0" shapeId="0" xr:uid="{409E4269-6029-4FEF-A0D4-1C695BF0FF6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due to lack of data</t>
        </r>
      </text>
    </comment>
    <comment ref="T676" authorId="0" shapeId="0" xr:uid="{512E1556-0F5D-4F30-8BD0-9DCCD8593DA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676" authorId="0" shapeId="0" xr:uid="{EBC7017B-CA13-4F6D-B0F2-0A7D73EA5AA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W676" authorId="0" shapeId="0" xr:uid="{DD959D92-75B6-4D5B-8AFA-915C08B4FC7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I677" authorId="0" shapeId="0" xr:uid="{AA74D009-B910-45B4-AFC5-E3117DF0D83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677" authorId="0" shapeId="0" xr:uid="{24B065FF-1671-47CC-AEEC-EA95D6C5871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677" authorId="0" shapeId="0" xr:uid="{A27ADE2B-1339-49C9-87E1-9F075C8C1DA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G678" authorId="0" shapeId="0" xr:uid="{49737FDB-AC8D-4A65-B037-DA4DCE6C951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85.03%</t>
        </r>
      </text>
    </comment>
    <comment ref="H678" authorId="0" shapeId="0" xr:uid="{A7931006-0F0C-48D6-8CED-3AC868F6BF1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I678" authorId="0" shapeId="0" xr:uid="{354E4BDD-4A1F-4BA7-BCD2-91706D97BA3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678" authorId="0" shapeId="0" xr:uid="{62066248-9B01-4959-B2FE-2C6081671CC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678" authorId="0" shapeId="0" xr:uid="{E05CE2A3-9C78-4CAA-BEC8-6AC5C4C6F6E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G679" authorId="0" shapeId="0" xr:uid="{F5D506BC-55B8-403E-8E17-90ACEA358CB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85.03%</t>
        </r>
      </text>
    </comment>
    <comment ref="H679" authorId="0" shapeId="0" xr:uid="{D45ADB6F-261B-4BBF-A255-931A6D450C7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I679" authorId="0" shapeId="0" xr:uid="{C52C822E-C5FD-4C48-AE1E-ED82B380F21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79" authorId="0" shapeId="0" xr:uid="{919A1C29-7E06-4E86-8173-1DC2330B1F5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679" authorId="0" shapeId="0" xr:uid="{4B6FE529-A605-46DF-B000-57F3FCCAF5D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T679" authorId="0" shapeId="0" xr:uid="{66E849D0-AF35-41EF-A0AF-E1E2FE8B7B5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679" authorId="0" shapeId="0" xr:uid="{4CD2A0F7-6061-4AE5-97F7-590BC26232E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684" authorId="0" shapeId="0" xr:uid="{E0D2D6A2-51C0-47FD-9842-525AE9C7043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85" authorId="0" shapeId="0" xr:uid="{F9CD99E4-6192-4453-A93D-3D25806461D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86" authorId="0" shapeId="0" xr:uid="{F824F552-66DE-4004-B371-87E3BF55325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87" authorId="0" shapeId="0" xr:uid="{8A8D88FD-643D-456E-A13F-8EB7A916881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88" authorId="0" shapeId="0" xr:uid="{980AF6F9-339C-4ADA-91F9-DE4BA31796A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89" authorId="0" shapeId="0" xr:uid="{4E867463-D53E-4330-95D7-FB5AEA58132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90" authorId="0" shapeId="0" xr:uid="{C003995E-B778-4512-8D7C-F907BC38DA7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91" authorId="0" shapeId="0" xr:uid="{8C3B0026-6F8A-4AA3-9622-AB863B663D7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92" authorId="0" shapeId="0" xr:uid="{FCB35BD8-70F9-4D35-9F35-168D65E7BBB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93" authorId="0" shapeId="0" xr:uid="{E12D0A37-99F5-47C1-89E5-A4A8C82A5A9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94" authorId="0" shapeId="0" xr:uid="{A4A393A4-A394-4FF8-913B-FA3D7448506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95" authorId="0" shapeId="0" xr:uid="{38EC9A79-F2A4-432D-9294-B6596992575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96" authorId="0" shapeId="0" xr:uid="{31F9C1C8-FD3A-491B-8788-2392A133D41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97" authorId="0" shapeId="0" xr:uid="{B41A2178-2BDD-4FA9-81B7-C4598A7356F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98" authorId="0" shapeId="0" xr:uid="{66563293-47D3-4C4A-B6A3-8DB67FC9201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699" authorId="0" shapeId="0" xr:uid="{F4AAECEC-F598-47A5-9C92-9777951C1DD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00" authorId="0" shapeId="0" xr:uid="{A44CB873-9BD4-477D-ACF4-69FDA87639A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01" authorId="0" shapeId="0" xr:uid="{889A58CD-3CBF-474F-A4E4-DFBA518E6C4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02" authorId="0" shapeId="0" xr:uid="{8528C21B-1163-4A06-B90B-E5A9460FEE8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03" authorId="0" shapeId="0" xr:uid="{B7DE6AC5-E4DD-485F-A873-52372985F07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04" authorId="0" shapeId="0" xr:uid="{427BE4BF-505D-431D-90B4-5577DCE4C18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05" authorId="0" shapeId="0" xr:uid="{2536C147-E06C-4C5E-B3AD-3280E7D25A8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06" authorId="0" shapeId="0" xr:uid="{7490615D-9BCC-4A5B-A5BC-E2749853A8B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07" authorId="0" shapeId="0" xr:uid="{3C7CD50B-6114-4A09-B21B-1892DE04924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08" authorId="0" shapeId="0" xr:uid="{E631A787-004D-4283-BFE4-368AF95164C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09" authorId="0" shapeId="0" xr:uid="{52DBA94E-BC75-4986-88BE-A04CA524430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10" authorId="0" shapeId="0" xr:uid="{4C167455-798E-4E60-B0A9-5BAB3C3DDAC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11" authorId="0" shapeId="0" xr:uid="{718717D4-EFB8-4309-B90B-FA5A65776C2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12" authorId="0" shapeId="0" xr:uid="{71A70DB0-7FAD-49AE-8B08-1A03AEF727F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13" authorId="0" shapeId="0" xr:uid="{458B2132-36A5-4FDB-9BD3-B41C8C2DA7F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14" authorId="0" shapeId="0" xr:uid="{19906E36-DE73-4B76-A7E7-BF3648D05AC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15" authorId="0" shapeId="0" xr:uid="{526C8AFE-ED06-4046-8AE0-D9909A56755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16" authorId="0" shapeId="0" xr:uid="{C2A885A0-A00A-4DA6-966C-355CE21DFD9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17" authorId="0" shapeId="0" xr:uid="{DA5FC70F-6527-4A90-A1C0-277670C4A6A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18" authorId="0" shapeId="0" xr:uid="{BC63A683-364F-41E1-B7E8-8E117F07893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19" authorId="0" shapeId="0" xr:uid="{8C525616-411F-4A96-9C8C-007A2C4167B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20" authorId="0" shapeId="0" xr:uid="{EE696319-01D6-4440-AB0B-F5FD8B69927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21" authorId="0" shapeId="0" xr:uid="{ADC84DAB-9458-4447-90DA-64CEF29E101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22" authorId="0" shapeId="0" xr:uid="{A6A904D4-C1AF-422B-95CE-2E17D6B1ECF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23" authorId="0" shapeId="0" xr:uid="{FF003257-D625-4B4B-9963-1B3DE02FBD3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24" authorId="0" shapeId="0" xr:uid="{6BC4671D-5B41-4592-8B20-CAE07A695ED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25" authorId="0" shapeId="0" xr:uid="{77B301BB-9DB4-40F4-9FD5-3088920F89B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26" authorId="0" shapeId="0" xr:uid="{7DA04662-2E85-4FFB-808C-70263263113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27" authorId="0" shapeId="0" xr:uid="{4566E8A3-3EE1-47CA-81AA-172268334FE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28" authorId="0" shapeId="0" xr:uid="{4FB5A383-2B19-4568-945D-918B88D10E6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29" authorId="0" shapeId="0" xr:uid="{9EE0A9A0-8F80-4B43-9156-FF045DB40DE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30" authorId="0" shapeId="0" xr:uid="{E6BD264E-FC7D-4367-B47C-4A340718F87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31" authorId="0" shapeId="0" xr:uid="{E7D8E597-D60B-48E4-B0AF-4324F2B333F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32" authorId="0" shapeId="0" xr:uid="{8DD5C7D0-776C-415C-8CC4-697E3181897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33" authorId="0" shapeId="0" xr:uid="{333C51D2-3DCD-4CD8-9FF1-4E18F0F1936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34" authorId="0" shapeId="0" xr:uid="{A10C6A57-E481-49C2-B574-3CCE3D31EA7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35" authorId="0" shapeId="0" xr:uid="{49A5D1AE-FC56-4E12-8CA0-49E2A95055F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36" authorId="0" shapeId="0" xr:uid="{38B0AFEC-C741-4352-9EB2-38D24C794F8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37" authorId="0" shapeId="0" xr:uid="{E0E64F10-BD1D-453C-95ED-7A3353D7ECF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38" authorId="0" shapeId="0" xr:uid="{A800570C-637C-4873-8BA3-26236E24BFF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39" authorId="0" shapeId="0" xr:uid="{D6C4A34F-8AB6-4BA7-A612-D27543F3DF8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40" authorId="0" shapeId="0" xr:uid="{725BCEE9-76AF-4CEE-907E-75952F4674B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43" authorId="0" shapeId="0" xr:uid="{AF89EDCE-F358-49BF-9A42-94769F1F658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I750" authorId="0" shapeId="0" xr:uid="{A19416A3-403F-4CCD-B588-BFE37911137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50" authorId="0" shapeId="0" xr:uid="{8456D434-A718-45B7-A526-FD7EE9FEC25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750" authorId="0" shapeId="0" xr:uid="{D466B7DC-71F5-4CFE-A9AD-92A1EDC868B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750" authorId="0" shapeId="0" xr:uid="{81A330BA-BC7B-49E7-9B86-BE36A8468D1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751" authorId="0" shapeId="0" xr:uid="{FB52208C-51EB-440D-B6A4-C8F5241A3C6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51" authorId="0" shapeId="0" xr:uid="{0B070434-27C0-4C25-BE97-0F5EBFC6393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751" authorId="0" shapeId="0" xr:uid="{1D8A981F-C078-4EFC-A480-1039FBB864A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751" authorId="0" shapeId="0" xr:uid="{3564078E-513A-44A9-A4F1-FB5F0C823AD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752" authorId="0" shapeId="0" xr:uid="{0D401C91-7CA0-4AE4-86D4-513BB964462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52" authorId="0" shapeId="0" xr:uid="{1821394C-20E4-4CA9-BE77-874EAF4A94E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752" authorId="0" shapeId="0" xr:uid="{C22D0E58-2BD3-4104-A7FF-1CA9ECFB9B8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752" authorId="0" shapeId="0" xr:uid="{3EB3D57C-7BFA-4C03-B12F-D5AE77AD699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753" authorId="0" shapeId="0" xr:uid="{9C23A4CB-4054-43E4-BF51-D8CD1F488C0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53" authorId="0" shapeId="0" xr:uid="{83621800-6C92-453E-8A28-2B692C03473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753" authorId="0" shapeId="0" xr:uid="{3B9F865D-795C-402E-B5FB-371AADAC20F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753" authorId="0" shapeId="0" xr:uid="{91435853-8E7F-45D1-B4C4-193A7E65393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754" authorId="0" shapeId="0" xr:uid="{4CDE672D-8A71-4662-A27F-D9531300A3F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54" authorId="0" shapeId="0" xr:uid="{14E0CA75-64EC-4278-B7FE-B09769B503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754" authorId="0" shapeId="0" xr:uid="{6F412AFA-56A8-4415-A50C-E214BD43BB1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754" authorId="0" shapeId="0" xr:uid="{1775AFB0-01CC-456F-A311-3874E621D1C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755" authorId="0" shapeId="0" xr:uid="{DED89D88-3C43-4323-A851-AEE5ECE4D70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55" authorId="0" shapeId="0" xr:uid="{3A4CD1DB-6C9B-4213-8305-60DA5B770D0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755" authorId="0" shapeId="0" xr:uid="{B9E40268-1445-475B-A394-C440BB21E52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755" authorId="0" shapeId="0" xr:uid="{7D7A633B-CD88-498B-A28F-5C46E1A8C59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756" authorId="0" shapeId="0" xr:uid="{5BC281D4-C156-4F2E-8DA7-969D422ACC0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56" authorId="0" shapeId="0" xr:uid="{CBECAC04-7213-43D4-B339-85B1E93CCC5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756" authorId="0" shapeId="0" xr:uid="{E55F2FEC-1F3F-4ECB-AD1E-2F5D2CF41DB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756" authorId="0" shapeId="0" xr:uid="{51F2FE56-6783-4324-92CC-C9C13F08829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757" authorId="0" shapeId="0" xr:uid="{30E49410-E83D-4827-93CE-FCAF6BB8EC3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757" authorId="0" shapeId="0" xr:uid="{62C1E3EA-F024-44A5-81B0-71378893FAE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757" authorId="0" shapeId="0" xr:uid="{DC189DA6-7A62-4017-9DF0-056CAF6DBD1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757" authorId="0" shapeId="0" xr:uid="{4B759278-0080-4217-877F-7218BEA2321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758" authorId="0" shapeId="0" xr:uid="{ABD55E36-4C04-4193-8138-D0082851B74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758" authorId="0" shapeId="0" xr:uid="{0CBC857B-5494-4AD6-BDBB-92FF45ED412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759" authorId="0" shapeId="0" xr:uid="{39E111DC-BAF3-4844-B639-C4434F1A01F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759" authorId="0" shapeId="0" xr:uid="{455CD3F6-1E55-438E-88A3-2BD168D1013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65" authorId="0" shapeId="0" xr:uid="{9F5255F9-D246-4106-B504-ED3027E50BF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765" authorId="0" shapeId="0" xr:uid="{8E4C7B3D-C0DD-4F68-9138-4FC277D08AE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66" authorId="0" shapeId="0" xr:uid="{FFD1C538-55CB-49C4-9171-34F5B803F3F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766" authorId="0" shapeId="0" xr:uid="{A4B7DDF3-06F3-4A2B-B525-99AC7F1E74A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67" authorId="0" shapeId="0" xr:uid="{CB544F70-D4DE-4838-9F54-9A013E8226E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767" authorId="0" shapeId="0" xr:uid="{97E0BE42-55B9-446E-9EBE-010040338D1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68" authorId="0" shapeId="0" xr:uid="{5B8ED938-E8B7-464F-B764-571166CF1E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768" authorId="0" shapeId="0" xr:uid="{F698B15E-696C-4A2A-84EB-99D7C76B4DC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69" authorId="0" shapeId="0" xr:uid="{EDA3260D-83DD-45C6-9FCA-8FFEE4CB7AF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769" authorId="0" shapeId="0" xr:uid="{B65F58A5-AF5C-4F6C-AD9E-63631A53344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70" authorId="0" shapeId="0" xr:uid="{BD5029F8-9ED4-419F-895E-6CF549B5308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770" authorId="0" shapeId="0" xr:uid="{40BDEA1C-76E5-45ED-9EC1-548C1CB4DF1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71" authorId="0" shapeId="0" xr:uid="{030255E2-B66F-419E-BE89-67A311201A6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771" authorId="0" shapeId="0" xr:uid="{41928E7D-9E48-4F73-A113-61790438882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U771" authorId="0" shapeId="0" xr:uid="{F3D36FB5-27E4-4D38-9436-6E2954E0DF7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72" authorId="0" shapeId="0" xr:uid="{076A1978-0456-4A42-88B9-0E17FC7F55B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772" authorId="0" shapeId="0" xr:uid="{499C22ED-E952-41F0-9380-98A16F7E975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U772" authorId="0" shapeId="0" xr:uid="{1973BACC-B3D1-4F3B-A8AD-E72F100FD0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73" authorId="0" shapeId="0" xr:uid="{D35F06C1-3CB7-48FD-8BC8-E8C05A1F3FD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773" authorId="0" shapeId="0" xr:uid="{FFC1BA07-D3AD-440C-ADE4-C552597D0F6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U773" authorId="0" shapeId="0" xr:uid="{B8D185E7-DB7E-4EE0-BEAE-B4785F1AB05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74" authorId="0" shapeId="0" xr:uid="{FC1A373B-82CA-4237-B5E9-ABD0BF77273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774" authorId="0" shapeId="0" xr:uid="{5E383F58-DDEE-4B36-B153-F531B0A23F6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U774" authorId="0" shapeId="0" xr:uid="{67D2A1D5-57CB-4E75-8829-901319D59D7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75" authorId="0" shapeId="0" xr:uid="{7C152EA6-9D38-4473-9A7A-7D4CC661CEB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775" authorId="0" shapeId="0" xr:uid="{ACCF60C0-B4C1-4B5B-8383-898A9B6806A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U775" authorId="0" shapeId="0" xr:uid="{7CA7E1DD-C389-4343-946A-6D825FD5243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76" authorId="0" shapeId="0" xr:uid="{6090C7A2-6BB1-4D9D-B54A-04675E08746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776" authorId="0" shapeId="0" xr:uid="{E46A8082-820A-4280-A13E-16A1EC69D1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U776" authorId="0" shapeId="0" xr:uid="{EBBEBEB3-C4C6-4461-AC1F-88B7F6CA5F9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77" authorId="0" shapeId="0" xr:uid="{C8E343AB-0717-4DB4-BE1F-338F0674307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777" authorId="0" shapeId="0" xr:uid="{12C22893-AF46-4AA1-953A-14D5BCF9372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778" authorId="0" shapeId="0" xr:uid="{B7283C39-E9A5-463E-8841-422AC8DC4F5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K778" authorId="0" shapeId="0" xr:uid="{19D3E411-878C-43F0-984B-9BE6DD9DAF4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J779" authorId="0" shapeId="0" xr:uid="{745DC46D-24ED-42C2-8943-C3BA048505F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779" authorId="0" shapeId="0" xr:uid="{B2D4B4FD-D847-4FD4-A53A-DD144662662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U779" authorId="0" shapeId="0" xr:uid="{3A6FA0DA-0A6C-4A9A-B961-B7A69F63034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80" authorId="0" shapeId="0" xr:uid="{F2F92621-AB62-4EEF-900F-487D81C46A4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780" authorId="0" shapeId="0" xr:uid="{E79A2500-283F-4708-ABA6-66A90839F47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U780" authorId="0" shapeId="0" xr:uid="{E4D467CD-2110-4057-B9F0-A3DCE66D0BE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81" authorId="0" shapeId="0" xr:uid="{D3FC76EF-AACC-4EFE-89FD-A1C0389003C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781" authorId="0" shapeId="0" xr:uid="{6373AA7E-16EB-4EBC-B975-B3D9B83EC30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U781" authorId="0" shapeId="0" xr:uid="{F5A7EA26-E3D0-4FA8-90B8-A29BFD8D4D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782" authorId="0" shapeId="0" xr:uid="{FEE7AAC8-B0C0-4F82-B860-0BD618A94B3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782" authorId="0" shapeId="0" xr:uid="{EDEC4BCA-E801-42E6-986D-10B21059F49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U782" authorId="0" shapeId="0" xr:uid="{13C11208-14DA-45DA-9557-4250347CE30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W782" authorId="0" shapeId="0" xr:uid="{1EA42371-6DEE-4CCB-AB79-11BBBE42C66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0.012% Mo and 75% Mo recovery</t>
        </r>
      </text>
    </comment>
    <comment ref="E842" authorId="0" shapeId="0" xr:uid="{1569B9A5-9C1D-4332-A92C-A0D36E9B785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843" authorId="0" shapeId="0" xr:uid="{8077436E-24BF-4EDF-9466-028A1F629F5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844" authorId="0" shapeId="0" xr:uid="{A927831B-DB84-4314-AD9A-B3C48C00A4B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845" authorId="0" shapeId="0" xr:uid="{AC080B13-2115-406A-9968-4B3BC573498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870" authorId="0" shapeId="0" xr:uid="{6C62C13E-AEB1-4E82-A64C-DB52BECC510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U870" authorId="0" shapeId="0" xr:uid="{2E1C8770-E392-4B7D-84D0-598EB9E53DB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871" authorId="0" shapeId="0" xr:uid="{362CB47D-6830-4A6E-9A56-5D24A0DF468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U871" authorId="0" shapeId="0" xr:uid="{E2E89682-7D90-4D41-8D01-E1FD1CD169C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872" authorId="0" shapeId="0" xr:uid="{C3EED699-E21F-4BB7-BA6F-83D7F34BFD2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U872" authorId="0" shapeId="0" xr:uid="{A31D0F15-531B-4A3F-B3AF-42A6D51DDB3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873" authorId="0" shapeId="0" xr:uid="{9E4E9B23-47FC-46E5-9A89-E32FE571CC9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U873" authorId="0" shapeId="0" xr:uid="{AD21F3C2-CDA7-4129-9584-803E742EA3C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874" authorId="0" shapeId="0" xr:uid="{CC284DFB-B2CF-44A3-983F-B7A2B1E71E8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U874" authorId="0" shapeId="0" xr:uid="{CA5469FB-B23D-4519-AB14-5ABD7DD3E1C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875" authorId="0" shapeId="0" xr:uid="{20A32A4E-85D3-4B6B-8D28-19D18746531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U875" authorId="0" shapeId="0" xr:uid="{9CC8C13F-8709-4E2C-83F0-2AE8C079AD3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876" authorId="0" shapeId="0" xr:uid="{5A4F70DF-868A-446A-B0D9-9C028A110C7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U876" authorId="0" shapeId="0" xr:uid="{CBE766FC-91C2-4166-AAAB-FAB9DE00A4F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877" authorId="0" shapeId="0" xr:uid="{E953B4DF-03DD-4ACE-8931-2BD9D614292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878" authorId="0" shapeId="0" xr:uid="{3FB91169-862E-4775-AB4D-651C3D29005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879" authorId="0" shapeId="0" xr:uid="{B1101386-FFDA-44D7-8323-3A1D09406C5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880" authorId="0" shapeId="0" xr:uid="{EDBDF1EF-953E-4A6B-A8CC-31B8C62B5F4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881" authorId="0" shapeId="0" xr:uid="{1024A568-5738-4036-8A98-F8F3E225983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P893" authorId="0" shapeId="0" xr:uid="{5D354484-C9E5-4116-B491-7282C576AB0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oxide gold ore processed</t>
        </r>
      </text>
    </comment>
    <comment ref="Q893" authorId="0" shapeId="0" xr:uid="{01C74703-156A-4F48-A354-8B5CC7ADA76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oxide gold ore processed</t>
        </r>
      </text>
    </comment>
    <comment ref="P894" authorId="0" shapeId="0" xr:uid="{F4B5B2F4-277C-4710-B06B-B12299661F9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oxide gold ore processed</t>
        </r>
      </text>
    </comment>
    <comment ref="Q894" authorId="0" shapeId="0" xr:uid="{FCCF884D-65AD-40F4-8605-830BEF7EAA3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oxide gold ore processed</t>
        </r>
      </text>
    </comment>
    <comment ref="AM902" authorId="0" shapeId="0" xr:uid="{0B83E95C-69CA-40E2-A385-ED5554A9E9D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AF903" authorId="0" shapeId="0" xr:uid="{79554A3D-CC75-4113-9173-60212BCCE64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production began early 2003</t>
        </r>
      </text>
    </comment>
    <comment ref="AM903" authorId="0" shapeId="0" xr:uid="{52823F32-5413-4101-A894-425BACD6CD4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AM904" authorId="0" shapeId="0" xr:uid="{2E8F32A0-BD55-4D34-9AD5-F01106DF6F8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AM905" authorId="0" shapeId="0" xr:uid="{94AFEB29-E108-4860-B6FF-7BB205C7EB4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AM906" authorId="0" shapeId="0" xr:uid="{5DBFDD7A-60DB-41DE-ABEC-280FAB561A9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AM907" authorId="0" shapeId="0" xr:uid="{B9C592AB-FF7B-4B92-8CD1-4C923685DE2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AM908" authorId="0" shapeId="0" xr:uid="{6D73692E-D0E8-4230-91FC-0DB80FFC54B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AM909" authorId="0" shapeId="0" xr:uid="{17F0FBF6-79EB-40E7-B88E-E39ED61AB49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AM910" authorId="0" shapeId="0" xr:uid="{40DB360A-A2F9-4091-B4C5-FDE27E2F9B4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AM911" authorId="0" shapeId="0" xr:uid="{936BF463-C8C3-4054-8059-163BAC31E93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AM912" authorId="0" shapeId="0" xr:uid="{6B8DB720-4507-49DF-AE3B-B2A4CF11664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E913" authorId="0" shapeId="0" xr:uid="{133352EB-DFA9-4C3F-B47C-8536BB146FA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25% underground</t>
        </r>
      </text>
    </comment>
    <comment ref="AM913" authorId="0" shapeId="0" xr:uid="{0E7E8621-ADC1-45AD-879F-2E91E9CAAC4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E914" authorId="0" shapeId="0" xr:uid="{AB7EFB8A-BA63-4CFA-9FB6-EAF37C9A098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50% underground</t>
        </r>
      </text>
    </comment>
    <comment ref="AM914" authorId="0" shapeId="0" xr:uid="{F1220FD2-7A76-40DC-802F-99F01F29F30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E915" authorId="0" shapeId="0" xr:uid="{BAA62B66-DDE6-4175-B5A3-E32DF4DA4EE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25% underground</t>
        </r>
      </text>
    </comment>
    <comment ref="AM915" authorId="0" shapeId="0" xr:uid="{8F7391CC-C5E7-4C02-A8F0-983D83C409E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AM916" authorId="0" shapeId="0" xr:uid="{BC8DC335-1DBA-4D6C-8A95-5D1B43F90C3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(2017-03)</t>
        </r>
      </text>
    </comment>
    <comment ref="G922" authorId="0" shapeId="0" xr:uid="{55A3D3ED-763E-4139-9D1C-83A43309E53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88.13%</t>
        </r>
      </text>
    </comment>
    <comment ref="H922" authorId="0" shapeId="0" xr:uid="{3AF8D5F6-EAB0-48AF-BF4C-775685CAFE0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due to lack of data</t>
        </r>
      </text>
    </comment>
    <comment ref="I922" authorId="0" shapeId="0" xr:uid="{61FA85CF-4ED1-4D4F-970A-4072B14467A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922" authorId="0" shapeId="0" xr:uid="{BF065C51-EB9A-4F2D-8B7D-460A1C5A982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922" authorId="0" shapeId="0" xr:uid="{8DD04BBC-3739-4359-8B39-FD2F9763E4A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T922" authorId="0" shapeId="0" xr:uid="{00E3F2E7-D2D1-47E9-99B1-4AB4E726D6F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922" authorId="0" shapeId="0" xr:uid="{98744637-A7D1-4661-BC6E-F69E19DB66C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G923" authorId="0" shapeId="0" xr:uid="{187788FD-427C-4217-9AFA-BEE6264D3CE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88.13%</t>
        </r>
      </text>
    </comment>
    <comment ref="H923" authorId="0" shapeId="0" xr:uid="{FF5538CE-56A1-4ABB-B8BA-41900C1DE37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due to lack of data</t>
        </r>
      </text>
    </comment>
    <comment ref="I923" authorId="0" shapeId="0" xr:uid="{89D1EF85-94E4-4DBE-AB73-C56B4DDFDD9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923" authorId="0" shapeId="0" xr:uid="{DB65AED1-1A09-4636-985F-93DC5EA6604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923" authorId="0" shapeId="0" xr:uid="{EF835A1C-A335-4FD5-A6B3-6109ACAEA94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T923" authorId="0" shapeId="0" xr:uid="{10B60292-8437-482C-A541-3691262B49A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923" authorId="0" shapeId="0" xr:uid="{9C693D60-F03A-4C2D-B3EB-D9F2E17FF50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24" authorId="0" shapeId="0" xr:uid="{6248BD63-751D-4322-A342-433FF66D172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924" authorId="0" shapeId="0" xr:uid="{AF8F7890-AFF7-4D1B-9B2A-A23217E1100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924" authorId="0" shapeId="0" xr:uid="{1A2A37F4-25BA-452A-82CE-D955BC935EE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T924" authorId="0" shapeId="0" xr:uid="{DB2C631D-0A78-4645-BC27-04062047FE3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924" authorId="0" shapeId="0" xr:uid="{4A59D218-BE07-4B22-B8AB-680BDC3972F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25" authorId="0" shapeId="0" xr:uid="{1F7FCF77-F880-494D-B1A5-D4C57E90DF3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925" authorId="0" shapeId="0" xr:uid="{BD905519-9A30-4EFB-8BA1-3CD9D384611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925" authorId="0" shapeId="0" xr:uid="{9F11D173-2FDD-4039-B6AB-F869F871866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T925" authorId="0" shapeId="0" xr:uid="{E6220327-FAB7-4D65-8D50-84474CF1F04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925" authorId="0" shapeId="0" xr:uid="{DDE9DFE6-F7B7-4DCD-B7CB-8A1957F2C77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26" authorId="0" shapeId="0" xr:uid="{FEA29205-B33C-4670-8F3B-FFF74A130A5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926" authorId="0" shapeId="0" xr:uid="{064F05BE-C220-434F-9194-97E3FA43067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926" authorId="0" shapeId="0" xr:uid="{984653A7-6A17-4050-ABAD-BE91A809F52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T926" authorId="0" shapeId="0" xr:uid="{55002901-F043-4814-BDD5-8FAEA146DDE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926" authorId="0" shapeId="0" xr:uid="{4DB11224-6BCD-4D6A-B82E-4CB26822B46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27" authorId="0" shapeId="0" xr:uid="{A0A2632E-5982-4B6C-A78D-EB1DD9E90C6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927" authorId="0" shapeId="0" xr:uid="{0D0BE0B9-556F-4615-8BC0-933F586C30B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927" authorId="0" shapeId="0" xr:uid="{A9570D70-CE97-4095-B2D2-4974CFBF7A2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T927" authorId="0" shapeId="0" xr:uid="{9C28CEBE-77FC-4E76-8DBF-FCE1C10D490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927" authorId="0" shapeId="0" xr:uid="{432316E6-99D7-4E15-8CFF-B2311C3C208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28" authorId="0" shapeId="0" xr:uid="{A84E8E91-3143-46AB-AE73-3561012D203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928" authorId="0" shapeId="0" xr:uid="{74C72219-45A9-4A12-8057-56474F90390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928" authorId="0" shapeId="0" xr:uid="{61F30A51-CC91-4BF5-AC18-E09EEA23151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T928" authorId="0" shapeId="0" xr:uid="{973DC768-4520-47DB-8E92-6554FF27851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928" authorId="0" shapeId="0" xr:uid="{EA304D65-5C2F-4B46-9E53-5CA5FCE315C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29" authorId="0" shapeId="0" xr:uid="{DDC5A3B7-ADC4-4A8C-9E03-F29C12DD1DE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929" authorId="0" shapeId="0" xr:uid="{EF41AA96-0131-4CB1-900F-26D207A4F58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929" authorId="0" shapeId="0" xr:uid="{6CB61DAD-E73F-41C5-A62B-880F831A67D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T929" authorId="0" shapeId="0" xr:uid="{270D812C-E39F-4389-9530-8805AFCF457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929" authorId="0" shapeId="0" xr:uid="{9C5EE3A6-C853-410F-8C0B-A419C47A0C0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30" authorId="0" shapeId="0" xr:uid="{FF59BDA0-65AA-4F85-B3CA-1C6C7CCF5C8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930" authorId="0" shapeId="0" xr:uid="{4AAEE29B-9F33-4BFB-99F3-7E36EACF389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K930" authorId="0" shapeId="0" xr:uid="{1BB008E3-7C7C-4A28-BCDB-D5F4B23EFE2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I931" authorId="0" shapeId="0" xr:uid="{FBE3671D-2069-4F66-A6F7-1FFB1A76496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931" authorId="0" shapeId="0" xr:uid="{C70DB8FE-17EE-4300-92D3-8A00D3C4A56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K931" authorId="0" shapeId="0" xr:uid="{29D6356E-8805-4461-BE1D-D86E4767F07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G932" authorId="0" shapeId="0" xr:uid="{9212A137-CBC4-45A4-BA4B-F99009B4319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88.13%</t>
        </r>
      </text>
    </comment>
    <comment ref="H932" authorId="0" shapeId="0" xr:uid="{E1782D56-D2E7-4F49-9549-D380E64B932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I932" authorId="0" shapeId="0" xr:uid="{2DEF45F7-2776-4926-B454-191EBEE28E2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932" authorId="0" shapeId="0" xr:uid="{F1DA6DC8-5513-4B2E-AF45-FFC0EB9A67B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932" authorId="0" shapeId="0" xr:uid="{86F67CCA-DAB7-485E-824A-DC71EF40C43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due to lack of data</t>
        </r>
      </text>
    </comment>
    <comment ref="T932" authorId="0" shapeId="0" xr:uid="{4408671E-DBF3-42AD-972C-99A562522F6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932" authorId="0" shapeId="0" xr:uid="{4888F78A-2657-4DDF-A795-4C2DA171E86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33" authorId="0" shapeId="0" xr:uid="{87D17A4F-9101-468A-8259-F006ABA0C8F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933" authorId="0" shapeId="0" xr:uid="{67C3F47B-E570-436C-84DB-18718ECBCED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K933" authorId="0" shapeId="0" xr:uid="{879C02E0-46B0-4EDF-BC62-CE5AD4F36AB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G934" authorId="0" shapeId="0" xr:uid="{B83B406D-D713-4D0A-AA87-D7B1685517C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88.13%</t>
        </r>
      </text>
    </comment>
    <comment ref="H934" authorId="0" shapeId="0" xr:uid="{AE8A1654-1AE7-4FBD-B9C1-34EB35FE054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I934" authorId="0" shapeId="0" xr:uid="{6DF7C221-1093-4C61-888E-231A124D0CE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934" authorId="0" shapeId="0" xr:uid="{41D9C9E0-19F2-478E-A86E-676A27905E3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K934" authorId="0" shapeId="0" xr:uid="{5B638E6B-A122-444B-AD98-B78ED4C23CA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G935" authorId="0" shapeId="0" xr:uid="{07D241F0-C76E-41AC-B1B0-D9E9CD888A4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88.13%</t>
        </r>
      </text>
    </comment>
    <comment ref="H935" authorId="0" shapeId="0" xr:uid="{F28830EC-BC91-41FF-9836-181AA0D73EF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I935" authorId="0" shapeId="0" xr:uid="{F2981D93-B736-4595-B2EC-94E89842CBB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935" authorId="0" shapeId="0" xr:uid="{2708E4C1-A872-4A9D-A5DA-60A5C7A796C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K935" authorId="0" shapeId="0" xr:uid="{698C405D-F368-47E3-A9C5-3EA83F23067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G936" authorId="0" shapeId="0" xr:uid="{355A3FE1-7327-4716-9A43-ECB38FA1405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weighted average Cu recovery of 88.13%</t>
        </r>
      </text>
    </comment>
    <comment ref="H936" authorId="0" shapeId="0" xr:uid="{CFD0CB72-3382-4B40-A2DD-DA6CFD27891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I936" authorId="0" shapeId="0" xr:uid="{D324B2D2-7853-4C1C-9DFE-B408746539B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936" authorId="0" shapeId="0" xr:uid="{5F255F8E-EAAF-4DD0-AE04-64093AB2127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936" authorId="0" shapeId="0" xr:uid="{85FE59FD-6550-430D-8859-147C698836C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Mo recovery</t>
        </r>
      </text>
    </comment>
    <comment ref="T936" authorId="0" shapeId="0" xr:uid="{71C30C45-AAED-4081-90AB-F29831CA759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U936" authorId="0" shapeId="0" xr:uid="{6823EB24-3688-4541-8520-9AC1E06C48B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G957" authorId="0" shapeId="0" xr:uid="{29862DB2-8366-4322-A3E7-37E4B5D27C5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Estimated based on acerage 87.83% Cu recovery</t>
        </r>
      </text>
    </comment>
    <comment ref="H957" authorId="0" shapeId="0" xr:uid="{BA3C059B-D29E-4D63-8E04-5476A35AFCB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I957" authorId="0" shapeId="0" xr:uid="{078FC780-E7B7-4F67-AD9A-9F7F33399C6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S957" authorId="0" shapeId="0" xr:uid="{993D753D-6C4C-4BD1-95CF-24927D76A33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average 93.6% Cu recovery</t>
        </r>
      </text>
    </comment>
    <comment ref="G958" authorId="0" shapeId="0" xr:uid="{F9803125-0571-4228-82CD-268302B7E8E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Estimated based on acerage 87.83% Cu recovery</t>
        </r>
      </text>
    </comment>
    <comment ref="H958" authorId="0" shapeId="0" xr:uid="{C1EEB07D-585B-4FAA-9999-C625E6D1E86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I958" authorId="0" shapeId="0" xr:uid="{5334AC3D-0109-456F-8A1C-DD4E0B84E09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S958" authorId="0" shapeId="0" xr:uid="{B7EE8000-D062-47FC-BBC6-0FD201E14BE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average 93.6% Cu recovery</t>
        </r>
      </text>
    </comment>
    <comment ref="G959" authorId="0" shapeId="0" xr:uid="{346A3154-A717-4F81-8C5D-F15E86C4C57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Estimated based on acerage 87.83% Cu recovery</t>
        </r>
      </text>
    </comment>
    <comment ref="H959" authorId="0" shapeId="0" xr:uid="{AF9CF819-AC2A-41A7-ACCD-F0E6098EE3A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I959" authorId="0" shapeId="0" xr:uid="{7E19471D-9521-47C2-A779-C595B4BC375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S959" authorId="0" shapeId="0" xr:uid="{6BEE57A7-5E28-43AF-8DEE-786FE368BAF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average 93.6% Cu recovery</t>
        </r>
      </text>
    </comment>
    <comment ref="G960" authorId="0" shapeId="0" xr:uid="{8189FFDB-0461-4FCE-9BCA-70A5E57C80F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Estimated based on acerage 87.83% Cu recovery</t>
        </r>
      </text>
    </comment>
    <comment ref="H960" authorId="0" shapeId="0" xr:uid="{0DD1BA74-A275-42C3-9A26-DBB9E66899A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I960" authorId="0" shapeId="0" xr:uid="{CC31C35B-21E2-4F5E-BB58-8C05B58E773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S960" authorId="0" shapeId="0" xr:uid="{5EBD2EC9-D781-4E64-B6C3-14399CB9860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average 93.6% Cu recovery</t>
        </r>
      </text>
    </comment>
    <comment ref="I966" authorId="0" shapeId="0" xr:uid="{6D04FDF3-CA39-4B69-BC43-6272C9B6C64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966" authorId="0" shapeId="0" xr:uid="{F75F55B1-4C4A-4804-A9D9-F0DBA8C89E1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67" authorId="0" shapeId="0" xr:uid="{996A21EA-CD68-4CC7-840D-83601480AFB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967" authorId="0" shapeId="0" xr:uid="{DE9A256D-82AF-47E4-ACA8-7823A1C8FBA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68" authorId="0" shapeId="0" xr:uid="{BBEEFA5F-3683-4A68-9B9C-EDA2A9C4C87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968" authorId="0" shapeId="0" xr:uid="{02BD6524-A5B6-49A6-AF0A-AFA09EAAFB8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69" authorId="0" shapeId="0" xr:uid="{2F2EC4CC-ADDA-47AE-8067-1C24FEA8081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969" authorId="0" shapeId="0" xr:uid="{FE00755B-41DF-47FF-BF20-3981A4EDD44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70" authorId="0" shapeId="0" xr:uid="{932BB69A-64DA-43D8-9B8D-46B2CDA0EA1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970" authorId="0" shapeId="0" xr:uid="{447335F8-9DF5-4DA9-978D-EEA7DDBE797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971" authorId="0" shapeId="0" xr:uid="{83FF22B8-C302-4750-8E87-9DF6D6E5D45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971" authorId="0" shapeId="0" xr:uid="{A3DDA504-6A57-48E2-9699-B14186BFE4B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1107" authorId="0" shapeId="0" xr:uid="{483782A0-628D-4F9F-A037-083A2299471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55% Au recovery</t>
        </r>
      </text>
    </comment>
    <comment ref="J1107" authorId="0" shapeId="0" xr:uid="{0B9AA762-F507-4BB1-8580-64212DC8138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Ag recovery</t>
        </r>
      </text>
    </comment>
    <comment ref="L1107" authorId="0" shapeId="0" xr:uid="{26213B41-0F35-41F7-954F-D2D5E032AF0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70% Pb recovery</t>
        </r>
      </text>
    </comment>
    <comment ref="M1107" authorId="0" shapeId="0" xr:uid="{74A15AC1-5785-439C-B914-14A78190F36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97.5% Zn recovery</t>
        </r>
      </text>
    </comment>
    <comment ref="AH1107" authorId="0" shapeId="0" xr:uid="{8D6DC446-538D-4170-AB60-80850CB7A12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I1108" authorId="0" shapeId="0" xr:uid="{D5A811CE-9ABD-4072-A0D7-589F8806E60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55% Au recovery</t>
        </r>
      </text>
    </comment>
    <comment ref="J1108" authorId="0" shapeId="0" xr:uid="{5AC4BBD8-03CE-4743-B0C3-F2DBD2CA73A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Ag recovery</t>
        </r>
      </text>
    </comment>
    <comment ref="L1108" authorId="0" shapeId="0" xr:uid="{841D3A76-1246-41A2-B5AF-F2DDDCC4E43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70% Pb recovery</t>
        </r>
      </text>
    </comment>
    <comment ref="M1108" authorId="0" shapeId="0" xr:uid="{B64D8409-A77C-4783-90BE-98A133964C4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80% Zn recovery</t>
        </r>
      </text>
    </comment>
    <comment ref="AH1108" authorId="0" shapeId="0" xr:uid="{D5A59B19-FB76-443B-BAA4-76B242C42BF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I1109" authorId="0" shapeId="0" xr:uid="{867EC307-7B70-43AF-9E64-119FCAB9202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55% Au recovery</t>
        </r>
      </text>
    </comment>
    <comment ref="J1109" authorId="0" shapeId="0" xr:uid="{55FBBA6B-70C5-477D-BC58-394DFE20415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Ag recovery</t>
        </r>
      </text>
    </comment>
    <comment ref="L1109" authorId="0" shapeId="0" xr:uid="{AECFAE3B-A4EF-4663-B81F-FDBB9E05CB6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70% Pb recovery</t>
        </r>
      </text>
    </comment>
    <comment ref="M1109" authorId="0" shapeId="0" xr:uid="{EB112CA2-1D6F-49F4-91E0-4BFF6147337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80% Zn recovery</t>
        </r>
      </text>
    </comment>
    <comment ref="AH1109" authorId="0" shapeId="0" xr:uid="{A4711E85-B8B6-46D7-834A-10DBC21E9F1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I1110" authorId="0" shapeId="0" xr:uid="{11D4AF83-82E1-43FB-9A2A-6768D42EB64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55% Au recovery</t>
        </r>
      </text>
    </comment>
    <comment ref="J1110" authorId="0" shapeId="0" xr:uid="{63E4BEE8-05C6-4C2E-854B-7174F209AD7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Ag recovery</t>
        </r>
      </text>
    </comment>
    <comment ref="L1110" authorId="0" shapeId="0" xr:uid="{8037C1FC-7569-48AC-925C-5E076D37269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70% Pb recovery</t>
        </r>
      </text>
    </comment>
    <comment ref="M1110" authorId="0" shapeId="0" xr:uid="{0F7E8EB1-9815-4E6B-99A4-0E5C94021A7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80% Zn recovery</t>
        </r>
      </text>
    </comment>
    <comment ref="I1111" authorId="0" shapeId="0" xr:uid="{45EC9214-D915-43E9-890F-AD1D954C614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55% Au recovery</t>
        </r>
      </text>
    </comment>
    <comment ref="J1111" authorId="0" shapeId="0" xr:uid="{327545DE-49D1-4A81-A4B8-83A44DE7EC6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Ag recovery</t>
        </r>
      </text>
    </comment>
    <comment ref="L1111" authorId="0" shapeId="0" xr:uid="{40A72D75-D873-41F0-B3A9-689401FC819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70% Pb recovery</t>
        </r>
      </text>
    </comment>
    <comment ref="M1111" authorId="0" shapeId="0" xr:uid="{EA31284A-A73E-4FA9-87CE-E3551355B1C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80% Zn recovery</t>
        </r>
      </text>
    </comment>
    <comment ref="AH1111" authorId="0" shapeId="0" xr:uid="{495774E4-81AE-434B-A4BE-54846436DB4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12" authorId="0" shapeId="0" xr:uid="{82483817-E328-4594-9D06-9BB731FD622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13" authorId="0" shapeId="0" xr:uid="{0508EF4A-099B-4757-A1E8-DF02236C177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H1114" authorId="0" shapeId="0" xr:uid="{1909AF95-8979-4E1A-B555-448EE2BCADF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</t>
        </r>
      </text>
    </comment>
    <comment ref="H1115" authorId="0" shapeId="0" xr:uid="{B09F3B50-6CE3-456B-A504-219B06FDB2F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</t>
        </r>
      </text>
    </comment>
    <comment ref="AH1115" authorId="0" shapeId="0" xr:uid="{4B914942-50C1-44B6-AF6A-7FF4C36C3A9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H1116" authorId="0" shapeId="0" xr:uid="{C83CE988-1480-4935-A003-D609295BB29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</t>
        </r>
      </text>
    </comment>
    <comment ref="AH1116" authorId="0" shapeId="0" xr:uid="{B7A5A7C6-2FBD-4F74-A2EB-F5603BB71C3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H1117" authorId="0" shapeId="0" xr:uid="{81FFC0FE-B7B2-4E36-9640-4C9E96E3ECD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</t>
        </r>
      </text>
    </comment>
    <comment ref="AH1117" authorId="0" shapeId="0" xr:uid="{367CF78F-FBD3-4269-BD4C-3630265933C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H1118" authorId="0" shapeId="0" xr:uid="{D9D9E1B5-69E1-4421-9941-C703A0039B6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</t>
        </r>
      </text>
    </comment>
    <comment ref="AH1118" authorId="0" shapeId="0" xr:uid="{969E60B1-ACF1-45A2-B4D7-58B1BA6005E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H1119" authorId="0" shapeId="0" xr:uid="{4D47D264-3418-494F-AD66-8196FE42D5D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</t>
        </r>
      </text>
    </comment>
    <comment ref="AH1119" authorId="0" shapeId="0" xr:uid="{CAC70BEC-8C54-42D2-9714-7A3FBD3F437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H1120" authorId="0" shapeId="0" xr:uid="{28B70BFA-D0EF-4DF9-B3D1-05C65A2D6DA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</t>
        </r>
      </text>
    </comment>
    <comment ref="AH1121" authorId="0" shapeId="0" xr:uid="{88A269E4-2D95-487C-B74A-40B2F1FFC65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22" authorId="0" shapeId="0" xr:uid="{D653EC44-7D70-4545-A3EA-3B4F91253C7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23" authorId="0" shapeId="0" xr:uid="{EE46D886-1DD3-46C9-B1AF-F37A313B718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24" authorId="0" shapeId="0" xr:uid="{4E63AD2A-D6C6-43B0-B772-8130DC35580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25" authorId="0" shapeId="0" xr:uid="{C86C6CB0-BC96-4EC5-BFCE-7C47F134168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26" authorId="0" shapeId="0" xr:uid="{D6973972-0462-4E2A-9A6D-BD9F83CD011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27" authorId="0" shapeId="0" xr:uid="{D5272173-F0DF-4CE3-BEEE-A8713D6C530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28" authorId="0" shapeId="0" xr:uid="{4E5714CE-5E83-4A9B-AA3E-669BE1F08AA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29" authorId="0" shapeId="0" xr:uid="{AADF8053-C1FF-40FE-B3CC-1C17388613C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30" authorId="0" shapeId="0" xr:uid="{A2E228E3-D163-4E29-819F-7E7B68110E4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31" authorId="0" shapeId="0" xr:uid="{3DBE6B2D-EAFD-499B-8327-FAE53D564E9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32" authorId="0" shapeId="0" xr:uid="{D829B7CE-D662-4217-A2AC-0359AD3F041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33" authorId="0" shapeId="0" xr:uid="{76C92774-9220-46A6-8B55-3344F1633C1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H1134" authorId="0" shapeId="0" xr:uid="{72D1581B-0270-4601-9886-A55E06B8E85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31% becomes concentrates and 50% of tailings are used in underground mine backfill</t>
        </r>
      </text>
    </comment>
    <comment ref="A1154" authorId="0" shapeId="0" xr:uid="{76C04B62-A222-4E89-BD7B-ACFF2000487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55" authorId="0" shapeId="0" xr:uid="{21D67941-A638-4D0E-AA1C-969DDECF193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56" authorId="0" shapeId="0" xr:uid="{7AC4CB36-0CAE-4C7B-9DC3-5D89A8C22C6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57" authorId="0" shapeId="0" xr:uid="{F6380FCD-9BD6-47BE-B8F9-18682901469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58" authorId="0" shapeId="0" xr:uid="{46E47354-E0E5-457E-998A-F90B3E06307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59" authorId="0" shapeId="0" xr:uid="{C5ED7EC7-6496-42C8-99A2-683B92CF0A6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60" authorId="0" shapeId="0" xr:uid="{E3903DFD-5374-44FE-8C7B-39B1FAB6989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M1160" authorId="0" shapeId="0" xr:uid="{5CBFCA34-38FC-43E2-8343-3FA6027D5E2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strip ratio for open cut derived ore of 1.5:1</t>
        </r>
      </text>
    </comment>
    <comment ref="A1161" authorId="0" shapeId="0" xr:uid="{49556146-F1E3-4872-B730-54107FD6915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M1161" authorId="0" shapeId="0" xr:uid="{CBBDBC83-90A3-4C6D-A8FC-1B1E26B554F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strip ratio for open cut derived ore of 1.5:1</t>
        </r>
      </text>
    </comment>
    <comment ref="A1162" authorId="0" shapeId="0" xr:uid="{DA7DDD99-8423-4B60-90E3-F402E2D4213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M1162" authorId="0" shapeId="0" xr:uid="{8BF82B7C-9A8E-4233-AB02-0254B6859E6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strip ratio for open cut derived ore of 1.5:1</t>
        </r>
      </text>
    </comment>
    <comment ref="A1163" authorId="0" shapeId="0" xr:uid="{5BAEDE2B-1F5F-4A1D-880F-DC31C32C421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M1163" authorId="0" shapeId="0" xr:uid="{0FE1A5FC-AAA9-4F98-80EA-35F0F2A3918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strip ratio for open cut derived ore of 1.5:1</t>
        </r>
      </text>
    </comment>
    <comment ref="A1164" authorId="0" shapeId="0" xr:uid="{788B59E8-DE26-4734-A800-974A839340B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M1164" authorId="0" shapeId="0" xr:uid="{0AC9F6D3-BB37-4109-A916-C3C8FEE1B91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strip ratio for open cut derived ore of 1.5:1</t>
        </r>
      </text>
    </comment>
    <comment ref="A1165" authorId="0" shapeId="0" xr:uid="{71B66BF3-FACC-47D3-A19D-B0095338C08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M1165" authorId="0" shapeId="0" xr:uid="{C40C17D5-EF18-4BC1-9734-5ABB72D5BBE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strip ratio for open cut derived ore of 1.5:1</t>
        </r>
      </text>
    </comment>
    <comment ref="A1166" authorId="0" shapeId="0" xr:uid="{B4A6C5AE-07E3-4F2C-BBAA-4BA61D20229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M1166" authorId="0" shapeId="0" xr:uid="{CD91341F-75E2-4522-A3B6-53A3DA77DAA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strip ratio for open cut derived ore of 1.5:1</t>
        </r>
      </text>
    </comment>
    <comment ref="A1167" authorId="0" shapeId="0" xr:uid="{BFF3FB2B-740F-4FB3-A8E7-ECE27D3CEE3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M1167" authorId="0" shapeId="0" xr:uid="{074C9A92-3ED6-4689-B00F-CB577E3D708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strip ratio for open cut derived ore of 1.5:1</t>
        </r>
      </text>
    </comment>
    <comment ref="A1168" authorId="0" shapeId="0" xr:uid="{78FABAE1-45C0-468C-B2E1-0D7BE768B14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M1168" authorId="0" shapeId="0" xr:uid="{DA0517FC-A4B7-4733-BD0E-E3144FCB496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strip ratio for open cut derived ore of 1.5:1</t>
        </r>
      </text>
    </comment>
    <comment ref="A1169" authorId="0" shapeId="0" xr:uid="{5FF1F824-8AE9-4886-8E46-B7468582152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70" authorId="0" shapeId="0" xr:uid="{CAB14841-9B4D-44C3-8067-ABC6073F4CE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71" authorId="0" shapeId="0" xr:uid="{523119BF-8C7E-4A7D-B29F-9D829C21510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72" authorId="0" shapeId="0" xr:uid="{21EF957D-DCC7-40CE-A1D5-C04E1E3CD46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73" authorId="0" shapeId="0" xr:uid="{DA1C80A9-D5B3-4F76-A988-D0D5206BA59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74" authorId="0" shapeId="0" xr:uid="{F8AFB921-4BEF-4680-ADF7-43679E4BE90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75" authorId="0" shapeId="0" xr:uid="{66FA931F-06C2-42EF-8DE8-14FE94C1517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76" authorId="0" shapeId="0" xr:uid="{E0C374E7-11D3-4F79-B801-D3131293060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77" authorId="0" shapeId="0" xr:uid="{C0850E51-3A98-4399-86EF-E001FC1B1AA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78" authorId="0" shapeId="0" xr:uid="{B965C276-8A1B-441A-86B3-ACF47B49297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79" authorId="0" shapeId="0" xr:uid="{A6E2CBDE-B8B6-4E6C-9CC8-BF9BE95009D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80" authorId="0" shapeId="0" xr:uid="{1BBFA5A5-BA2C-4EB3-BF0A-B7566EE3796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81" authorId="0" shapeId="0" xr:uid="{A933F219-55C8-447D-B5F4-801D567337F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82" authorId="0" shapeId="0" xr:uid="{A5C4C6B1-118F-4506-865A-EF6D4BABAC6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83" authorId="0" shapeId="0" xr:uid="{B1FD8244-B341-4D1C-B909-59B04C4E1EE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84" authorId="0" shapeId="0" xr:uid="{56993D82-1F8E-438B-931F-5D18F92281B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85" authorId="0" shapeId="0" xr:uid="{CC17F829-08BF-4F2D-9B5F-8FD422DB5E7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86" authorId="0" shapeId="0" xr:uid="{9783D7F4-654E-47A8-B7C1-46B4903CCFC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87" authorId="0" shapeId="0" xr:uid="{E4520C3A-1802-417D-BB3D-E8F80F4AC9C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A1188" authorId="0" shapeId="0" xr:uid="{4341AEA8-3E1F-4243-9D0C-2327AE6A0D8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includes Williams, David Bell, Golden Giant</t>
        </r>
      </text>
    </comment>
    <comment ref="J1190" authorId="0" shapeId="0" xr:uid="{0D54684C-DE22-4536-AE2A-16294B3943B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190" authorId="0" shapeId="0" xr:uid="{5B7875A0-2B4E-451D-97F2-F18FD10B946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low 40% Ag recovery during commissioning</t>
        </r>
      </text>
    </comment>
    <comment ref="I1262" authorId="0" shapeId="0" xr:uid="{A3CA1532-1820-4C3B-B9AB-BCE596A1870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63" authorId="0" shapeId="0" xr:uid="{283216D3-C6B3-4413-B96A-B407AD21428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64" authorId="0" shapeId="0" xr:uid="{0CF6EA1A-1CCC-4DB0-AA15-AE70B3BFD12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65" authorId="0" shapeId="0" xr:uid="{6FFB4FB0-81A6-42F6-A7B0-1D20DAD9FE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66" authorId="0" shapeId="0" xr:uid="{CA6A14C8-62E9-45E3-A5FE-1E466ADB1A7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67" authorId="0" shapeId="0" xr:uid="{A2AA592B-D473-4C36-B794-B33CA6C0E6F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68" authorId="0" shapeId="0" xr:uid="{B4BA83D9-E326-4425-9056-E44A85C5A32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69" authorId="0" shapeId="0" xr:uid="{4872C496-41F6-4281-B948-8B65EB4CE44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70" authorId="0" shapeId="0" xr:uid="{233A982B-5DDB-4A08-AE6F-02811A750DD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71" authorId="0" shapeId="0" xr:uid="{ABE9FEC1-6C62-445F-B09E-C57B59F04D7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72" authorId="0" shapeId="0" xr:uid="{BD03BF9A-B4AB-47AC-AA23-7597E999225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73" authorId="0" shapeId="0" xr:uid="{2892B3F6-A3DE-4F75-B46F-77C0A8E82BE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74" authorId="0" shapeId="0" xr:uid="{A97D8FE0-346C-4282-81D7-3D4856E4A42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75" authorId="0" shapeId="0" xr:uid="{7BC6CE73-29FC-4DE5-9AFD-310E25D2C0D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76" authorId="0" shapeId="0" xr:uid="{E12004D9-0D08-44E0-886A-35FF3F24740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77" authorId="0" shapeId="0" xr:uid="{A0DFD3C2-3597-468E-8935-840D600F881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78" authorId="0" shapeId="0" xr:uid="{2E62CD91-4F40-4205-A980-A520B7C98EF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79" authorId="0" shapeId="0" xr:uid="{D4214A82-E85B-4DC4-9C86-0F608EEDD34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80" authorId="0" shapeId="0" xr:uid="{329197EE-6362-4E31-AD72-AFE5859F555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81" authorId="0" shapeId="0" xr:uid="{24250F1B-A33D-4CC0-A35D-98A7D634CAE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82" authorId="0" shapeId="0" xr:uid="{DD5B19CC-C48E-4ACE-8127-0A6B0496C00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83" authorId="0" shapeId="0" xr:uid="{3FC2C71B-09BB-4054-AAF7-0BFD145E006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84" authorId="0" shapeId="0" xr:uid="{128B40BF-35D5-4C16-B785-C1B1B88F576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85" authorId="0" shapeId="0" xr:uid="{2674CB8B-CE6A-419B-A777-4FC01FAD7FE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86" authorId="0" shapeId="0" xr:uid="{75ECFD1D-918F-49C8-B05B-0C4AA0EE9B6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87" authorId="0" shapeId="0" xr:uid="{F029FE9C-40EC-4984-BDD4-3227E8C430E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88" authorId="0" shapeId="0" xr:uid="{56439295-ED0B-4A43-9196-290145F4C46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89" authorId="0" shapeId="0" xr:uid="{859DB01C-6486-4D76-BD89-B32008BF36F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90" authorId="0" shapeId="0" xr:uid="{658DD715-6571-4D1C-8925-EFACFBDDD9C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94.5% Au recovery</t>
        </r>
      </text>
    </comment>
    <comment ref="I1295" authorId="0" shapeId="0" xr:uid="{C34250C4-A3C6-4412-A51A-E9C67F18E64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1295" authorId="0" shapeId="0" xr:uid="{434A079A-7C46-4B06-8165-338555B090B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I1296" authorId="0" shapeId="0" xr:uid="{98318C51-9697-4925-BB0A-605CEF7C89B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1296" authorId="0" shapeId="0" xr:uid="{9BDE66FB-CB12-44EB-BAD9-4AFF2FEC915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I1297" authorId="0" shapeId="0" xr:uid="{42699B9F-4AF0-4AB0-A91F-168E0D9F495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1297" authorId="0" shapeId="0" xr:uid="{7E342BB2-3DD2-4217-A9AA-B2FA13C7A53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I1298" authorId="0" shapeId="0" xr:uid="{8DF5C0EE-999D-4806-97A5-2FC32B64E3D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1298" authorId="0" shapeId="0" xr:uid="{4A3CE644-B6DE-4232-AC73-DEE9D26EFAA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I1299" authorId="0" shapeId="0" xr:uid="{F2C6F0D2-8531-4132-AC96-86243D2EC75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1299" authorId="0" shapeId="0" xr:uid="{75911D1C-0750-4C95-98D6-75969F2BCE0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I1300" authorId="0" shapeId="0" xr:uid="{FB7C16D2-B3B3-471B-BBE1-1871CAB50FF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1300" authorId="0" shapeId="0" xr:uid="{053F2944-5AD3-442D-BEC4-7FF2FE322E8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I1301" authorId="0" shapeId="0" xr:uid="{346E1B2E-87E6-49C3-B353-731918A29A4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1301" authorId="0" shapeId="0" xr:uid="{0749B072-088D-41F8-A0A3-B85B2299E0E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I1302" authorId="0" shapeId="0" xr:uid="{B74CB3BF-B62A-4083-9FEF-3E0D64DCA48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1302" authorId="0" shapeId="0" xr:uid="{231568F7-2A27-4354-A859-ECD91F54D45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1311" authorId="0" shapeId="0" xr:uid="{897FECAB-E85E-42BE-A310-71A90E42EDE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1312" authorId="0" shapeId="0" xr:uid="{D806D418-2537-45A3-B453-D4E3C7B4589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1313" authorId="0" shapeId="0" xr:uid="{A4D462EB-ED0F-4066-9696-8250EAE76E1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K1314" authorId="0" shapeId="0" xr:uid="{B8513DAE-81D6-4B98-9B15-61E851C5472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1329" authorId="0" shapeId="0" xr:uid="{ABA59E2C-6192-4A34-9AC5-602DA3E066E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tailings</t>
        </r>
      </text>
    </comment>
    <comment ref="H1329" authorId="0" shapeId="0" xr:uid="{544E2F76-0D95-4E36-A0A1-9FB3F4A7C66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tailings</t>
        </r>
      </text>
    </comment>
    <comment ref="H1413" authorId="0" shapeId="0" xr:uid="{026C0AB1-C164-422A-AA04-B6545CB3DE0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reserves grade</t>
        </r>
      </text>
    </comment>
    <comment ref="H1414" authorId="0" shapeId="0" xr:uid="{4026B355-7EDF-4D8E-B007-DD9C96DA419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reserves grade</t>
        </r>
      </text>
    </comment>
    <comment ref="H1415" authorId="0" shapeId="0" xr:uid="{D8EA0173-F5B9-4FDA-A8BF-5A4FF9051BE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reserves grade</t>
        </r>
      </text>
    </comment>
    <comment ref="H1416" authorId="0" shapeId="0" xr:uid="{FC67FF10-667D-4EE0-A07F-76206A73A89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reserves grade</t>
        </r>
      </text>
    </comment>
    <comment ref="H1417" authorId="0" shapeId="0" xr:uid="{AF16793A-F505-4EE3-9DE1-F562287D85F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reserves grade</t>
        </r>
      </text>
    </comment>
    <comment ref="H1418" authorId="0" shapeId="0" xr:uid="{22A8F457-1D59-4812-82AB-05323038A71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reserves grade</t>
        </r>
      </text>
    </comment>
    <comment ref="H1419" authorId="0" shapeId="0" xr:uid="{27142FBE-F388-4465-B7A3-F7F142066B3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reserves grade</t>
        </r>
      </text>
    </comment>
    <comment ref="H1420" authorId="0" shapeId="0" xr:uid="{79A3EE75-B0D9-444B-A501-7CE346CB219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reserves grade</t>
        </r>
      </text>
    </comment>
    <comment ref="H1421" authorId="0" shapeId="0" xr:uid="{80F8DF8E-D3CC-4457-A332-A0A1F0E2464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reserves grade</t>
        </r>
      </text>
    </comment>
    <comment ref="H1422" authorId="0" shapeId="0" xr:uid="{AD677073-12A3-4868-BDA0-CE2FA5376F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reserves grade</t>
        </r>
      </text>
    </comment>
    <comment ref="J1479" authorId="0" shapeId="0" xr:uid="{58B1F063-AC92-4857-B10A-D9079F684D3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79" authorId="0" shapeId="0" xr:uid="{DFCA380F-D071-450A-9522-868CFA9CF94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80" authorId="0" shapeId="0" xr:uid="{E42FB705-B56B-4CF6-BE05-CB070B0991B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80" authorId="0" shapeId="0" xr:uid="{C791F84E-8953-4BF5-8EAF-FF9FFA6C338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81" authorId="0" shapeId="0" xr:uid="{AFAE5B73-E291-4B9A-85F0-84075FF7607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81" authorId="0" shapeId="0" xr:uid="{A931252E-6C13-44E5-B991-D1AA8AB90BF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82" authorId="0" shapeId="0" xr:uid="{985EFBAA-0126-4815-9EE5-EC446FDC4DA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82" authorId="0" shapeId="0" xr:uid="{79699225-6DDD-40A1-B815-23AAEA20DBD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83" authorId="0" shapeId="0" xr:uid="{5D8C8FBD-8EB8-4B8E-9898-5A416BF0DF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83" authorId="0" shapeId="0" xr:uid="{E6CC10EC-EDFE-4AB4-A9A2-88F9FA84E53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84" authorId="0" shapeId="0" xr:uid="{09A4D520-4B5D-4F37-B2E5-CC27ADF15D9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84" authorId="0" shapeId="0" xr:uid="{54B866CB-27E2-4669-9660-C4E7D2FCA74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85" authorId="0" shapeId="0" xr:uid="{4074EEDE-D164-4783-AA17-C1FCE09D3F6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85" authorId="0" shapeId="0" xr:uid="{381AC308-CFEF-47FC-98C3-4EF9293F32A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86" authorId="0" shapeId="0" xr:uid="{ABC33116-83BC-4F1F-813D-B10936FF1EA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86" authorId="0" shapeId="0" xr:uid="{95571A31-6DD1-4011-A2AC-9C29E60630C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87" authorId="0" shapeId="0" xr:uid="{F0568E36-18B2-44BE-B44A-71B30CC1597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87" authorId="0" shapeId="0" xr:uid="{8F2C0471-B916-47F3-B00B-DC266F0EEA5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88" authorId="0" shapeId="0" xr:uid="{AE9A14FC-CD57-4431-B3A4-145DFB74528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88" authorId="0" shapeId="0" xr:uid="{84CAF0C1-0289-4646-BDD7-FC2F9123C50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89" authorId="0" shapeId="0" xr:uid="{52912A2B-2945-42E6-9AB8-D65D3C1EA51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89" authorId="0" shapeId="0" xr:uid="{389E6498-6FAE-4AA5-A719-716B37D163F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90" authorId="0" shapeId="0" xr:uid="{6C6EC1EA-02FC-431C-B0CD-DC765F32F14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90" authorId="0" shapeId="0" xr:uid="{4E0F6702-2E8C-4275-871D-9A47A684B30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91" authorId="0" shapeId="0" xr:uid="{B793F8D0-3817-455E-9CA6-B8AD8254AAD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91" authorId="0" shapeId="0" xr:uid="{C7505C30-8C81-46AD-B162-88D7E5CE867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92" authorId="0" shapeId="0" xr:uid="{439DAAEB-A6EC-4214-8CDA-E827A21541C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92" authorId="0" shapeId="0" xr:uid="{7CB18227-C41F-4406-BE3E-784523037D2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93" authorId="0" shapeId="0" xr:uid="{977F4EC9-E55D-43D2-9924-8CABE6DFE10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1493" authorId="0" shapeId="0" xr:uid="{E28645DD-5105-4E9C-9F37-21C7E80F37B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94" authorId="0" shapeId="0" xr:uid="{B0108786-F62C-4E3D-97B8-A948D2D2A60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95" authorId="0" shapeId="0" xr:uid="{CE55CA49-AEE2-447C-8DC4-ADE025839BB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96" authorId="0" shapeId="0" xr:uid="{88B2DACA-5546-4CA1-80D2-7CE573CE835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J1497" authorId="0" shapeId="0" xr:uid="{C43AA234-D1F6-47D1-B78A-E7BB99A64E8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Ag recovery</t>
        </r>
      </text>
    </comment>
    <comment ref="AM1586" authorId="0" shapeId="0" xr:uid="{E42FEEBF-DD99-412F-A2AD-05ECA6AA838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3:1 strip ratio</t>
        </r>
      </text>
    </comment>
    <comment ref="AM1587" authorId="0" shapeId="0" xr:uid="{D03AECF4-B64B-4CA4-9EE8-28B459E9DED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3:1 strip ratio</t>
        </r>
      </text>
    </comment>
    <comment ref="E1605" authorId="0" shapeId="0" xr:uid="{3C98E0DB-4302-4EF5-A6E4-2F4DCE8AA31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606" authorId="0" shapeId="0" xr:uid="{9526900A-55A1-4019-9276-0858E6E793C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607" authorId="0" shapeId="0" xr:uid="{B8F43D1F-6D10-4E5A-A79A-0AFD1D7C9B2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608" authorId="0" shapeId="0" xr:uid="{0E5656F0-E36B-4690-82C2-F5B6295D788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609" authorId="0" shapeId="0" xr:uid="{E15A7119-29BE-4105-A749-B67E9EB8A6C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610" authorId="0" shapeId="0" xr:uid="{F8740772-E255-4060-BD09-1464091C918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611" authorId="0" shapeId="0" xr:uid="{F8B4BD0D-BE50-42F9-B929-81621E39290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612" authorId="0" shapeId="0" xr:uid="{9B6BF54D-D6C8-4035-A458-9E5531A5B71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M1612" authorId="0" shapeId="0" xr:uid="{5544CD08-EA73-4477-8DBF-43EBA91182C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Tables 4-6/7, 2012 EIS, pages 4-17/18</t>
        </r>
      </text>
    </comment>
    <comment ref="E1613" authorId="0" shapeId="0" xr:uid="{6CFDD897-054D-4D48-A387-2F2A80FD534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1613" authorId="0" shapeId="0" xr:uid="{A536A850-2726-4886-B79E-F46C6990604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estiimated based on zinc recovery</t>
        </r>
      </text>
    </comment>
    <comment ref="J1613" authorId="0" shapeId="0" xr:uid="{CF9DA3DF-000C-4121-9F6A-431F674D12B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L1613" authorId="0" shapeId="0" xr:uid="{230D679F-053E-418A-89C4-191178541FE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M1613" authorId="0" shapeId="0" xr:uid="{33D1CA10-44AC-4BCE-82DB-57416C6B68F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AM1613" authorId="0" shapeId="0" xr:uid="{7DD3DAD2-E531-4F71-BB1F-7D6AAC6C767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Tables 4-6/7, 2012 EIS, pages 4-17/18</t>
        </r>
      </text>
    </comment>
    <comment ref="E1614" authorId="0" shapeId="0" xr:uid="{5818B590-C4BC-4342-9370-BC06268D5EA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1614" authorId="0" shapeId="0" xr:uid="{75D3A284-7032-4291-B8F1-3522F6F1A23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estiimated based on zinc recovery</t>
        </r>
      </text>
    </comment>
    <comment ref="J1614" authorId="0" shapeId="0" xr:uid="{7148AF2B-B692-4805-B485-D656C508CBD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L1614" authorId="0" shapeId="0" xr:uid="{747A18BC-99DC-4B50-A6F9-DCCF1B624ED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M1614" authorId="0" shapeId="0" xr:uid="{FBD98F2D-F88C-4D14-84B8-55C4DE8A27D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AM1614" authorId="0" shapeId="0" xr:uid="{74D35898-1F8A-4C59-85FB-66B8F923110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Tables 4-6/7, 2012 EIS, pages 4-17/18</t>
        </r>
      </text>
    </comment>
    <comment ref="E1615" authorId="0" shapeId="0" xr:uid="{050A347F-1EC7-4569-89F6-80BD824994E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1615" authorId="0" shapeId="0" xr:uid="{932A8798-ACA1-460F-85B1-1F2E0B5CD90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estiimated based on zinc recovery</t>
        </r>
      </text>
    </comment>
    <comment ref="J1615" authorId="0" shapeId="0" xr:uid="{D2EA7146-1DFB-4C17-920F-00C7672C5DB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L1615" authorId="0" shapeId="0" xr:uid="{AA2DF94D-0BBF-4141-912D-0BAF5CE61FA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M1615" authorId="0" shapeId="0" xr:uid="{5F8C6AA9-6370-430C-A362-A6B487D7638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AM1615" authorId="0" shapeId="0" xr:uid="{DC4D8270-E600-43CC-8C60-BD816A8A9F0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Tables 4-6/7, 2012 EIS, pages 4-17/18</t>
        </r>
      </text>
    </comment>
    <comment ref="E1616" authorId="0" shapeId="0" xr:uid="{044B866A-7D10-4F0E-BB69-99842186317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1616" authorId="0" shapeId="0" xr:uid="{D5BDE530-EC53-45F2-8952-95D4E169308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estiimated based on zinc recovery</t>
        </r>
      </text>
    </comment>
    <comment ref="J1616" authorId="0" shapeId="0" xr:uid="{07AEA1A5-3CBF-48BF-8876-8331A001EE9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L1616" authorId="0" shapeId="0" xr:uid="{1882B1C2-2CAD-44EA-90D4-7164D519259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M1616" authorId="0" shapeId="0" xr:uid="{07F84528-53ED-4836-A2F7-19BA6E718B0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AM1616" authorId="0" shapeId="0" xr:uid="{1C8D636A-C3B5-4A8F-BF78-A87051EABAD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Tables 4-6/7, 2012 EIS, pages 4-17/18</t>
        </r>
      </text>
    </comment>
    <comment ref="H1705" authorId="0" shapeId="0" xr:uid="{276382AB-DDD0-4DE8-A45A-C7AF1ED7EA9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Cu recovery</t>
        </r>
      </text>
    </comment>
    <comment ref="H1706" authorId="0" shapeId="0" xr:uid="{0ECC63AA-73AC-488F-94D9-C31DFA44FE3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Cu recovery</t>
        </r>
      </text>
    </comment>
    <comment ref="H1707" authorId="0" shapeId="0" xr:uid="{BC19ABE7-0D99-417B-912F-40C5B1E59A5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Cu recovery</t>
        </r>
      </text>
    </comment>
    <comment ref="J1707" authorId="0" shapeId="0" xr:uid="{791BAF0F-4E10-42E9-8511-4E5BE14245E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Ag recovery</t>
        </r>
      </text>
    </comment>
    <comment ref="H1708" authorId="0" shapeId="0" xr:uid="{63456025-F738-4569-80B0-24D41950041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Cu recovery</t>
        </r>
      </text>
    </comment>
    <comment ref="J1708" authorId="0" shapeId="0" xr:uid="{2CF50F85-7B29-4B80-A705-9E0BC341A1C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Ag recovery</t>
        </r>
      </text>
    </comment>
    <comment ref="G1777" authorId="0" shapeId="0" xr:uid="{AC3AB466-FB65-4DE5-85E3-1D7FC521104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VALUE ASSUMED</t>
        </r>
      </text>
    </comment>
    <comment ref="H1777" authorId="0" shapeId="0" xr:uid="{A2554973-8874-4413-B355-B4C88B19F2A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S1777" authorId="0" shapeId="0" xr:uid="{BEA3C431-E92E-4396-8192-32569250597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average 93.6% Cu recovery</t>
        </r>
      </text>
    </comment>
    <comment ref="G1778" authorId="0" shapeId="0" xr:uid="{CD333556-676E-4BC0-8287-4C5EAFA8A8A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VALUE ASSUMED</t>
        </r>
      </text>
    </comment>
    <comment ref="H1778" authorId="0" shapeId="0" xr:uid="{BE8E9065-32DD-4F45-896C-7AC8FB55B27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S1778" authorId="0" shapeId="0" xr:uid="{C015B369-1950-49F2-B516-597AB8764AE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average 93.6% Cu recovery</t>
        </r>
      </text>
    </comment>
    <comment ref="G1779" authorId="0" shapeId="0" xr:uid="{0A769365-BFD7-4430-99EC-EA80DF6A711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VALUE ASSUMED</t>
        </r>
      </text>
    </comment>
    <comment ref="H1779" authorId="0" shapeId="0" xr:uid="{576C8746-DDD3-44D3-9D42-5FA1EE2AF3B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S1779" authorId="0" shapeId="0" xr:uid="{6A55AF29-A32E-4975-81A5-08195D3B8FA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average 93.6% Cu recovery</t>
        </r>
      </text>
    </comment>
    <comment ref="G1780" authorId="0" shapeId="0" xr:uid="{E03BCE25-5647-4894-A61C-72C9372178D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VALUE ASSUMED</t>
        </r>
      </text>
    </comment>
    <comment ref="H1780" authorId="0" shapeId="0" xr:uid="{A433FBAF-EF35-4F30-94B4-C405BE206CC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S1780" authorId="0" shapeId="0" xr:uid="{127C77D5-0AD3-4EE0-B695-EFB80C969A3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average 93.6% Cu recovery</t>
        </r>
      </text>
    </comment>
    <comment ref="G1781" authorId="0" shapeId="0" xr:uid="{18A47DCA-EF45-435E-9EB0-0C4B43A3159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VALUE ASSUMED</t>
        </r>
      </text>
    </comment>
    <comment ref="H1781" authorId="0" shapeId="0" xr:uid="{5F3B9FE2-370C-4C5A-99F6-48E66AC51EA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S1781" authorId="0" shapeId="0" xr:uid="{6901621A-6E9F-44B0-8973-C93C08288C0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average 93.6% Cu recovery</t>
        </r>
      </text>
    </comment>
    <comment ref="E1859" authorId="0" shapeId="0" xr:uid="{5829C5BD-1C76-4C21-9972-D7CE5E49F9C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860" authorId="0" shapeId="0" xr:uid="{A4107B0B-50DC-48B3-B9D3-E5C1975A5A0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861" authorId="0" shapeId="0" xr:uid="{E26C620E-4D45-4753-9DB9-0465B1DACF8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862" authorId="0" shapeId="0" xr:uid="{B3B3ABBB-8450-4949-8952-7B70B58008D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863" authorId="0" shapeId="0" xr:uid="{A60115BF-A27C-4D46-9D30-7B2E9DB82E8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864" authorId="0" shapeId="0" xr:uid="{CB45C2DF-3F73-49F3-AB18-D846CC4F1A7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865" authorId="0" shapeId="0" xr:uid="{AD0C7427-F561-4FAA-AB66-DCF29662D7D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1866" authorId="0" shapeId="0" xr:uid="{B7422833-F322-478A-8005-211F60AEAAC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1866" authorId="0" shapeId="0" xr:uid="{83826FF0-EAFD-44EC-9BD4-CDDA3387252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estiimated based on zinc recovery</t>
        </r>
      </text>
    </comment>
    <comment ref="J1866" authorId="0" shapeId="0" xr:uid="{C4CC8465-8EEB-4B99-ADBC-CB2C05C9FC0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E1867" authorId="0" shapeId="0" xr:uid="{E0D73639-BDC8-4F16-B887-ABF164B7EA5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1867" authorId="0" shapeId="0" xr:uid="{D5E94F9C-315F-43D2-B85A-D9054E838D0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estiimated based on zinc recovery</t>
        </r>
      </text>
    </comment>
    <comment ref="J1867" authorId="0" shapeId="0" xr:uid="{1C478DBC-2D47-4909-AD96-98DFE75A566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E1868" authorId="0" shapeId="0" xr:uid="{11BBA54F-C84C-44E2-9165-E2CB2DA996D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1868" authorId="0" shapeId="0" xr:uid="{A21BCDBD-2E71-4302-A1F2-B7A1E5E0D8D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estiimated based on zinc recovery</t>
        </r>
      </text>
    </comment>
    <comment ref="J1868" authorId="0" shapeId="0" xr:uid="{B1284A5E-3326-4B80-9E41-A87B6A0B274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E1869" authorId="0" shapeId="0" xr:uid="{895BBE5D-57EC-441C-AF85-C248B666425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1869" authorId="0" shapeId="0" xr:uid="{5E09196E-A780-4BE9-98DD-45439ADB593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estiimated based on zinc recovery</t>
        </r>
      </text>
    </comment>
    <comment ref="J1869" authorId="0" shapeId="0" xr:uid="{DE3FEA46-66AB-43A7-AED2-F0A9528CBBB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E1870" authorId="0" shapeId="0" xr:uid="{EE311296-37A7-4230-BC03-00CAF583350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1870" authorId="0" shapeId="0" xr:uid="{B59F0280-6B74-474A-91BE-C08C35B88CC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estiimated based on zinc recovery</t>
        </r>
      </text>
    </comment>
    <comment ref="J1870" authorId="0" shapeId="0" xr:uid="{FB4CB4D6-CD57-4D77-87BC-1D0A5424533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- ore reserves grade.</t>
        </r>
      </text>
    </comment>
    <comment ref="G2043" authorId="0" shapeId="0" xr:uid="{37EAEADA-F8E4-4310-8200-D1B36DB77FC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I2043" authorId="0" shapeId="0" xr:uid="{78DBB354-77A2-4D4E-9B24-93F207213D7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043" authorId="0" shapeId="0" xr:uid="{35E937A5-5543-445D-8832-A5F28C87230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75% Au recovery</t>
        </r>
      </text>
    </comment>
    <comment ref="I2190" authorId="0" shapeId="0" xr:uid="{D791799F-18D9-4C94-88DA-01B3E144D1D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190" authorId="0" shapeId="0" xr:uid="{6A428B62-C6DF-4214-9B4A-9ED61BA1788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191" authorId="0" shapeId="0" xr:uid="{0C9E580C-3750-45A5-8B11-9420BBF4B43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191" authorId="0" shapeId="0" xr:uid="{63014E72-F518-4810-9000-199B889EE33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192" authorId="0" shapeId="0" xr:uid="{160CDF9E-A5DF-44E1-8004-380AC66E7BE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192" authorId="0" shapeId="0" xr:uid="{35C496D1-B840-44B5-80F2-5DDE066085B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193" authorId="0" shapeId="0" xr:uid="{AC6CFC94-D0F7-40FD-B2D5-586F185F96B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193" authorId="0" shapeId="0" xr:uid="{7A8516B1-B3DD-4DB0-B0F2-419E2A0DBD0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194" authorId="0" shapeId="0" xr:uid="{1F5BD15D-B59B-4822-8F99-4837C6B58E4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194" authorId="0" shapeId="0" xr:uid="{B58355C8-F489-47D8-BE6D-3576E4B1303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195" authorId="0" shapeId="0" xr:uid="{1194ACC3-FCCF-44D8-80B9-89B03C0B64E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195" authorId="0" shapeId="0" xr:uid="{900B1CDE-F143-4C6E-91DA-E2ACB7DF9ED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196" authorId="0" shapeId="0" xr:uid="{29C8CF4E-BF30-4A8F-B312-DBCC3C6624D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196" authorId="0" shapeId="0" xr:uid="{0D956727-E127-4CB5-91AE-6DE614A69DF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197" authorId="0" shapeId="0" xr:uid="{6A8BC148-CF04-498D-8A9C-FF3A6AE26F4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197" authorId="0" shapeId="0" xr:uid="{F9B0E9E5-5BAD-4417-AF9D-68895F96C0E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E2198" authorId="0" shapeId="0" xr:uid="{92D5E4B5-92A5-4C08-B643-805DFAD8402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I2198" authorId="0" shapeId="0" xr:uid="{BEAECD5C-0B31-4664-9AAC-7B6FA86DAC2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198" authorId="0" shapeId="0" xr:uid="{31A41CAE-C6C0-414E-AAA3-EA3BFEF8F0F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E2199" authorId="0" shapeId="0" xr:uid="{052D0CFB-8E46-4C8F-9090-00581F17E34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I2199" authorId="0" shapeId="0" xr:uid="{0C2CDA22-3A14-4EF1-83CB-0A63FCE1631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199" authorId="0" shapeId="0" xr:uid="{29837D37-FCDB-44D7-9DC1-26511D7E123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200" authorId="0" shapeId="0" xr:uid="{A98A5FD4-DE0C-4CAB-8BB5-DF5078025C3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200" authorId="0" shapeId="0" xr:uid="{C7B2F44E-7E15-43FA-AB38-338717A91E4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201" authorId="0" shapeId="0" xr:uid="{AD6B28F5-E88A-4B75-954D-7625793A2EB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201" authorId="0" shapeId="0" xr:uid="{C5636C26-7843-4D0A-B988-00BFDE491DF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202" authorId="0" shapeId="0" xr:uid="{03BAD035-CF5A-48F5-ABB0-BB93D266950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202" authorId="0" shapeId="0" xr:uid="{80B0E88D-EF05-4481-A056-2C6DCAE5832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203" authorId="0" shapeId="0" xr:uid="{48E1280E-9B6C-4B60-B67A-DD00BC106BF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203" authorId="0" shapeId="0" xr:uid="{E0C0484C-CA68-4DB4-8E42-DCAA6C2CE37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204" authorId="0" shapeId="0" xr:uid="{B6E863D0-F241-4229-BF02-4C0C1BF2DB1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204" authorId="0" shapeId="0" xr:uid="{FAE14EE9-FE39-410D-BEF0-07E73ADFF46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205" authorId="0" shapeId="0" xr:uid="{6F84B754-96A8-4AA7-AEE2-0D7447A5B1C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205" authorId="0" shapeId="0" xr:uid="{2F27B92D-A36B-4F80-98F4-7B6ED617138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206" authorId="0" shapeId="0" xr:uid="{868350F8-52A2-49C2-AD87-0E7252F3E76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T2206" authorId="0" shapeId="0" xr:uid="{1F96984C-89F4-43CA-8D38-15CAE287E30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207" authorId="0" shapeId="0" xr:uid="{70F21FB7-F9FB-47AA-A377-9B7D371F25A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I2208" authorId="0" shapeId="0" xr:uid="{9301FE97-182A-45E6-A0C1-C388653A52E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25% Au recovery</t>
        </r>
      </text>
    </comment>
    <comment ref="G2269" authorId="0" shapeId="0" xr:uid="{9330DE5F-2C72-4510-9227-010CCEC3F98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70% Au recovery during initial commissioning</t>
        </r>
      </text>
    </comment>
    <comment ref="I2269" authorId="0" shapeId="0" xr:uid="{3A7C5932-7400-4321-99F1-F8AC8E634BE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AM2269" authorId="0" shapeId="0" xr:uid="{DA5282CC-112C-4CBB-804E-FAB968EF68F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higher than average strip ratio of 4:1 during startup</t>
        </r>
      </text>
    </comment>
    <comment ref="G2272" authorId="0" shapeId="0" xr:uid="{EA19FC24-61D7-498E-9E42-0B7F5367F6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80% Au recovery</t>
        </r>
      </text>
    </comment>
    <comment ref="I2272" authorId="0" shapeId="0" xr:uid="{50D46395-3302-45DD-ACF4-ABA917FF4DA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M2272" authorId="0" shapeId="0" xr:uid="{F2248983-5EAB-458C-80EC-A73FB05D5EE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life-of-mine strip ratio of 1.3:1</t>
        </r>
      </text>
    </comment>
    <comment ref="G2273" authorId="0" shapeId="0" xr:uid="{35CB4FCB-F370-4763-92E2-2C37C2B8BCC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80% Au recovery</t>
        </r>
      </text>
    </comment>
    <comment ref="J2299" authorId="0" shapeId="0" xr:uid="{6CCB2668-A0B5-4547-BBF3-D5E519794CC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2300" authorId="0" shapeId="0" xr:uid="{EA4E883E-A3D5-4765-9066-241375F72FB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2301" authorId="0" shapeId="0" xr:uid="{C0311597-747B-47CE-B2C3-7A1F9D23ED9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2302" authorId="0" shapeId="0" xr:uid="{4909B888-60AD-4333-BDA1-9FF53E3DB36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2303" authorId="0" shapeId="0" xr:uid="{03855556-DE63-411C-834C-097AC7CBC32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2304" authorId="0" shapeId="0" xr:uid="{EFC5E839-31AF-4A39-9102-AF945EF5C49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2305" authorId="0" shapeId="0" xr:uid="{E93A7CB4-D810-400B-AA73-DCC84E33686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06" authorId="0" shapeId="0" xr:uid="{2BD9D1B3-4F53-40E1-8085-0B340B836ED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06" authorId="0" shapeId="0" xr:uid="{7CFCA550-696D-49A5-ABF0-3597E3B7A8F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07" authorId="0" shapeId="0" xr:uid="{AC473C97-52AE-4927-A073-75A1F2CB46F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07" authorId="0" shapeId="0" xr:uid="{6A442F21-A524-425F-8FCA-451F4934270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08" authorId="0" shapeId="0" xr:uid="{4C7B01D8-31BC-49FA-AAB7-5E9236618C2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08" authorId="0" shapeId="0" xr:uid="{30D88306-6BEB-4179-A91A-3BC4BB213EE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09" authorId="0" shapeId="0" xr:uid="{711605B7-7859-46DF-A514-012738D5F3B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09" authorId="0" shapeId="0" xr:uid="{A28469EB-67CA-4637-9424-14A2CD92AF0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10" authorId="0" shapeId="0" xr:uid="{C7F0D6D2-7A7C-4177-9FCA-CE6A14220C1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10" authorId="0" shapeId="0" xr:uid="{4C71FBDD-DC8A-4D5D-B874-88261BFC072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11" authorId="0" shapeId="0" xr:uid="{8D3DA81D-6610-4E70-B744-973302D59D7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11" authorId="0" shapeId="0" xr:uid="{1E5B7C31-2530-46F5-9D5C-CD706D2CAF1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12" authorId="0" shapeId="0" xr:uid="{C5E2050F-C935-4B8B-915D-4705B432F63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12" authorId="0" shapeId="0" xr:uid="{018C632F-935A-4250-A9A8-3DB3FCE01EA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13" authorId="0" shapeId="0" xr:uid="{4216D71F-756C-4078-B082-BC8805088A6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13" authorId="0" shapeId="0" xr:uid="{6B141AA7-D06F-4C7C-AF7F-825A9CF07D8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14" authorId="0" shapeId="0" xr:uid="{7F547A5D-2CF7-418F-9519-F96302C2829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14" authorId="0" shapeId="0" xr:uid="{E4A58BB8-0399-48C8-8215-8C31ED61EDC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15" authorId="0" shapeId="0" xr:uid="{9030B613-8908-4E3A-B5A3-A47B1FB3E04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15" authorId="0" shapeId="0" xr:uid="{8F5A61D8-4C7B-4649-A40B-66119F430E8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16" authorId="0" shapeId="0" xr:uid="{FBAB5120-0755-44F2-9D51-74336906B65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16" authorId="0" shapeId="0" xr:uid="{23646CDC-814D-47B7-A27D-6196856312B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17" authorId="0" shapeId="0" xr:uid="{A271F91C-6E6E-4BA1-B95A-5FBE6A785B5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17" authorId="0" shapeId="0" xr:uid="{99817BC5-A74C-4CD8-B01D-002EDFD855B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18" authorId="0" shapeId="0" xr:uid="{F23CB1CE-CAED-4152-A9B9-B7297C981FE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18" authorId="0" shapeId="0" xr:uid="{4B890872-98FD-43DB-B51E-5984EAC684C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319" authorId="0" shapeId="0" xr:uid="{5B7C7C23-22A2-4D4F-B7FF-A567CEFF534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19" authorId="0" shapeId="0" xr:uid="{0CB20907-9B24-486E-A2EE-EE9A3EEF9AA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2319" authorId="0" shapeId="0" xr:uid="{E57EA966-7519-402E-9686-C82C0BEC93D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2320" authorId="0" shapeId="0" xr:uid="{E0FCA91E-B38B-4D04-801A-C402B00572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20" authorId="0" shapeId="0" xr:uid="{C53CD428-AC2E-41E3-8E50-B24387F3280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2320" authorId="0" shapeId="0" xr:uid="{724DE4FD-B93E-4ADB-88F8-B453F83A760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2321" authorId="0" shapeId="0" xr:uid="{BD662F72-5B6F-4013-8F2B-0FF12A6CD22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21" authorId="0" shapeId="0" xr:uid="{780DB41A-C56F-4619-8DB0-E7052B9A4AF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2321" authorId="0" shapeId="0" xr:uid="{A64CB42F-80A2-403B-BF59-9BF78B1D694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2322" authorId="0" shapeId="0" xr:uid="{D3FFF15F-BE0D-4BA2-AA02-D97B475B3B9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22" authorId="0" shapeId="0" xr:uid="{CC137D7B-572C-4F9A-BDF6-F32ED5EDA2E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2322" authorId="0" shapeId="0" xr:uid="{18A4BF24-5CB6-4415-AFCB-9BA1FA67495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J2345" authorId="0" shapeId="0" xr:uid="{75D56079-2B3E-427D-86F9-53E0224DC0A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ore reserves grade</t>
        </r>
      </text>
    </comment>
    <comment ref="G2448" authorId="0" shapeId="0" xr:uid="{93BA2A12-535C-474B-905C-EE4F5213ADA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88% Au recovery</t>
        </r>
      </text>
    </comment>
    <comment ref="G2449" authorId="0" shapeId="0" xr:uid="{B09666E7-B151-4F6A-9D0D-1B016EDB2C3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88% Au recovery</t>
        </r>
      </text>
    </comment>
    <comment ref="I2449" authorId="0" shapeId="0" xr:uid="{035A1790-4547-4AB5-9CBC-5829F41E984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from proved ore reserves (31 Dec. 2016)</t>
        </r>
      </text>
    </comment>
    <comment ref="I2450" authorId="0" shapeId="0" xr:uid="{2EEF826C-6259-4CEC-A473-F95E7C2DBE6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grade within mined areas from ore reserves</t>
        </r>
      </text>
    </comment>
    <comment ref="G2558" authorId="0" shapeId="0" xr:uid="{C47793D1-724E-4992-A68C-6E8D62775F3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M2558" authorId="0" shapeId="0" xr:uid="{282A353E-4895-46A3-96DF-98D7BB6D1CE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M2559" authorId="0" shapeId="0" xr:uid="{D9D6A710-EAAB-4EAD-AAB8-0A649E91381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M2560" authorId="0" shapeId="0" xr:uid="{B1774A76-9D0A-497B-8C10-5CD89A6CA07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M2561" authorId="0" shapeId="0" xr:uid="{0C4F8ABA-F544-45DD-9A49-4C4ECDA7FC5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M2562" authorId="0" shapeId="0" xr:uid="{F4632795-60A0-408E-9277-EE4FED4E9D4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M2563" authorId="0" shapeId="0" xr:uid="{55662D86-590E-4843-B606-728FE1F6967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M2564" authorId="0" shapeId="0" xr:uid="{63DADBDD-05D9-4BF3-867A-2223CFC40BC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M2565" authorId="0" shapeId="0" xr:uid="{2412F321-D5DB-405A-824E-2EA71CC5D1E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M2566" authorId="0" shapeId="0" xr:uid="{083D759E-4A8A-4FE5-8100-B68D8312862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G2631" authorId="0" shapeId="0" xr:uid="{807E5106-156F-4A5D-B512-7BC466D04C2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via Silver Wheaton (now Wheaton Precious Metals)</t>
        </r>
      </text>
    </comment>
    <comment ref="H2631" authorId="0" shapeId="0" xr:uid="{7080968F-E338-4331-849E-AD5568652B9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via Silver Wheaton (now Wheaton Precious Metals)</t>
        </r>
      </text>
    </comment>
    <comment ref="I2631" authorId="0" shapeId="0" xr:uid="{170DEAE7-FD95-4673-82D0-A99C245EA50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via Silver Wheaton (now Wheaton Precious Metals)</t>
        </r>
      </text>
    </comment>
    <comment ref="J2631" authorId="0" shapeId="0" xr:uid="{6C0815DC-FFC1-47FD-BD90-DBA0F6AFAF0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via Silver Wheaton (now Wheaton Precious Metals)</t>
        </r>
      </text>
    </comment>
    <comment ref="R2631" authorId="0" shapeId="0" xr:uid="{BF402182-4DB7-4BF8-87A3-5448F8E9EB5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via Silver Wheaton (now Wheaton Precious Metals)</t>
        </r>
      </text>
    </comment>
    <comment ref="S2631" authorId="0" shapeId="0" xr:uid="{2F350940-14B7-49B0-994C-58D85681DC0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via Silver Wheaton (now Wheaton Precious Metals)</t>
        </r>
      </text>
    </comment>
    <comment ref="T2631" authorId="0" shapeId="0" xr:uid="{9506D898-076D-444C-BD08-E5C0B68F8F1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via Silver Wheaton (now Wheaton Precious Metals)</t>
        </r>
      </text>
    </comment>
    <comment ref="U2631" authorId="0" shapeId="0" xr:uid="{E99DEC0A-8614-464B-A3B2-9AD884D940B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via Silver Wheaton (now Wheaton Precious Metals)</t>
        </r>
      </text>
    </comment>
    <comment ref="G2632" authorId="0" shapeId="0" xr:uid="{D2396D1C-05E0-4B9E-B351-3857B713943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reported Cu recovery of 80.9% (Tech Rep 2016-03; Wheaton Prec. Metals)</t>
        </r>
      </text>
    </comment>
    <comment ref="H2632" authorId="0" shapeId="0" xr:uid="{79A2A75C-81A0-4677-B1A0-072355BF0DF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I2632" authorId="0" shapeId="0" xr:uid="{136DBB76-E388-4E3E-ADB2-ED0EE6C14C3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reported Cu recovery of 80.9% (Tech Rep 2016-03; Wheaton Prec. Metals)</t>
        </r>
      </text>
    </comment>
    <comment ref="J2632" authorId="0" shapeId="0" xr:uid="{D3F6A4A6-500C-4F0E-9021-95E046B3D01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technical reports</t>
        </r>
      </text>
    </comment>
    <comment ref="R2632" authorId="0" shapeId="0" xr:uid="{A5EE5536-4F7B-437C-94F7-51A92909CC5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reported Cu conc grades (Tech Rep 2016-03; Wheaton Prec. Metals)</t>
        </r>
      </text>
    </comment>
    <comment ref="U2632" authorId="0" shapeId="0" xr:uid="{91FEB9E6-EACA-4483-A979-E2B869AD639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reported Ag recoveries (Tech Rep 2016-03; Wheaton Prec. Metals)</t>
        </r>
      </text>
    </comment>
    <comment ref="I2633" authorId="0" shapeId="0" xr:uid="{8E3BB65A-5E8B-4912-A13C-103924946BD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reported Cu recovery of 80.9% (Tech Rep 2016-03; Wheaton Prec. Metals)</t>
        </r>
      </text>
    </comment>
    <comment ref="J2633" authorId="0" shapeId="0" xr:uid="{CA22E832-7EE6-4277-BB8A-2A572D5E28D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technical reports</t>
        </r>
      </text>
    </comment>
    <comment ref="R2633" authorId="0" shapeId="0" xr:uid="{B80CF443-68B8-4B8D-B27C-00A68F68ABE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reported Cu conc grades (Tech Rep 2016-03; Wheaton Prec. Metals)</t>
        </r>
      </text>
    </comment>
    <comment ref="U2633" authorId="0" shapeId="0" xr:uid="{BA9B9897-633E-4A57-975F-CE9EB481BB8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reported Ag recoveries (Tech Rep 2016-03; Wheaton Prec. Metals)</t>
        </r>
      </text>
    </comment>
    <comment ref="I2634" authorId="0" shapeId="0" xr:uid="{8BEE5803-4A6C-4D92-9102-EF341A301D8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reported Cu recovery of 80.9% (Tech Rep 2016-03; Wheaton Prec. Metals)</t>
        </r>
      </text>
    </comment>
    <comment ref="J2634" authorId="0" shapeId="0" xr:uid="{3449EAC3-AA50-429F-A519-FF3BF17B7EB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technical reports</t>
        </r>
      </text>
    </comment>
    <comment ref="R2634" authorId="0" shapeId="0" xr:uid="{ACC49E5C-4E79-4049-86FE-57B566CB47D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reported Cu conc grades (Tech Rep 2016-03; Wheaton Prec. Metals)</t>
        </r>
      </text>
    </comment>
    <comment ref="U2634" authorId="0" shapeId="0" xr:uid="{AFA8D276-279B-4B15-B1EE-2E27A695119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reported Ag recoveries (Tech Rep 2016-03; Wheaton Prec. Metals)</t>
        </r>
      </text>
    </comment>
    <comment ref="I2635" authorId="0" shapeId="0" xr:uid="{B6D693D1-1DA1-4E32-86C8-280D7135FE2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J2635" authorId="0" shapeId="0" xr:uid="{BDBB4387-649F-4412-8CA6-453765EC5CB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 based on technical reports</t>
        </r>
      </text>
    </comment>
    <comment ref="R2635" authorId="0" shapeId="0" xr:uid="{63C61693-78FE-442D-9BE8-34CFFD53C7D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reported Cu conc grades (Tech Rep 2016-03; Wheaton Prec. Metals)</t>
        </r>
      </text>
    </comment>
    <comment ref="U2635" authorId="0" shapeId="0" xr:uid="{60CB30A5-7EDA-46D9-B92F-B46863F81C1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reported Ag recoveries (Tech Rep 2016-03; Wheaton Prec. Metals)</t>
        </r>
      </text>
    </comment>
    <comment ref="M2685" authorId="0" shapeId="0" xr:uid="{3B566604-EA87-4E07-B606-AB5D5B69783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ore reserves grade</t>
        </r>
      </text>
    </comment>
    <comment ref="M2686" authorId="0" shapeId="0" xr:uid="{34E69E13-3218-450F-AA10-DE362D4D0E8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ore reserves grade</t>
        </r>
      </text>
    </comment>
    <comment ref="M2687" authorId="0" shapeId="0" xr:uid="{D81A0563-48F3-4447-B315-E823BABCFF7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ore reserves grade</t>
        </r>
      </text>
    </comment>
    <comment ref="M2688" authorId="0" shapeId="0" xr:uid="{29364361-44BE-433B-841F-2E610BA74E1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ore reserves grade</t>
        </r>
      </text>
    </comment>
    <comment ref="M2689" authorId="0" shapeId="0" xr:uid="{C12B9CFC-1CF6-4B9D-BF03-D2DE9D662F4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ore reserves grade</t>
        </r>
      </text>
    </comment>
    <comment ref="G2694" authorId="0" shapeId="0" xr:uid="{0237869C-8E84-475F-B508-A300B95FDD4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average of expected Cu recovery range 90-95%</t>
        </r>
      </text>
    </comment>
    <comment ref="H2694" authorId="0" shapeId="0" xr:uid="{6E02E091-6C97-426B-9DA5-0D81C43982C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694" authorId="0" shapeId="0" xr:uid="{53B659EE-0A19-4FAF-8772-1250E875A64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S2694" authorId="0" shapeId="0" xr:uid="{BDBB597F-D50B-46EB-9351-0A6E2E1A63D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via Silver Wheaton (now Wheaton Precious Metals)</t>
        </r>
      </text>
    </comment>
    <comment ref="T2694" authorId="0" shapeId="0" xr:uid="{52ACA48D-5861-4DC2-A5F4-1D58BB321C2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from Tech Rep via Silver Wheaton (now Wheaton Precious Metals)</t>
        </r>
      </text>
    </comment>
    <comment ref="G2695" authorId="0" shapeId="0" xr:uid="{8AFE82F2-34D7-4143-B05F-0AC12DDBE12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average of expected Cu recovery range 90-95%</t>
        </r>
      </text>
    </comment>
    <comment ref="H2695" authorId="0" shapeId="0" xr:uid="{CA1826D8-B110-4A15-A2CC-7867826C65B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695" authorId="0" shapeId="0" xr:uid="{84BABD7D-E1D1-4323-8788-A7114C44CA7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G2696" authorId="0" shapeId="0" xr:uid="{79A90893-D7BF-4669-A81E-FB6337A1067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average of expected Cu recovery range 90-95%</t>
        </r>
      </text>
    </comment>
    <comment ref="H2696" authorId="0" shapeId="0" xr:uid="{CC9E56F1-0CD2-42A8-B032-453EFDADC81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696" authorId="0" shapeId="0" xr:uid="{E4558363-D592-41F3-85CF-CB7127A5DC1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G2697" authorId="0" shapeId="0" xr:uid="{BA08ED7C-B85C-4FB0-B538-D97EA2A255A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average of expected Cu recovery range 90-95%</t>
        </r>
      </text>
    </comment>
    <comment ref="H2697" authorId="0" shapeId="0" xr:uid="{9BB01FFC-F7F9-4C19-A0F7-2B3EAD868B7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I2697" authorId="0" shapeId="0" xr:uid="{84F96189-EEB7-49E5-915D-A3606F43854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697" authorId="0" shapeId="0" xr:uid="{EE06BEBE-5B4B-4736-96AA-EC357AFF584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G2698" authorId="0" shapeId="0" xr:uid="{DD19A087-9BBB-45A7-B30C-F9330E24C0A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average of expected Cu recovery range 90-95%</t>
        </r>
      </text>
    </comment>
    <comment ref="H2698" authorId="0" shapeId="0" xr:uid="{65818575-0983-4F0C-AB9D-85D3146FF57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I2698" authorId="0" shapeId="0" xr:uid="{B4930BD4-2AFC-4CC6-9865-14EBBE2011A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698" authorId="0" shapeId="0" xr:uid="{EAA84A25-01F7-4418-A5C5-03FFE8DF793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G2699" authorId="0" shapeId="0" xr:uid="{92890DD9-4194-40AF-A4FE-F3D780075CE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average of expected Cu recovery range 90-95%</t>
        </r>
      </text>
    </comment>
    <comment ref="H2699" authorId="0" shapeId="0" xr:uid="{9431D969-94A4-4E5C-B935-F97B0302A58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I2699" authorId="0" shapeId="0" xr:uid="{07BF87DC-C067-496D-BE34-916293632DC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699" authorId="0" shapeId="0" xr:uid="{0FB0D536-B13D-401D-9FA5-A19259CB273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G2700" authorId="0" shapeId="0" xr:uid="{A4B27B4E-404B-4A61-8FE7-3AE481BD8A9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average of expected Cu recovery range 90-95%</t>
        </r>
      </text>
    </comment>
    <comment ref="H2700" authorId="0" shapeId="0" xr:uid="{B66FFFCF-FBF2-41CB-A3A5-FBA0778421A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I2700" authorId="0" shapeId="0" xr:uid="{77FB49AB-5E1C-43B7-8159-38596ADA038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700" authorId="0" shapeId="0" xr:uid="{07FF7D61-8BBC-41D7-B0F4-70EE7B5AA5C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G2701" authorId="0" shapeId="0" xr:uid="{8B11E339-6D95-435F-9C1B-79D2082100B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average of expected Cu recovery range 90-95%</t>
        </r>
      </text>
    </comment>
    <comment ref="H2701" authorId="0" shapeId="0" xr:uid="{D8ACCD7C-0CF5-4609-B52A-0FB419F7A78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I2701" authorId="0" shapeId="0" xr:uid="{47D9CC9D-6DC5-4019-864F-E9B10EF128C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701" authorId="0" shapeId="0" xr:uid="{D0DED5E4-B9C2-4DE3-9A0C-787F8EEBA5A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G2702" authorId="0" shapeId="0" xr:uid="{B15F3057-C381-41F9-8834-EF942943B9C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average of expected Cu recovery range 90-95%</t>
        </r>
      </text>
    </comment>
    <comment ref="H2702" authorId="0" shapeId="0" xr:uid="{C41C100D-9ECF-4D54-8EC9-8D36ED54654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I2702" authorId="0" shapeId="0" xr:uid="{B97A7533-B6E4-4276-9C2F-E6742E3E0F9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702" authorId="0" shapeId="0" xr:uid="{4022F9A7-441F-4CBB-96CE-F3BC5A37474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G2703" authorId="0" shapeId="0" xr:uid="{91E2B39D-7FD3-4FBD-9299-59B1EA45DE7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based on average of expected Cu recovery range 90-95%</t>
        </r>
      </text>
    </comment>
    <comment ref="H2703" authorId="0" shapeId="0" xr:uid="{3A9313CD-DB33-4534-BF64-B351B8F5A8E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I2703" authorId="0" shapeId="0" xr:uid="{C4D49EDB-E004-43F1-B5A3-FBFF51580D0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703" authorId="0" shapeId="0" xr:uid="{33C84914-3CEC-4BCA-8C8E-3E1E3463198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I2704" authorId="0" shapeId="0" xr:uid="{4443B451-8C1A-4DC5-A526-73C84D07FA4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704" authorId="0" shapeId="0" xr:uid="{AFF75F02-89E8-4114-9404-3FD754DA671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I2705" authorId="0" shapeId="0" xr:uid="{68FBD0E8-2CDE-4E3C-ADE4-4E644862300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705" authorId="0" shapeId="0" xr:uid="{90C1EAF0-D88F-4F03-98D1-4F65C75B925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I2706" authorId="0" shapeId="0" xr:uid="{F1D00C5A-BE56-47E0-8627-08BE1CE1CCA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proven reserves grade</t>
        </r>
      </text>
    </comment>
    <comment ref="R2706" authorId="0" shapeId="0" xr:uid="{C5F361C6-2199-49ED-97AC-B3EAF94C2F4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40% Cu conc grade</t>
        </r>
      </text>
    </comment>
    <comment ref="I2726" authorId="0" shapeId="0" xr:uid="{A8B3E495-3B47-4E2F-8E8C-BC097F0F0AB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80% Au recovery</t>
        </r>
      </text>
    </comment>
    <comment ref="I2727" authorId="0" shapeId="0" xr:uid="{B07DF0F1-0762-4C44-A993-6891541B441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90% Au recovery</t>
        </r>
      </text>
    </comment>
    <comment ref="I2728" authorId="0" shapeId="0" xr:uid="{8909FD07-D676-4680-B15E-CE9934EE1E7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90% Au recovery</t>
        </r>
      </text>
    </comment>
    <comment ref="I2729" authorId="0" shapeId="0" xr:uid="{96855FC4-47D8-441E-9C14-94F50E894F5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90% Au recovery</t>
        </r>
      </text>
    </comment>
    <comment ref="I2730" authorId="0" shapeId="0" xr:uid="{0CC1CB10-0AD0-4EDE-BFBF-8BBFF8FFBFF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90% Au recovery</t>
        </r>
      </text>
    </comment>
    <comment ref="I2731" authorId="0" shapeId="0" xr:uid="{65981DB0-06AC-43BB-9290-39D64C27EC8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90% Au recovery</t>
        </r>
      </text>
    </comment>
    <comment ref="I2732" authorId="0" shapeId="0" xr:uid="{71B15676-F223-47CF-86D0-38638661AFB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90% Au recovery</t>
        </r>
      </text>
    </comment>
    <comment ref="I2733" authorId="0" shapeId="0" xr:uid="{CFBB84A8-0174-4835-BCD1-DD444060FDB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90% Au recovery</t>
        </r>
      </text>
    </comment>
    <comment ref="G2734" authorId="0" shapeId="0" xr:uid="{CEE95315-51A2-4868-86ED-163C981F9A9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all Pilbara production is Telfer</t>
        </r>
      </text>
    </comment>
    <comment ref="I2734" authorId="0" shapeId="0" xr:uid="{9325572A-D20D-41D1-8DCD-D6B1C2C9889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90% Au recovery</t>
        </r>
      </text>
    </comment>
    <comment ref="T2734" authorId="0" shapeId="0" xr:uid="{543E3B3B-5D76-445C-8AA1-39331E151CF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all Pilbara production is Telfer</t>
        </r>
      </text>
    </comment>
    <comment ref="G2735" authorId="0" shapeId="0" xr:uid="{BA65D697-773C-419D-B20E-F11ED03E7CD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all Pilbara production is Telfer</t>
        </r>
      </text>
    </comment>
    <comment ref="I2735" authorId="0" shapeId="0" xr:uid="{330F8AF2-00EB-41E9-A66B-A925696210C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90% Au recovery</t>
        </r>
      </text>
    </comment>
    <comment ref="T2735" authorId="0" shapeId="0" xr:uid="{82F6DB44-FDCB-4A8A-BB50-E7AF5D75ED8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all Pilbara production is Telfer</t>
        </r>
      </text>
    </comment>
    <comment ref="G2736" authorId="0" shapeId="0" xr:uid="{9B112568-138F-460C-8B72-3D1BED2479AB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all Pilbara production is Telfer</t>
        </r>
      </text>
    </comment>
    <comment ref="I2736" authorId="0" shapeId="0" xr:uid="{E605A3B5-0832-43FF-884D-4E143D27B87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90% Au recovery</t>
        </r>
      </text>
    </comment>
    <comment ref="T2736" authorId="0" shapeId="0" xr:uid="{61E8538C-07F4-40A5-A08A-8475C0129CC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all Pilbara production is Telfer</t>
        </r>
      </text>
    </comment>
    <comment ref="J2757" authorId="0" shapeId="0" xr:uid="{EECFAF53-F5B0-48F8-8BA6-AD785F2D654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2758" authorId="0" shapeId="0" xr:uid="{2F8B9A16-62A2-4D67-9198-D18AB44E7B0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2759" authorId="0" shapeId="0" xr:uid="{ACB176E8-295E-4CB9-A078-EAF7C3D60A4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2760" authorId="0" shapeId="0" xr:uid="{392B1109-C298-48B6-BD0F-B4817EEC2AD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2761" authorId="0" shapeId="0" xr:uid="{D4A55D44-9585-42BB-9436-85C2C311C17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J2762" authorId="0" shapeId="0" xr:uid="{53668C1F-4614-4B07-88E9-6FBBA354002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780" authorId="0" shapeId="0" xr:uid="{DD15C649-D7E5-472F-ABDA-4E46FB1BC39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780" authorId="0" shapeId="0" xr:uid="{77CDF080-D10C-47A8-AA1D-58553D70869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2780" authorId="0" shapeId="0" xr:uid="{6E216504-73B1-4B6C-9020-AB4A747FD5A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781" authorId="0" shapeId="0" xr:uid="{B3F7DEEC-A22A-4617-AA89-A9D550CAB3C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781" authorId="0" shapeId="0" xr:uid="{61501192-C903-43DF-B801-EBC460EE795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2781" authorId="0" shapeId="0" xr:uid="{B41F603C-E95A-4EE4-87C8-1A404474EEE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782" authorId="0" shapeId="0" xr:uid="{DBC382C1-FB18-4117-A34B-7D18DE6B279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782" authorId="0" shapeId="0" xr:uid="{CA813F61-0D61-45DF-9098-5A7D44758EB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2782" authorId="0" shapeId="0" xr:uid="{730701CC-4C5E-41A2-8462-4769655DC43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783" authorId="0" shapeId="0" xr:uid="{BCA63285-6C8B-457C-931A-7C034FE522F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783" authorId="0" shapeId="0" xr:uid="{5E4FE4E6-8285-45BA-9FC2-A91D4B8FB81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2783" authorId="0" shapeId="0" xr:uid="{86B5BFBE-88A2-417A-AE43-2229C2D3E2E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784" authorId="0" shapeId="0" xr:uid="{5909AE61-390F-4B52-A7E0-5B725F01DC9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784" authorId="0" shapeId="0" xr:uid="{FEBFB445-D79A-422B-B4C8-5D44ABC879A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U2784" authorId="0" shapeId="0" xr:uid="{E197DF50-BF5D-4C2D-9406-6A75F1EF654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785" authorId="0" shapeId="0" xr:uid="{EDC4E86E-B508-47CB-9086-7307C475040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785" authorId="0" shapeId="0" xr:uid="{105FDA09-E1FE-4505-A200-B463E8570A1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786" authorId="0" shapeId="0" xr:uid="{00912610-6D37-4FC4-A8B1-77C915FB6A5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786" authorId="0" shapeId="0" xr:uid="{E9626DF1-20CC-4512-8402-F8815559CBF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803" authorId="0" shapeId="0" xr:uid="{87EBCEB1-1AB4-4EE6-BB01-7D037033C4D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2804" authorId="0" shapeId="0" xr:uid="{89A1E19F-C5EF-4F42-BCF8-EECD3F63DFC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2805" authorId="0" shapeId="0" xr:uid="{CCB49825-C090-4CA2-B3AB-EE63E5FFC4C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2806" authorId="0" shapeId="0" xr:uid="{A388F4CE-3EE9-4E26-BBE1-994B8B27396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2807" authorId="0" shapeId="0" xr:uid="{14536416-B304-4957-BFB8-D6FF8AF776D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I2812" authorId="0" shapeId="0" xr:uid="{E0F2A018-64BB-4F81-89C4-D480BD486C2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 during commissioning</t>
        </r>
      </text>
    </comment>
    <comment ref="AJ2812" authorId="0" shapeId="0" xr:uid="{568C7B72-40F5-4A3E-B44E-09E525B183D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ore reserves grade</t>
        </r>
      </text>
    </comment>
    <comment ref="AM2812" authorId="0" shapeId="0" xr:uid="{F48CCC24-E2E9-45F7-A2FB-2CE7D46CD45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 during commissioning</t>
        </r>
      </text>
    </comment>
    <comment ref="AI2813" authorId="0" shapeId="0" xr:uid="{D312980B-0A1B-46FF-A51D-755B531C067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Cu recovery</t>
        </r>
      </text>
    </comment>
    <comment ref="AJ2813" authorId="0" shapeId="0" xr:uid="{E83F79CC-0FC7-483E-9F6D-F62A522E7D9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ore reserves grade</t>
        </r>
      </text>
    </comment>
    <comment ref="AM2813" authorId="0" shapeId="0" xr:uid="{EA020892-D338-43FE-8E1F-856B1C62C8F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 during commissioning</t>
        </r>
      </text>
    </comment>
    <comment ref="AI2814" authorId="0" shapeId="0" xr:uid="{85DD8C9F-6887-4E65-A316-B447A568CE0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Cu recovery</t>
        </r>
      </text>
    </comment>
    <comment ref="AJ2814" authorId="0" shapeId="0" xr:uid="{BC4F73BB-4E58-4835-BA7D-BDD9642F88E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ore reserves grade</t>
        </r>
      </text>
    </comment>
    <comment ref="AM2814" authorId="0" shapeId="0" xr:uid="{CDA41902-459F-47D2-AD41-B6BC30A8C93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 during commissioning</t>
        </r>
      </text>
    </comment>
    <comment ref="AI2815" authorId="0" shapeId="0" xr:uid="{B9690EF6-1FE3-4BFC-8723-4331EFE3A71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Cu recovery</t>
        </r>
      </text>
    </comment>
    <comment ref="AJ2815" authorId="0" shapeId="0" xr:uid="{EED7057E-C62F-4B48-8C5B-3BC3698158A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ore reserves grade</t>
        </r>
      </text>
    </comment>
    <comment ref="AM2815" authorId="0" shapeId="0" xr:uid="{411BDAE0-5EE3-49FD-8808-86FE4F504A3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 during commissioning</t>
        </r>
      </text>
    </comment>
    <comment ref="AI2816" authorId="0" shapeId="0" xr:uid="{4E3618D5-21CE-4074-9DD0-6FDC5CCD410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Cu recovery</t>
        </r>
      </text>
    </comment>
    <comment ref="AJ2816" authorId="0" shapeId="0" xr:uid="{5CEC7FC6-302F-49B4-A557-68243A33AA5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ore reserves grade</t>
        </r>
      </text>
    </comment>
    <comment ref="AM2816" authorId="0" shapeId="0" xr:uid="{6AB3DAF6-F69A-49A0-B153-A9FBD70C16D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 during commissioning</t>
        </r>
      </text>
    </comment>
    <comment ref="AI2817" authorId="0" shapeId="0" xr:uid="{F3503DC5-29A7-469C-9F5F-593A2C3EE99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75% Cu recovery</t>
        </r>
      </text>
    </comment>
    <comment ref="AJ2817" authorId="0" shapeId="0" xr:uid="{2DE435B9-A060-478F-8BD0-892BBF74606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ore reserves grade</t>
        </r>
      </text>
    </comment>
    <comment ref="AM2817" authorId="0" shapeId="0" xr:uid="{556DF347-0118-46F7-BBC4-49CA3D056E8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Cu recovery during commissioning</t>
        </r>
      </text>
    </comment>
    <comment ref="I2822" authorId="0" shapeId="0" xr:uid="{6FCA553A-83DE-49C3-92D1-8E67F6244F6C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822" authorId="0" shapeId="0" xr:uid="{11D93295-BA97-48B6-AE2F-2575069D66B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823" authorId="0" shapeId="0" xr:uid="{63181CD8-10AE-41CA-A62D-17968E7D97E0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823" authorId="0" shapeId="0" xr:uid="{0D8E2CFE-0B28-4D47-BDE7-6D3265CDB7A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824" authorId="0" shapeId="0" xr:uid="{0F94CF4E-058F-4FE5-8106-2A1FA649A78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824" authorId="0" shapeId="0" xr:uid="{AF05D038-0723-4C0C-BB2B-9E6F15E71FE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825" authorId="0" shapeId="0" xr:uid="{5538B2CA-3C5F-4E5D-86DD-BBC5422179B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825" authorId="0" shapeId="0" xr:uid="{4BE04050-70B7-4907-835B-1C0E7F2F414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826" authorId="0" shapeId="0" xr:uid="{A4359EF0-738E-4F53-8AD8-69CA412C59F1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826" authorId="0" shapeId="0" xr:uid="{5712E00C-42F6-469F-9A1D-76D5594C33E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827" authorId="0" shapeId="0" xr:uid="{D71AABFA-076C-4875-BE72-683C8324020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827" authorId="0" shapeId="0" xr:uid="{0F50593A-BD42-4215-B2E2-9D28363F1AC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828" authorId="0" shapeId="0" xr:uid="{2D1EC4D4-D7E0-461B-AE9A-902340CAC3C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828" authorId="0" shapeId="0" xr:uid="{73A30CD7-7209-4B85-875C-11AEE2D6742F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829" authorId="0" shapeId="0" xr:uid="{45133564-1A69-4A03-83EC-FE8FAA57E11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829" authorId="0" shapeId="0" xr:uid="{17F4B427-1E80-4920-9B44-4DA30F8AC2C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830" authorId="0" shapeId="0" xr:uid="{19F5B46A-2BF9-40D8-AD5A-DFB3F1B19A29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830" authorId="0" shapeId="0" xr:uid="{C65CF4D9-8FEB-4AC0-894D-2DC9CEC0475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831" authorId="0" shapeId="0" xr:uid="{83D25F1D-FB05-4516-95EE-1BD27F7C24A5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831" authorId="0" shapeId="0" xr:uid="{A33EEACD-A13F-4B10-8858-DF0545205CE2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I2832" authorId="0" shapeId="0" xr:uid="{9379BA4B-04B4-45A8-9DDF-6013708D9B7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Au recovery</t>
        </r>
      </text>
    </comment>
    <comment ref="J2832" authorId="0" shapeId="0" xr:uid="{5C8C2A05-E68E-40BC-8BD3-9BB627F36786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50% Ag recovery</t>
        </r>
      </text>
    </comment>
    <comment ref="E2841" authorId="0" shapeId="0" xr:uid="{CB0B6691-165B-47A7-B7C3-A76A0ED14C74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2842" authorId="0" shapeId="0" xr:uid="{427151E4-6DB1-42E6-BC8A-B7FC7BE97283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2843" authorId="0" shapeId="0" xr:uid="{938FC143-874C-4B6F-9D90-75413C1A1DB7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2844" authorId="0" shapeId="0" xr:uid="{6F97C825-532F-4258-9192-E70E16CBE88A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E2845" authorId="0" shapeId="0" xr:uid="{83157337-9245-4927-B9C1-884180DEE0DE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assumed</t>
        </r>
      </text>
    </comment>
    <comment ref="AM2864" authorId="0" shapeId="0" xr:uid="{182FF340-BF76-4CFB-8172-8A41CD318D5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reserves strip ratio of 0.9</t>
        </r>
      </text>
    </comment>
    <comment ref="AM2865" authorId="0" shapeId="0" xr:uid="{1A764EC1-4CE5-4D21-875B-DCA1F74A0458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reserves strip ratio of 0.9</t>
        </r>
      </text>
    </comment>
    <comment ref="AM2866" authorId="0" shapeId="0" xr:uid="{C66E97E9-9040-48BA-8A66-BEB8E83D7B0D}">
      <text>
        <r>
          <rPr>
            <b/>
            <sz val="9"/>
            <color indexed="81"/>
            <rFont val="Tahoma"/>
            <family val="2"/>
          </rPr>
          <t>Gavin Mudd:</t>
        </r>
        <r>
          <rPr>
            <sz val="9"/>
            <color indexed="81"/>
            <rFont val="Tahoma"/>
            <family val="2"/>
          </rPr>
          <t xml:space="preserve">
assumes reserves strip ratio of 0.9</t>
        </r>
      </text>
    </comment>
  </commentList>
</comments>
</file>

<file path=xl/sharedStrings.xml><?xml version="1.0" encoding="utf-8"?>
<sst xmlns="http://schemas.openxmlformats.org/spreadsheetml/2006/main" count="17075" uniqueCount="709">
  <si>
    <t>HM = Hyrdometallurgical Processing</t>
  </si>
  <si>
    <t>HL = Heap Leach</t>
  </si>
  <si>
    <t>UG = Underground</t>
  </si>
  <si>
    <t>F = Flotation</t>
  </si>
  <si>
    <t xml:space="preserve">Count: </t>
  </si>
  <si>
    <t>OC = Open Cut</t>
  </si>
  <si>
    <t>S = Smelter</t>
  </si>
  <si>
    <t>AREA</t>
  </si>
  <si>
    <t>R = Refinery</t>
  </si>
  <si>
    <t>Cu</t>
  </si>
  <si>
    <t>SLOPE</t>
  </si>
  <si>
    <t>Mine</t>
  </si>
  <si>
    <t>Country</t>
  </si>
  <si>
    <t>Google</t>
  </si>
  <si>
    <t>Lat</t>
  </si>
  <si>
    <t>Long</t>
  </si>
  <si>
    <t>Complete</t>
  </si>
  <si>
    <t>Project</t>
  </si>
  <si>
    <t>Years</t>
  </si>
  <si>
    <t>Cum.</t>
  </si>
  <si>
    <t>Total</t>
  </si>
  <si>
    <t>Pit</t>
  </si>
  <si>
    <t>TSF</t>
  </si>
  <si>
    <t>WRD</t>
  </si>
  <si>
    <t>Infra</t>
  </si>
  <si>
    <t>Pond</t>
  </si>
  <si>
    <t>HLP</t>
  </si>
  <si>
    <t>BCA</t>
  </si>
  <si>
    <t>OS</t>
  </si>
  <si>
    <t>Quarry</t>
  </si>
  <si>
    <t>SSL</t>
  </si>
  <si>
    <t>RTD</t>
  </si>
  <si>
    <t>ore.%Cu</t>
  </si>
  <si>
    <t>Earth</t>
  </si>
  <si>
    <t>Site</t>
  </si>
  <si>
    <t>Config</t>
  </si>
  <si>
    <t>of</t>
  </si>
  <si>
    <t>Prod.</t>
  </si>
  <si>
    <t>Rock</t>
  </si>
  <si>
    <t>GRADE</t>
  </si>
  <si>
    <t>Metals Prod.</t>
  </si>
  <si>
    <t>Prop. Cu Value</t>
  </si>
  <si>
    <t>Mt ore</t>
  </si>
  <si>
    <t>kt Cu</t>
  </si>
  <si>
    <t>%Cu</t>
  </si>
  <si>
    <t>Year</t>
  </si>
  <si>
    <t>History</t>
  </si>
  <si>
    <t>Mill</t>
  </si>
  <si>
    <t>Data</t>
  </si>
  <si>
    <t>Mt milled</t>
  </si>
  <si>
    <t>g/t Au</t>
  </si>
  <si>
    <t>g/t Ag</t>
  </si>
  <si>
    <t>%</t>
  </si>
  <si>
    <t>other</t>
  </si>
  <si>
    <t>kt Cu conc</t>
  </si>
  <si>
    <t>t Au</t>
  </si>
  <si>
    <t>t Ag</t>
  </si>
  <si>
    <t>kt Mo conc</t>
  </si>
  <si>
    <t>kt Mo</t>
  </si>
  <si>
    <t>kt other</t>
  </si>
  <si>
    <t>kt ALL conc</t>
  </si>
  <si>
    <t>Mt HL</t>
  </si>
  <si>
    <t>%Cu HL</t>
  </si>
  <si>
    <t>kt Cu HL</t>
  </si>
  <si>
    <t>Mt tailings</t>
  </si>
  <si>
    <t>Mt WR</t>
  </si>
  <si>
    <t>%OC</t>
  </si>
  <si>
    <t>Mt</t>
  </si>
  <si>
    <t>US$/t ore</t>
  </si>
  <si>
    <t>US$/t rock</t>
  </si>
  <si>
    <t>Grade</t>
  </si>
  <si>
    <t>Pit - km2</t>
  </si>
  <si>
    <t>TSF - km2</t>
  </si>
  <si>
    <t>WRD - km2</t>
  </si>
  <si>
    <t>Infra - km2</t>
  </si>
  <si>
    <t>Pond - km2</t>
  </si>
  <si>
    <t>HLP - km2</t>
  </si>
  <si>
    <t>BCA - km2</t>
  </si>
  <si>
    <t>OS - km2</t>
  </si>
  <si>
    <t>Quarry - km2</t>
  </si>
  <si>
    <t>SSL  km2</t>
  </si>
  <si>
    <t>RTD - km2</t>
  </si>
  <si>
    <t>Total  km2</t>
  </si>
  <si>
    <t>Bajo de la Alumbrera-Bajo el Durazno</t>
  </si>
  <si>
    <t>Argentina</t>
  </si>
  <si>
    <t>CuAu</t>
  </si>
  <si>
    <t>Y</t>
  </si>
  <si>
    <t>OC</t>
  </si>
  <si>
    <t>F</t>
  </si>
  <si>
    <t>Olympic Dam</t>
  </si>
  <si>
    <t>Australia</t>
  </si>
  <si>
    <t>UG</t>
  </si>
  <si>
    <t>F-S-R-HM</t>
  </si>
  <si>
    <t>%U3O8</t>
  </si>
  <si>
    <t>U3O8</t>
  </si>
  <si>
    <t>Prominent Hill</t>
  </si>
  <si>
    <t>OC-UG</t>
  </si>
  <si>
    <t>Ernest Henry</t>
  </si>
  <si>
    <t>kt magnetite</t>
  </si>
  <si>
    <t>De Grussa</t>
  </si>
  <si>
    <t>Northparkes</t>
  </si>
  <si>
    <t>UG-OC</t>
  </si>
  <si>
    <t>Cobar-CSA</t>
  </si>
  <si>
    <t>CuAg</t>
  </si>
  <si>
    <t>Cadia Group</t>
  </si>
  <si>
    <t>AuCu</t>
  </si>
  <si>
    <t>Boddington+Hedges</t>
  </si>
  <si>
    <t>Tritton</t>
  </si>
  <si>
    <t>Osborne</t>
  </si>
  <si>
    <t>Telfer</t>
  </si>
  <si>
    <t>F-HL</t>
  </si>
  <si>
    <t>Kanmantoo</t>
  </si>
  <si>
    <t>Lady Annie</t>
  </si>
  <si>
    <t>HL</t>
  </si>
  <si>
    <t xml:space="preserve"> </t>
  </si>
  <si>
    <t>Peak</t>
  </si>
  <si>
    <t>%Pb+Zn</t>
  </si>
  <si>
    <t>kt Pb+Zn</t>
  </si>
  <si>
    <t>Mount Carlton</t>
  </si>
  <si>
    <t>Salobo</t>
  </si>
  <si>
    <t>Brazil</t>
  </si>
  <si>
    <t>Sossego</t>
  </si>
  <si>
    <t>Chapada</t>
  </si>
  <si>
    <t>Highland Valley</t>
  </si>
  <si>
    <t>Canada</t>
  </si>
  <si>
    <t>CuMo</t>
  </si>
  <si>
    <t>%Mo</t>
  </si>
  <si>
    <t>Gibraltar</t>
  </si>
  <si>
    <t>Afton+New Afton</t>
  </si>
  <si>
    <t>Copper Mountain (Similkameen)</t>
  </si>
  <si>
    <t>Mount Milligan</t>
  </si>
  <si>
    <t>Huckleberry</t>
  </si>
  <si>
    <t>Minto</t>
  </si>
  <si>
    <t>Mount Polley</t>
  </si>
  <si>
    <t>Escondida</t>
  </si>
  <si>
    <t>Chile</t>
  </si>
  <si>
    <t>El Teniente</t>
  </si>
  <si>
    <t>F-S</t>
  </si>
  <si>
    <t>Collahuasi</t>
  </si>
  <si>
    <t>Los Bronces</t>
  </si>
  <si>
    <t>Los Pelambres</t>
  </si>
  <si>
    <t>Radomiro Tomic</t>
  </si>
  <si>
    <t>Chuquicamata</t>
  </si>
  <si>
    <t>Ministro Hales</t>
  </si>
  <si>
    <t>Andina</t>
  </si>
  <si>
    <t>Centinela (mill+heap leach)</t>
  </si>
  <si>
    <t>Candelaria-Ojos del Soldado</t>
  </si>
  <si>
    <t>Spence</t>
  </si>
  <si>
    <t>Gabriela Mistral (Minera Gaby)</t>
  </si>
  <si>
    <t>Zaldivar</t>
  </si>
  <si>
    <t>Sierra Gorda</t>
  </si>
  <si>
    <t>Cerro Colorado</t>
  </si>
  <si>
    <t>Carmen de Andacollo</t>
  </si>
  <si>
    <t>Lomas Bayas</t>
  </si>
  <si>
    <t>El Salvador</t>
  </si>
  <si>
    <t>Quebrada Blanca</t>
  </si>
  <si>
    <t>Mantos Blancos</t>
  </si>
  <si>
    <t>El Soldado</t>
  </si>
  <si>
    <t>Mantoverde</t>
  </si>
  <si>
    <t>Michilla</t>
  </si>
  <si>
    <t>Franke</t>
  </si>
  <si>
    <t>Antucoya</t>
  </si>
  <si>
    <t>Punitaqui</t>
  </si>
  <si>
    <t>Tres Valles (Don Gabriel-Papomono)</t>
  </si>
  <si>
    <t>Zijinshan</t>
  </si>
  <si>
    <t>China</t>
  </si>
  <si>
    <t>Duobaoshan</t>
  </si>
  <si>
    <t>Tenke Fungurume</t>
  </si>
  <si>
    <t>Dem. Rep. Congo</t>
  </si>
  <si>
    <t>CuCo</t>
  </si>
  <si>
    <t>HM-R</t>
  </si>
  <si>
    <t>%Co</t>
  </si>
  <si>
    <t>kt Co</t>
  </si>
  <si>
    <t>Kamoto Group</t>
  </si>
  <si>
    <t>Kinsevere</t>
  </si>
  <si>
    <t>HM</t>
  </si>
  <si>
    <t>Frontier</t>
  </si>
  <si>
    <t>Boss Mining Group (Kakanda-Luita-Lubumbashi)</t>
  </si>
  <si>
    <t>Ruashi</t>
  </si>
  <si>
    <t>Etoile</t>
  </si>
  <si>
    <t>Malanjkhand</t>
  </si>
  <si>
    <t>India</t>
  </si>
  <si>
    <t>Khetri Group</t>
  </si>
  <si>
    <t>Ertsberg-Grasberg Group</t>
  </si>
  <si>
    <t>Indonesia</t>
  </si>
  <si>
    <t>Batu Hijau</t>
  </si>
  <si>
    <t>Wetar</t>
  </si>
  <si>
    <t>Zhezkazgan Group</t>
  </si>
  <si>
    <t>Kazakhstan</t>
  </si>
  <si>
    <t>Sepon</t>
  </si>
  <si>
    <t>Laos</t>
  </si>
  <si>
    <t>Phu Kham</t>
  </si>
  <si>
    <t>Guelb Moghrein</t>
  </si>
  <si>
    <t>Mauritania</t>
  </si>
  <si>
    <t>Buenavista (Cananea)</t>
  </si>
  <si>
    <t>Mexico</t>
  </si>
  <si>
    <t>La Caridad</t>
  </si>
  <si>
    <t>2005 (for tailings) up to 2016. Range</t>
  </si>
  <si>
    <t>Milpillas</t>
  </si>
  <si>
    <t>Bolivar</t>
  </si>
  <si>
    <t>15/4/16 (2011 for pit)</t>
  </si>
  <si>
    <t>Oyu Tolgoi</t>
  </si>
  <si>
    <t>Mongolia</t>
  </si>
  <si>
    <t>Erdenet</t>
  </si>
  <si>
    <t>Ok Tedi</t>
  </si>
  <si>
    <t>Papua New Guinea</t>
  </si>
  <si>
    <t>Bougainville-Panguna</t>
  </si>
  <si>
    <t>CuAuAg</t>
  </si>
  <si>
    <t>Cuajone</t>
  </si>
  <si>
    <t>Peru</t>
  </si>
  <si>
    <t>Toquepala</t>
  </si>
  <si>
    <t>Constancia</t>
  </si>
  <si>
    <t>Marcapunta Norte</t>
  </si>
  <si>
    <t>Cerro Corona</t>
  </si>
  <si>
    <t>Cerro Verde</t>
  </si>
  <si>
    <t>Toledo-Carmen/Lutopan</t>
  </si>
  <si>
    <t>Philippines</t>
  </si>
  <si>
    <t>Padcal</t>
  </si>
  <si>
    <t>Polska-Rudna</t>
  </si>
  <si>
    <t>Poland</t>
  </si>
  <si>
    <t>F-S-R</t>
  </si>
  <si>
    <t>Palabora</t>
  </si>
  <si>
    <t>South Africa</t>
  </si>
  <si>
    <t>Las Cruces</t>
  </si>
  <si>
    <t>Spain</t>
  </si>
  <si>
    <t>Aitik</t>
  </si>
  <si>
    <t>Sweden</t>
  </si>
  <si>
    <t>Bingham Canyon</t>
  </si>
  <si>
    <t>USA</t>
  </si>
  <si>
    <t>CuMoAu</t>
  </si>
  <si>
    <t>Ray</t>
  </si>
  <si>
    <t>Mission</t>
  </si>
  <si>
    <t>Pinto Valley</t>
  </si>
  <si>
    <t>Robinson</t>
  </si>
  <si>
    <t>Phoenix (mill+heap leach)</t>
  </si>
  <si>
    <t>Silver Bell</t>
  </si>
  <si>
    <t>Climax</t>
  </si>
  <si>
    <t>Mo</t>
  </si>
  <si>
    <t>Henderson</t>
  </si>
  <si>
    <t>Kansanshi</t>
  </si>
  <si>
    <t>Zambia</t>
  </si>
  <si>
    <t>F-HM-S</t>
  </si>
  <si>
    <t>Lumwana</t>
  </si>
  <si>
    <t>Konkola-Nchanga</t>
  </si>
  <si>
    <t>Trident-Sentinel</t>
  </si>
  <si>
    <t>Chibuluma South</t>
  </si>
  <si>
    <t>Mount Lyell</t>
  </si>
  <si>
    <t>Nifty</t>
  </si>
  <si>
    <t>Average</t>
  </si>
  <si>
    <t>Count</t>
  </si>
  <si>
    <t>PbZn</t>
  </si>
  <si>
    <t>%Pb</t>
  </si>
  <si>
    <t>%Zn</t>
  </si>
  <si>
    <t>kt Pb conc</t>
  </si>
  <si>
    <t>kt Pb</t>
  </si>
  <si>
    <t>kt Zn conc</t>
  </si>
  <si>
    <t>kt Zn</t>
  </si>
  <si>
    <t>Red Dog</t>
  </si>
  <si>
    <t>Century</t>
  </si>
  <si>
    <t>Magellan</t>
  </si>
  <si>
    <t>Skorpion</t>
  </si>
  <si>
    <t>Namibia</t>
  </si>
  <si>
    <t>R</t>
  </si>
  <si>
    <t>Lisheen</t>
  </si>
  <si>
    <t>Ireland</t>
  </si>
  <si>
    <t>Cannington</t>
  </si>
  <si>
    <t>Broken Hill</t>
  </si>
  <si>
    <t>McArthur River</t>
  </si>
  <si>
    <t>Endeavour (Elura)</t>
  </si>
  <si>
    <t>Tara</t>
  </si>
  <si>
    <t>Zawar</t>
  </si>
  <si>
    <t>Partial</t>
  </si>
  <si>
    <t>PbZnCu</t>
  </si>
  <si>
    <t>Golden Grove</t>
  </si>
  <si>
    <t>Jaguar-Bentley</t>
  </si>
  <si>
    <t>Mount Garnet / Surveyor</t>
  </si>
  <si>
    <t>Mount Isa (Cu+Pb-Zn)</t>
  </si>
  <si>
    <t>Parkers-Mineral Hill</t>
  </si>
  <si>
    <t>Rosebery</t>
  </si>
  <si>
    <t>Duck Pond</t>
  </si>
  <si>
    <t>Hudson Bay Group</t>
  </si>
  <si>
    <t>2012-2016 (Range)</t>
  </si>
  <si>
    <t>Kidd Creek</t>
  </si>
  <si>
    <t>2005 (2011 TSF)</t>
  </si>
  <si>
    <t>La Ronde</t>
  </si>
  <si>
    <t>Langlois</t>
  </si>
  <si>
    <t>Myra Falls</t>
  </si>
  <si>
    <t>Ashele</t>
  </si>
  <si>
    <t>Miaogou-Sanguikou</t>
  </si>
  <si>
    <t>Pyhäsalmi</t>
  </si>
  <si>
    <t>Finland</t>
  </si>
  <si>
    <t>Artemyevsky</t>
  </si>
  <si>
    <t>Orlovsky</t>
  </si>
  <si>
    <t>Bismark</t>
  </si>
  <si>
    <t>Campo Morado / G-9</t>
  </si>
  <si>
    <t>Cosalá (Nuestra Señora-Zone 120)</t>
  </si>
  <si>
    <t>Cozamin</t>
  </si>
  <si>
    <t>Madero (Francisco I. Madero)</t>
  </si>
  <si>
    <t>Sabinas</t>
  </si>
  <si>
    <t>Tizapa</t>
  </si>
  <si>
    <t>Velardeña</t>
  </si>
  <si>
    <t>Alpamarca</t>
  </si>
  <si>
    <t>Antamina</t>
  </si>
  <si>
    <t>Atacocha</t>
  </si>
  <si>
    <t>Cerro Chungar</t>
  </si>
  <si>
    <t>Cerro de Pasco</t>
  </si>
  <si>
    <t>Cerro Lindo</t>
  </si>
  <si>
    <t>Contonga-Pucarrajo</t>
  </si>
  <si>
    <t>El Porvenir</t>
  </si>
  <si>
    <t>Julcani</t>
  </si>
  <si>
    <t>Tajo Norte</t>
  </si>
  <si>
    <t>Yauli</t>
  </si>
  <si>
    <t>Yauricocha</t>
  </si>
  <si>
    <t>Black Mountain</t>
  </si>
  <si>
    <t>Boliden Area</t>
  </si>
  <si>
    <t>Garpenberg</t>
  </si>
  <si>
    <t>Kylylahti</t>
  </si>
  <si>
    <t>Zinkgruvan (Zn only)</t>
  </si>
  <si>
    <t>Çayeli</t>
  </si>
  <si>
    <t>Turkey</t>
  </si>
  <si>
    <t>Neves Corvo (Cu only)</t>
  </si>
  <si>
    <t>Portugal</t>
  </si>
  <si>
    <t>Majority</t>
  </si>
  <si>
    <t>Galena (AgCu only)</t>
  </si>
  <si>
    <t>Greens Creek</t>
  </si>
  <si>
    <t>Ni</t>
  </si>
  <si>
    <t>NiCu</t>
  </si>
  <si>
    <t>ore.%Ni</t>
  </si>
  <si>
    <t>kt Ni</t>
  </si>
  <si>
    <t>%Ni</t>
  </si>
  <si>
    <t>g/t PtPdRh</t>
  </si>
  <si>
    <t>kt bulk conc</t>
  </si>
  <si>
    <t>kt Ni conc</t>
  </si>
  <si>
    <t>t PtPdRh</t>
  </si>
  <si>
    <t>kt chrome</t>
  </si>
  <si>
    <t>Mt slag</t>
  </si>
  <si>
    <t>Murrin Murrin</t>
  </si>
  <si>
    <t>Ni Lat</t>
  </si>
  <si>
    <t>Ravensthorpe</t>
  </si>
  <si>
    <t>Savannah (Sally Malay)</t>
  </si>
  <si>
    <t>Ni S</t>
  </si>
  <si>
    <t>Flying Fox-Spotted Quoll</t>
  </si>
  <si>
    <t>Tati</t>
  </si>
  <si>
    <t>Botswana</t>
  </si>
  <si>
    <t>Fortaleza</t>
  </si>
  <si>
    <t>Onca Puma</t>
  </si>
  <si>
    <t>Santa Rita</t>
  </si>
  <si>
    <t>Sudbury Group</t>
  </si>
  <si>
    <t>Voisey's Bay</t>
  </si>
  <si>
    <t>Raglan</t>
  </si>
  <si>
    <t>Thompson</t>
  </si>
  <si>
    <t>Lockerby</t>
  </si>
  <si>
    <t xml:space="preserve">Cerro Matoso </t>
  </si>
  <si>
    <t>Colombia</t>
  </si>
  <si>
    <t>Kevitsa</t>
  </si>
  <si>
    <t>Goro</t>
  </si>
  <si>
    <t>New Caledonia</t>
  </si>
  <si>
    <t>Koniambo</t>
  </si>
  <si>
    <t>Ramu</t>
  </si>
  <si>
    <t>Taimyr Peninsula</t>
  </si>
  <si>
    <t>Russia</t>
  </si>
  <si>
    <t>Kola Peninsula</t>
  </si>
  <si>
    <t>Nkomati</t>
  </si>
  <si>
    <t>Aguablanca</t>
  </si>
  <si>
    <t>Eagle (NiCu)</t>
  </si>
  <si>
    <t>PGEs</t>
  </si>
  <si>
    <t>g/t Pt</t>
  </si>
  <si>
    <t>g/t Pd</t>
  </si>
  <si>
    <t>g/t Rh</t>
  </si>
  <si>
    <t>t Pt</t>
  </si>
  <si>
    <t>t Pd</t>
  </si>
  <si>
    <t>t Rh</t>
  </si>
  <si>
    <t>Mogalakwena</t>
  </si>
  <si>
    <t>Impala Group</t>
  </si>
  <si>
    <t>Bafokeng-Rasimone</t>
  </si>
  <si>
    <t>Bokoni</t>
  </si>
  <si>
    <t>Marula</t>
  </si>
  <si>
    <t>Tumela-Dishaba (Amandelbult)</t>
  </si>
  <si>
    <t>Zondereinde (Northam)</t>
  </si>
  <si>
    <t>Modikwa</t>
  </si>
  <si>
    <t>Two Rivers</t>
  </si>
  <si>
    <t>Mototolo</t>
  </si>
  <si>
    <t>Pilanesberg</t>
  </si>
  <si>
    <t>Union North/South</t>
  </si>
  <si>
    <t>Stillwater</t>
  </si>
  <si>
    <t>Zimplats</t>
  </si>
  <si>
    <t>Zimbabwe</t>
  </si>
  <si>
    <t>Mimosa</t>
  </si>
  <si>
    <t>Unki</t>
  </si>
  <si>
    <t>Lac des Iles</t>
  </si>
  <si>
    <t>Au</t>
  </si>
  <si>
    <t>Veladero</t>
  </si>
  <si>
    <t>Cerro Vanguardia</t>
  </si>
  <si>
    <t>AuAg</t>
  </si>
  <si>
    <t>Casposo</t>
  </si>
  <si>
    <t>Kalgoorlie SuperPit</t>
  </si>
  <si>
    <t>Granny Smith</t>
  </si>
  <si>
    <t>Cowal</t>
  </si>
  <si>
    <t>F-C</t>
  </si>
  <si>
    <t>Fosterville</t>
  </si>
  <si>
    <t>Mount Rawdon</t>
  </si>
  <si>
    <t>C</t>
  </si>
  <si>
    <t>Cracow</t>
  </si>
  <si>
    <t>Paulsens</t>
  </si>
  <si>
    <t>Challenger</t>
  </si>
  <si>
    <t>Pajingo</t>
  </si>
  <si>
    <t>Costerfield</t>
  </si>
  <si>
    <t>Stawell</t>
  </si>
  <si>
    <t>Paracatu</t>
  </si>
  <si>
    <t>Paracatu (Au)</t>
  </si>
  <si>
    <t>Essakane</t>
  </si>
  <si>
    <t>Burkina Faso</t>
  </si>
  <si>
    <t>Youga</t>
  </si>
  <si>
    <t>Canadian Malartic</t>
  </si>
  <si>
    <t>Musselwhite</t>
  </si>
  <si>
    <t>Hemlo</t>
  </si>
  <si>
    <t>Timmins West-Bell Creek</t>
  </si>
  <si>
    <t>Holt-Holloway</t>
  </si>
  <si>
    <t>El Peñón</t>
  </si>
  <si>
    <t>Maricunga</t>
  </si>
  <si>
    <t>Kibali</t>
  </si>
  <si>
    <t>Congo-DRC</t>
  </si>
  <si>
    <t>Twangiza</t>
  </si>
  <si>
    <t>Tongon</t>
  </si>
  <si>
    <t>Côte d’Ivoire</t>
  </si>
  <si>
    <t>Agbaou</t>
  </si>
  <si>
    <t>Bonikro</t>
  </si>
  <si>
    <t>F-HM</t>
  </si>
  <si>
    <t>Ity</t>
  </si>
  <si>
    <t>Pueblo Viejo</t>
  </si>
  <si>
    <t>Dominican Republic</t>
  </si>
  <si>
    <t>Kittilä</t>
  </si>
  <si>
    <t>Tarkwa</t>
  </si>
  <si>
    <t>Ghana</t>
  </si>
  <si>
    <t>Akyem</t>
  </si>
  <si>
    <t>Ahafo</t>
  </si>
  <si>
    <t>Chirano</t>
  </si>
  <si>
    <t>Marlin</t>
  </si>
  <si>
    <t>Guatemala</t>
  </si>
  <si>
    <t>Togaruci-Gosowong</t>
  </si>
  <si>
    <t>HM-C</t>
  </si>
  <si>
    <t>Waihi</t>
  </si>
  <si>
    <t>New Zealand</t>
  </si>
  <si>
    <t>Macraes</t>
  </si>
  <si>
    <t>Reefton</t>
  </si>
  <si>
    <t>Lihir</t>
  </si>
  <si>
    <t>Porgera</t>
  </si>
  <si>
    <t>Hidden Valley</t>
  </si>
  <si>
    <t>Lagunas Norte</t>
  </si>
  <si>
    <t>Pierina</t>
  </si>
  <si>
    <t>Masbate</t>
  </si>
  <si>
    <t>Co-O</t>
  </si>
  <si>
    <t>Olimpiada</t>
  </si>
  <si>
    <t>Kupol</t>
  </si>
  <si>
    <t>Sabodala</t>
  </si>
  <si>
    <t>Senegal</t>
  </si>
  <si>
    <t>Björkdal</t>
  </si>
  <si>
    <t>North Mara</t>
  </si>
  <si>
    <t>Tanzania</t>
  </si>
  <si>
    <t>Bulyanhulu</t>
  </si>
  <si>
    <t>Tulawaka</t>
  </si>
  <si>
    <t>Chatree</t>
  </si>
  <si>
    <t>Thailand</t>
  </si>
  <si>
    <t>Goldstrike</t>
  </si>
  <si>
    <t>Pogo</t>
  </si>
  <si>
    <t>Marigold JV</t>
  </si>
  <si>
    <t>Kensington</t>
  </si>
  <si>
    <t>Wharf</t>
  </si>
  <si>
    <t>Golden Sunlight</t>
  </si>
  <si>
    <t>Bald Mountain</t>
  </si>
  <si>
    <t>Diamonds</t>
  </si>
  <si>
    <t>carats/t</t>
  </si>
  <si>
    <t>carats</t>
  </si>
  <si>
    <t>Mcarats</t>
  </si>
  <si>
    <t>Argyle</t>
  </si>
  <si>
    <t>diamonds</t>
  </si>
  <si>
    <t>Diavik</t>
  </si>
  <si>
    <t>Ekati</t>
  </si>
  <si>
    <t>Letšeng</t>
  </si>
  <si>
    <t>Lesotho</t>
  </si>
  <si>
    <t>Ghaghoo</t>
  </si>
  <si>
    <t>Orapa</t>
  </si>
  <si>
    <t>Letlhakane</t>
  </si>
  <si>
    <t>Damtshaa</t>
  </si>
  <si>
    <t>Jwaneng</t>
  </si>
  <si>
    <t>Kimberley</t>
  </si>
  <si>
    <t>Venetia</t>
  </si>
  <si>
    <t>Voorspoed</t>
  </si>
  <si>
    <t>Snap Lake</t>
  </si>
  <si>
    <t>Victor</t>
  </si>
  <si>
    <t>Gahcho Kué</t>
  </si>
  <si>
    <t>Uranium</t>
  </si>
  <si>
    <t>kt U3O8</t>
  </si>
  <si>
    <t>Mt HL Cu</t>
  </si>
  <si>
    <t>Ranger</t>
  </si>
  <si>
    <t>U</t>
  </si>
  <si>
    <t>Langer Heinrich</t>
  </si>
  <si>
    <t>Rössing</t>
  </si>
  <si>
    <t>Rabbit Lake</t>
  </si>
  <si>
    <t>Cigar Lake</t>
  </si>
  <si>
    <t>McLean Lake</t>
  </si>
  <si>
    <t>Priargunsky</t>
  </si>
  <si>
    <t>Mary Kathleen</t>
  </si>
  <si>
    <t>Nabarlek</t>
  </si>
  <si>
    <t>Rum Jungle</t>
  </si>
  <si>
    <t>U-Cu</t>
  </si>
  <si>
    <t>10km rad.</t>
  </si>
  <si>
    <t>20 km rad.</t>
  </si>
  <si>
    <t>20km rad.</t>
  </si>
  <si>
    <t>Range</t>
  </si>
  <si>
    <t>Mean</t>
  </si>
  <si>
    <t>Median</t>
  </si>
  <si>
    <t>ELEV</t>
  </si>
  <si>
    <t>Heap Leach</t>
  </si>
  <si>
    <r>
      <t>km</t>
    </r>
    <r>
      <rPr>
        <b/>
        <vertAlign val="superscript"/>
        <sz val="9"/>
        <color theme="1"/>
        <rFont val="Arial"/>
        <family val="2"/>
      </rPr>
      <t>2</t>
    </r>
  </si>
  <si>
    <t>Primary</t>
  </si>
  <si>
    <t>Commod.</t>
  </si>
  <si>
    <t>TOPOGRAPHY</t>
  </si>
  <si>
    <t>SITE, DATE, LOCATION</t>
  </si>
  <si>
    <t>PRODUCTION SUMMARIES</t>
  </si>
  <si>
    <t>Milled</t>
  </si>
  <si>
    <t>yellow shading</t>
  </si>
  <si>
    <t>data incomplete</t>
  </si>
  <si>
    <t>Process</t>
  </si>
  <si>
    <t>%OC ore</t>
  </si>
  <si>
    <t>Metals</t>
  </si>
  <si>
    <t>t ore milled</t>
  </si>
  <si>
    <t>Other</t>
  </si>
  <si>
    <t>t Cu conc</t>
  </si>
  <si>
    <t>t Cu</t>
  </si>
  <si>
    <t>kg Au</t>
  </si>
  <si>
    <t>kg Ag</t>
  </si>
  <si>
    <t>t Mo conc</t>
  </si>
  <si>
    <t>t Mo</t>
  </si>
  <si>
    <t>t Pb conc</t>
  </si>
  <si>
    <t>t Pb</t>
  </si>
  <si>
    <t>t Zn conc</t>
  </si>
  <si>
    <t>t Zn</t>
  </si>
  <si>
    <t>t Ni conc</t>
  </si>
  <si>
    <t>t Ni</t>
  </si>
  <si>
    <t>t Co</t>
  </si>
  <si>
    <t>t U3O8</t>
  </si>
  <si>
    <t>t tailings</t>
  </si>
  <si>
    <t>t heap leach</t>
  </si>
  <si>
    <t>t Cu HL</t>
  </si>
  <si>
    <t>t waste rock</t>
  </si>
  <si>
    <t>ore.g-t Au</t>
  </si>
  <si>
    <t>ore.g-t Ag</t>
  </si>
  <si>
    <t>ore.%Mo</t>
  </si>
  <si>
    <t>ore.%Pb</t>
  </si>
  <si>
    <t>ore.%Zn</t>
  </si>
  <si>
    <t>ore.%Co</t>
  </si>
  <si>
    <t>ore.%Other</t>
  </si>
  <si>
    <t>ore.%OC</t>
  </si>
  <si>
    <t>Type</t>
  </si>
  <si>
    <t>Configuration</t>
  </si>
  <si>
    <t>Cu-Au-Ag</t>
  </si>
  <si>
    <t>#</t>
  </si>
  <si>
    <t>2017-06</t>
  </si>
  <si>
    <t>Cum. Prod.</t>
  </si>
  <si>
    <t>Std Dev</t>
  </si>
  <si>
    <t>Alumbrera</t>
  </si>
  <si>
    <t>Cum. Prod. to 2013-06</t>
  </si>
  <si>
    <t>Cu-Mo-Au-Ag</t>
  </si>
  <si>
    <t>Cum. Prod. to 2016-06</t>
  </si>
  <si>
    <t>Cum. Prod. To 2015-10</t>
  </si>
  <si>
    <t>Cu-Zn-Mo-Ag</t>
  </si>
  <si>
    <t>HY 2017-06</t>
  </si>
  <si>
    <t>O6</t>
  </si>
  <si>
    <t>Cum. Prod. to 2014-06</t>
  </si>
  <si>
    <t>Cu-Au</t>
  </si>
  <si>
    <t>FY2012</t>
  </si>
  <si>
    <t>Cu-Zn-Pb-Ag</t>
  </si>
  <si>
    <t>FY2013</t>
  </si>
  <si>
    <t>Boddington</t>
  </si>
  <si>
    <t>Au-Cu</t>
  </si>
  <si>
    <t>FY2009</t>
  </si>
  <si>
    <t>Au-Ag</t>
  </si>
  <si>
    <t>FY2010</t>
  </si>
  <si>
    <t>FY2011</t>
  </si>
  <si>
    <t>FY2014</t>
  </si>
  <si>
    <t>FY2015</t>
  </si>
  <si>
    <t>HY 2016-12</t>
  </si>
  <si>
    <t>Broken Hill Field</t>
  </si>
  <si>
    <t>Pb-Zn-Ag-Cu-Au</t>
  </si>
  <si>
    <t>Cadia Valley Op's</t>
  </si>
  <si>
    <t>FY1999</t>
  </si>
  <si>
    <t>Au-Cu-Ag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</si>
  <si>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</si>
  <si>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</si>
  <si>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</si>
  <si>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</si>
  <si>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</si>
  <si>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</si>
  <si>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</si>
  <si>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</si>
  <si>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</si>
  <si>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FY2016</t>
  </si>
  <si>
    <t>FY1998</t>
  </si>
  <si>
    <t>Pb-Zn-Ag</t>
  </si>
  <si>
    <t>FY2017</t>
  </si>
  <si>
    <t>2017-05</t>
  </si>
  <si>
    <t>Centinela (Esperanza-El Tesoro)</t>
  </si>
  <si>
    <t>2017-04</t>
  </si>
  <si>
    <t>Cum. Prod. to 2014-11</t>
  </si>
  <si>
    <t>2017-09</t>
  </si>
  <si>
    <t>F-HL-S</t>
  </si>
  <si>
    <t>Codelco Norte</t>
  </si>
  <si>
    <t>Cu-Mo-Ag</t>
  </si>
  <si>
    <t>Cum. Prod. to 2016-03</t>
  </si>
  <si>
    <t>2013-06</t>
  </si>
  <si>
    <t>Cortez</t>
  </si>
  <si>
    <t>started 1969</t>
  </si>
  <si>
    <t>HM-C-HL</t>
  </si>
  <si>
    <t>2013-03</t>
  </si>
  <si>
    <t>Cum. Prod. to 2013-03</t>
  </si>
  <si>
    <t>started 1980s</t>
  </si>
  <si>
    <t>Darlot</t>
  </si>
  <si>
    <t>DeGrussa</t>
  </si>
  <si>
    <t>DSO-F</t>
  </si>
  <si>
    <t>Cum. Prod. to 2014-08</t>
  </si>
  <si>
    <t>started 1906</t>
  </si>
  <si>
    <t>t magnetite</t>
  </si>
  <si>
    <t>Cum. Prod. to 2015-10</t>
  </si>
  <si>
    <t>started 1991</t>
  </si>
  <si>
    <t>Eskay Creek</t>
  </si>
  <si>
    <t>started 1994</t>
  </si>
  <si>
    <t>Gabriela Mistral</t>
  </si>
  <si>
    <t>Cum. Prod. to 2015-02</t>
  </si>
  <si>
    <t>Cu-Zn-Au-Pb-Ag</t>
  </si>
  <si>
    <t>FY1992</t>
  </si>
  <si>
    <t>FY1993</t>
  </si>
  <si>
    <t>FY1994</t>
  </si>
  <si>
    <t>FY1995</t>
  </si>
  <si>
    <t>FY1996</t>
  </si>
  <si>
    <t>FY1997</t>
  </si>
  <si>
    <t>started 1975</t>
  </si>
  <si>
    <t>Au-Ag-Zn-Pb</t>
  </si>
  <si>
    <t>Cum. Prod. to 2013-07</t>
  </si>
  <si>
    <t>Cum. Prod. to 2016-05</t>
  </si>
  <si>
    <t>Hemlo Group</t>
  </si>
  <si>
    <t>Highland Valley Group</t>
  </si>
  <si>
    <t>Holt-Holloway (Holt-McDermott)</t>
  </si>
  <si>
    <t>Cu-Au-Ag-Mo</t>
  </si>
  <si>
    <t>2016-06</t>
  </si>
  <si>
    <t>Cu-Co</t>
  </si>
  <si>
    <t>S</t>
  </si>
  <si>
    <t>Konkola Group</t>
  </si>
  <si>
    <t>started 1927</t>
  </si>
  <si>
    <t>Lawlers</t>
  </si>
  <si>
    <t>started early 1990s</t>
  </si>
  <si>
    <t>Cum. Prod. to 2010-06</t>
  </si>
  <si>
    <t>Cum. Prod. to 2014-09</t>
  </si>
  <si>
    <t>Pb</t>
  </si>
  <si>
    <t>Cum. Prod. to 2016-09</t>
  </si>
  <si>
    <t>1989-2014'03</t>
  </si>
  <si>
    <t>HL-C</t>
  </si>
  <si>
    <t>2014'03-12</t>
  </si>
  <si>
    <t>Cum. Prod. to 2013-08</t>
  </si>
  <si>
    <t>Cu-Ag</t>
  </si>
  <si>
    <t>Morro do Ouro (Paracatu)</t>
  </si>
  <si>
    <t>Au-Ag-Cu</t>
  </si>
  <si>
    <t>Mount Isa (Cu)</t>
  </si>
  <si>
    <t>Mount Isa (PbZnAg)</t>
  </si>
  <si>
    <t>2016-03</t>
  </si>
  <si>
    <t>FY1989</t>
  </si>
  <si>
    <t>Cu-U-Au-Ag</t>
  </si>
  <si>
    <t>FY1990</t>
  </si>
  <si>
    <t>FY1991</t>
  </si>
  <si>
    <t>Cum. Prod. to 2015-12</t>
  </si>
  <si>
    <t>Cum. Prod. to 2016-07</t>
  </si>
  <si>
    <t>started late 1950s</t>
  </si>
  <si>
    <t>Cu-Au-misc.</t>
  </si>
  <si>
    <t>magnetite, vermiculite, baddeleyite</t>
  </si>
  <si>
    <t>magnetite, vermiculite</t>
  </si>
  <si>
    <t>Patchway</t>
  </si>
  <si>
    <t>started ~1959</t>
  </si>
  <si>
    <t>Peak (NSW)</t>
  </si>
  <si>
    <t>Au-Cu-Pb-Zn-Ag</t>
  </si>
  <si>
    <t>2017-03</t>
  </si>
  <si>
    <t>Plutonic</t>
  </si>
  <si>
    <t>F-HM-C</t>
  </si>
  <si>
    <t>started 1995</t>
  </si>
  <si>
    <t>Cu-Mo</t>
  </si>
  <si>
    <t>Rawhide</t>
  </si>
  <si>
    <t>started 1990</t>
  </si>
  <si>
    <t>Cum. Prod. to 2009-08</t>
  </si>
  <si>
    <t>Renco</t>
  </si>
  <si>
    <t>started 1982</t>
  </si>
  <si>
    <t>Ridgeway</t>
  </si>
  <si>
    <t>started 1988</t>
  </si>
  <si>
    <t>Round Mountain JV</t>
  </si>
  <si>
    <t>started 1977</t>
  </si>
  <si>
    <t>Ruby Hill</t>
  </si>
  <si>
    <t>started 1997</t>
  </si>
  <si>
    <t>Salvador</t>
  </si>
  <si>
    <t>started 1959</t>
  </si>
  <si>
    <t>Cum. Prod. to 2007</t>
  </si>
  <si>
    <t>Zn</t>
  </si>
  <si>
    <t>F-HL-C</t>
  </si>
  <si>
    <t>2015-10</t>
  </si>
  <si>
    <t>Cum. Prod. To 2016-10</t>
  </si>
  <si>
    <t>Tintaya-Antapaccay</t>
  </si>
  <si>
    <t>started 1985</t>
  </si>
  <si>
    <t>2015-09</t>
  </si>
  <si>
    <t>Cum. Prod. To 2015-09</t>
  </si>
  <si>
    <t>Cum. Prod. To 2016-06</t>
  </si>
  <si>
    <t>2017/06</t>
  </si>
  <si>
    <t>Countries: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</si>
</sst>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[$-C09]dd\-mmm\-yy;@"/>
    <numFmt numFmtId="166" formatCode="0.0000"/>
    <numFmt numFmtId="167" formatCode="#,##0.0"/>
    <numFmt numFmtId="168" formatCode="0.0"/>
    <numFmt numFmtId="169" formatCode="[$-C09]d\ mmm\ yyyy;@"/>
    <numFmt numFmtId="170" formatCode="#,##0_ ;[Red]\-#,##0\ "/>
    <numFmt numFmtId="171" formatCode="#,##0.00_ ;[Red]\-#,##0.00\ 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0000CC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rgb="FF0000CC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i/>
      <sz val="8"/>
      <color rgb="FFFF0000"/>
      <name val="Arial"/>
      <family val="2"/>
    </font>
    <font>
      <b/>
      <sz val="8"/>
      <color rgb="FF00660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rgb="FFCC0066"/>
      <name val="Arial"/>
      <family val="2"/>
    </font>
    <font>
      <b/>
      <sz val="8"/>
      <color rgb="FF00B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 vertical="center"/>
    </xf>
  </cellStyleXfs>
  <cellXfs count="135">
    <xf numFmtId="0" fontId="0" fillId="0" borderId="0" xfId="0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8" fontId="7" fillId="0" borderId="0" xfId="0" applyNumberFormat="1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169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166" fontId="11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168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168" fontId="14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168" fontId="15" fillId="5" borderId="0" xfId="0" applyNumberFormat="1" applyFont="1" applyFill="1" applyAlignment="1">
      <alignment horizontal="center" vertical="center"/>
    </xf>
    <xf numFmtId="3" fontId="15" fillId="5" borderId="0" xfId="0" applyNumberFormat="1" applyFont="1" applyFill="1" applyAlignment="1">
      <alignment horizontal="center" vertical="center"/>
    </xf>
    <xf numFmtId="2" fontId="15" fillId="5" borderId="0" xfId="0" applyNumberFormat="1" applyFont="1" applyFill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15" fillId="5" borderId="0" xfId="0" applyFont="1" applyFill="1" applyAlignment="1">
      <alignment horizontal="right" vertical="center"/>
    </xf>
    <xf numFmtId="0" fontId="12" fillId="4" borderId="0" xfId="0" applyFont="1" applyFill="1" applyAlignment="1">
      <alignment horizontal="center" vertical="center"/>
    </xf>
    <xf numFmtId="3" fontId="12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164" fontId="15" fillId="5" borderId="0" xfId="0" applyNumberFormat="1" applyFont="1" applyFill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" fontId="15" fillId="5" borderId="0" xfId="0" applyNumberFormat="1" applyFont="1" applyFill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171" fontId="12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15" fillId="5" borderId="0" xfId="0" applyNumberFormat="1" applyFont="1" applyFill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168" fontId="25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2" fontId="23" fillId="0" borderId="0" xfId="0" applyNumberFormat="1" applyFont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168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DB3586A2-39CE-42D1-A3FA-729AB5607DCA}"/>
  </cellStyles>
  <dxfs count="5">
    <dxf>
      <fill>
        <patternFill>
          <bgColor rgb="FFFF99FF"/>
        </patternFill>
      </fill>
    </dxf>
    <dxf>
      <fill>
        <patternFill>
          <bgColor rgb="FF66FFFF"/>
        </patternFill>
      </fill>
    </dxf>
    <dxf>
      <fill>
        <patternFill>
          <bgColor rgb="FF99FF99"/>
        </patternFill>
      </fill>
    </dxf>
    <dxf>
      <fill>
        <patternFill>
          <bgColor rgb="FFFF9966"/>
        </patternFill>
      </fill>
    </dxf>
    <dxf>
      <fill>
        <patternFill>
          <bgColor rgb="FF33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56CB2-1BC2-4EBE-B862-03EC2F53F628}">
  <dimension ref="A2:BJ334"/>
  <sheetViews>
    <sheetView tabSelected="1" zoomScale="75" zoomScaleNormal="100" workbookViewId="0">
      <selection activeCell="L28" sqref="L28"/>
    </sheetView>
  </sheetViews>
  <sheetFormatPr defaultColWidth="9.7109375" defaultRowHeight="12" x14ac:dyDescent="0.2"/>
  <cols>
    <col min="1" max="1" width="25.7109375" style="1" customWidth="1"/>
    <col min="2" max="2" width="15.7109375" style="1" customWidth="1"/>
    <col min="3" max="5" width="12.7109375" style="1" customWidth="1"/>
    <col min="6" max="6" width="9.7109375" style="1" customWidth="1"/>
    <col min="7" max="7" width="2.7109375" style="66" customWidth="1"/>
    <col min="8" max="19" width="12.7109375" style="1" customWidth="1"/>
    <col min="20" max="20" width="2.7109375" style="66" customWidth="1"/>
    <col min="21" max="25" width="9.7109375" style="1"/>
    <col min="26" max="26" width="2.7109375" style="66" customWidth="1"/>
    <col min="27" max="28" width="9.7109375" style="1"/>
    <col min="29" max="29" width="10.7109375" style="1" customWidth="1"/>
    <col min="30" max="30" width="7.7109375" style="1" customWidth="1"/>
    <col min="31" max="31" width="9.7109375" style="1"/>
    <col min="32" max="34" width="7.7109375" style="1" customWidth="1"/>
    <col min="35" max="35" width="9.7109375" style="1" customWidth="1"/>
    <col min="36" max="36" width="8.7109375" style="1" customWidth="1"/>
    <col min="37" max="37" width="10.7109375" style="1" customWidth="1"/>
    <col min="38" max="41" width="9.7109375" style="1"/>
    <col min="42" max="42" width="10.7109375" style="1" customWidth="1"/>
    <col min="43" max="43" width="9.7109375" style="1"/>
    <col min="44" max="49" width="10.7109375" style="1" customWidth="1"/>
    <col min="50" max="51" width="9.7109375" style="1"/>
    <col min="52" max="52" width="9.7109375" style="1" customWidth="1"/>
    <col min="53" max="55" width="12.42578125" style="1" bestFit="1" customWidth="1"/>
    <col min="56" max="57" width="14.42578125" style="1" bestFit="1" customWidth="1"/>
    <col min="58" max="59" width="12.42578125" style="1" bestFit="1" customWidth="1"/>
    <col min="60" max="61" width="1.7109375" style="1" customWidth="1"/>
    <col min="62" max="62" width="4.140625" style="1" customWidth="1"/>
    <col min="63" max="16384" width="9.7109375" style="1"/>
  </cols>
  <sheetData>
    <row r="2" spans="1:62" x14ac:dyDescent="0.2">
      <c r="AC2" s="64" t="s">
        <v>0</v>
      </c>
    </row>
    <row r="3" spans="1:62" ht="15.75" x14ac:dyDescent="0.2">
      <c r="C3" s="74" t="s">
        <v>518</v>
      </c>
      <c r="M3" s="73" t="s">
        <v>7</v>
      </c>
      <c r="W3" s="73" t="s">
        <v>517</v>
      </c>
      <c r="AA3" s="64" t="s">
        <v>2</v>
      </c>
      <c r="AC3" s="64" t="s">
        <v>1</v>
      </c>
      <c r="AM3" s="73" t="s">
        <v>519</v>
      </c>
    </row>
    <row r="4" spans="1:62" x14ac:dyDescent="0.2">
      <c r="AA4" s="64" t="s">
        <v>5</v>
      </c>
      <c r="AC4" s="64" t="s">
        <v>3</v>
      </c>
    </row>
    <row r="5" spans="1:62" x14ac:dyDescent="0.2">
      <c r="A5" s="1" t="s">
        <v>4</v>
      </c>
      <c r="D5" s="1" t="s">
        <v>708</v>
      </c>
      <c r="AC5" s="64" t="s">
        <v>6</v>
      </c>
    </row>
    <row r="6" spans="1:62" x14ac:dyDescent="0.2">
      <c r="A6" s="1">
        <f>COUNTA(A324:A334,A305:A319,A238:A300,A217:A233,A190:A212,A140:A185,A125:A135,A12:A120)</f>
        <v>295</v>
      </c>
      <c r="D6" s="1">
        <f>SUMPRODUCT(1/COUNTIF(B12:B334,B12:B334))-9</f>
        <v>43.000000000000156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C6" s="64" t="s">
        <v>8</v>
      </c>
    </row>
    <row r="7" spans="1:62" x14ac:dyDescent="0.2"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AC7" s="64"/>
    </row>
    <row r="8" spans="1:62" x14ac:dyDescent="0.2">
      <c r="A8" s="3" t="s">
        <v>9</v>
      </c>
      <c r="B8" s="3" t="s">
        <v>9</v>
      </c>
      <c r="C8" s="3" t="s">
        <v>9</v>
      </c>
      <c r="D8" s="3" t="s">
        <v>9</v>
      </c>
      <c r="E8" s="3" t="s">
        <v>9</v>
      </c>
      <c r="F8" s="3" t="s">
        <v>9</v>
      </c>
      <c r="G8" s="67"/>
      <c r="H8" s="3" t="s">
        <v>9</v>
      </c>
      <c r="I8" s="3" t="s">
        <v>9</v>
      </c>
      <c r="J8" s="3" t="s">
        <v>9</v>
      </c>
      <c r="K8" s="3" t="s">
        <v>9</v>
      </c>
      <c r="L8" s="3" t="s">
        <v>9</v>
      </c>
      <c r="M8" s="3" t="s">
        <v>9</v>
      </c>
      <c r="N8" s="3" t="s">
        <v>9</v>
      </c>
      <c r="O8" s="3" t="s">
        <v>9</v>
      </c>
      <c r="P8" s="3" t="s">
        <v>9</v>
      </c>
      <c r="Q8" s="3" t="s">
        <v>9</v>
      </c>
      <c r="R8" s="3" t="s">
        <v>9</v>
      </c>
      <c r="S8" s="3" t="s">
        <v>9</v>
      </c>
      <c r="T8" s="67"/>
      <c r="U8" s="5" t="s">
        <v>10</v>
      </c>
      <c r="V8" s="5" t="s">
        <v>10</v>
      </c>
      <c r="W8" s="5" t="s">
        <v>10</v>
      </c>
      <c r="X8" s="5" t="s">
        <v>512</v>
      </c>
      <c r="Y8" s="5" t="s">
        <v>512</v>
      </c>
      <c r="Z8" s="67"/>
      <c r="AA8" s="3" t="s">
        <v>9</v>
      </c>
      <c r="AB8" s="3" t="s">
        <v>9</v>
      </c>
      <c r="AC8" s="3" t="s">
        <v>9</v>
      </c>
      <c r="AD8" s="3" t="s">
        <v>9</v>
      </c>
      <c r="AE8" s="3" t="s">
        <v>9</v>
      </c>
      <c r="AF8" s="3" t="s">
        <v>9</v>
      </c>
      <c r="AG8" s="3" t="s">
        <v>9</v>
      </c>
      <c r="AH8" s="3" t="s">
        <v>9</v>
      </c>
      <c r="AI8" s="3" t="s">
        <v>9</v>
      </c>
      <c r="AJ8" s="3" t="s">
        <v>9</v>
      </c>
      <c r="AK8" s="3" t="s">
        <v>9</v>
      </c>
      <c r="AL8" s="3" t="s">
        <v>9</v>
      </c>
      <c r="AM8" s="3" t="s">
        <v>9</v>
      </c>
      <c r="AN8" s="3" t="s">
        <v>9</v>
      </c>
      <c r="AO8" s="3" t="s">
        <v>9</v>
      </c>
      <c r="AP8" s="3" t="s">
        <v>9</v>
      </c>
      <c r="AQ8" s="3" t="s">
        <v>9</v>
      </c>
      <c r="AR8" s="3" t="s">
        <v>9</v>
      </c>
      <c r="AS8" s="3" t="s">
        <v>9</v>
      </c>
      <c r="AT8" s="3" t="s">
        <v>9</v>
      </c>
      <c r="AU8" s="3" t="s">
        <v>9</v>
      </c>
      <c r="AV8" s="3" t="s">
        <v>9</v>
      </c>
      <c r="AW8" s="3" t="s">
        <v>9</v>
      </c>
      <c r="AX8" s="3" t="s">
        <v>9</v>
      </c>
      <c r="AY8" s="3" t="s">
        <v>9</v>
      </c>
      <c r="AZ8" s="3" t="s">
        <v>9</v>
      </c>
      <c r="BA8" s="6" t="s">
        <v>520</v>
      </c>
      <c r="BB8" s="6" t="s">
        <v>520</v>
      </c>
      <c r="BC8" s="6" t="s">
        <v>520</v>
      </c>
      <c r="BD8" s="6" t="s">
        <v>520</v>
      </c>
      <c r="BE8" s="6" t="s">
        <v>520</v>
      </c>
      <c r="BF8" s="7" t="s">
        <v>513</v>
      </c>
      <c r="BG8" s="7" t="s">
        <v>513</v>
      </c>
    </row>
    <row r="9" spans="1:62" s="4" customFormat="1" x14ac:dyDescent="0.2">
      <c r="A9" s="4" t="s">
        <v>11</v>
      </c>
      <c r="B9" s="4" t="s">
        <v>12</v>
      </c>
      <c r="C9" s="4" t="s">
        <v>13</v>
      </c>
      <c r="D9" s="4" t="s">
        <v>14</v>
      </c>
      <c r="E9" s="4" t="s">
        <v>15</v>
      </c>
      <c r="F9" s="63" t="s">
        <v>515</v>
      </c>
      <c r="G9" s="68"/>
      <c r="H9" s="4" t="s">
        <v>21</v>
      </c>
      <c r="I9" s="4" t="s">
        <v>22</v>
      </c>
      <c r="J9" s="4" t="s">
        <v>23</v>
      </c>
      <c r="K9" s="4" t="s">
        <v>24</v>
      </c>
      <c r="L9" s="4" t="s">
        <v>25</v>
      </c>
      <c r="M9" s="4" t="s">
        <v>26</v>
      </c>
      <c r="N9" s="4" t="s">
        <v>27</v>
      </c>
      <c r="O9" s="4" t="s">
        <v>28</v>
      </c>
      <c r="P9" s="4" t="s">
        <v>29</v>
      </c>
      <c r="Q9" s="4" t="s">
        <v>30</v>
      </c>
      <c r="R9" s="4" t="s">
        <v>31</v>
      </c>
      <c r="S9" s="4" t="s">
        <v>20</v>
      </c>
      <c r="T9" s="68"/>
      <c r="U9" s="4" t="s">
        <v>506</v>
      </c>
      <c r="V9" s="4" t="s">
        <v>507</v>
      </c>
      <c r="W9" s="4" t="s">
        <v>507</v>
      </c>
      <c r="X9" s="4" t="s">
        <v>507</v>
      </c>
      <c r="Y9" s="4" t="s">
        <v>508</v>
      </c>
      <c r="Z9" s="68"/>
      <c r="AA9" s="4" t="s">
        <v>16</v>
      </c>
      <c r="AB9" s="4" t="s">
        <v>17</v>
      </c>
      <c r="AC9" s="4" t="s">
        <v>17</v>
      </c>
      <c r="AD9" s="4" t="s">
        <v>18</v>
      </c>
      <c r="AE9" s="4" t="s">
        <v>19</v>
      </c>
      <c r="AF9" s="4" t="s">
        <v>19</v>
      </c>
      <c r="AG9" s="4" t="s">
        <v>19</v>
      </c>
      <c r="AH9" s="4" t="s">
        <v>19</v>
      </c>
      <c r="AI9" s="4" t="s">
        <v>19</v>
      </c>
      <c r="AJ9" s="4" t="s">
        <v>19</v>
      </c>
      <c r="AK9" s="4" t="s">
        <v>19</v>
      </c>
      <c r="AL9" s="4" t="s">
        <v>19</v>
      </c>
      <c r="AM9" s="4" t="s">
        <v>19</v>
      </c>
      <c r="AN9" s="4" t="s">
        <v>19</v>
      </c>
      <c r="AO9" s="4" t="s">
        <v>19</v>
      </c>
      <c r="AP9" s="4" t="s">
        <v>19</v>
      </c>
      <c r="AQ9" s="4" t="s">
        <v>19</v>
      </c>
      <c r="AR9" s="4" t="s">
        <v>19</v>
      </c>
      <c r="AS9" s="4" t="s">
        <v>19</v>
      </c>
      <c r="AT9" s="4" t="s">
        <v>19</v>
      </c>
      <c r="AU9" s="4" t="s">
        <v>19</v>
      </c>
      <c r="AV9" s="4" t="s">
        <v>19</v>
      </c>
      <c r="AW9" s="4" t="s">
        <v>19</v>
      </c>
      <c r="AX9" s="4" t="s">
        <v>19</v>
      </c>
      <c r="AY9" s="4" t="s">
        <v>19</v>
      </c>
      <c r="AZ9" s="4" t="s">
        <v>20</v>
      </c>
      <c r="BA9" s="6" t="s">
        <v>39</v>
      </c>
      <c r="BB9" s="6" t="s">
        <v>39</v>
      </c>
      <c r="BC9" s="6" t="s">
        <v>40</v>
      </c>
      <c r="BD9" s="6" t="s">
        <v>41</v>
      </c>
      <c r="BE9" s="6" t="s">
        <v>41</v>
      </c>
      <c r="BF9" s="7" t="s">
        <v>39</v>
      </c>
      <c r="BG9" s="7" t="s">
        <v>40</v>
      </c>
    </row>
    <row r="10" spans="1:62" s="4" customFormat="1" ht="13.5" x14ac:dyDescent="0.2">
      <c r="A10" s="4" t="s">
        <v>11</v>
      </c>
      <c r="B10" s="4" t="s">
        <v>12</v>
      </c>
      <c r="C10" s="4" t="s">
        <v>33</v>
      </c>
      <c r="D10" s="4" t="s">
        <v>14</v>
      </c>
      <c r="E10" s="4" t="s">
        <v>15</v>
      </c>
      <c r="F10" s="63" t="s">
        <v>516</v>
      </c>
      <c r="G10" s="68"/>
      <c r="H10" s="4" t="s">
        <v>514</v>
      </c>
      <c r="I10" s="4" t="s">
        <v>514</v>
      </c>
      <c r="J10" s="4" t="s">
        <v>514</v>
      </c>
      <c r="K10" s="4" t="s">
        <v>514</v>
      </c>
      <c r="L10" s="4" t="s">
        <v>514</v>
      </c>
      <c r="M10" s="4" t="s">
        <v>514</v>
      </c>
      <c r="N10" s="4" t="s">
        <v>514</v>
      </c>
      <c r="O10" s="4" t="s">
        <v>514</v>
      </c>
      <c r="P10" s="4" t="s">
        <v>514</v>
      </c>
      <c r="Q10" s="4" t="s">
        <v>514</v>
      </c>
      <c r="R10" s="4" t="s">
        <v>514</v>
      </c>
      <c r="S10" s="4" t="s">
        <v>514</v>
      </c>
      <c r="T10" s="68"/>
      <c r="U10" s="4" t="s">
        <v>511</v>
      </c>
      <c r="V10" s="4" t="s">
        <v>510</v>
      </c>
      <c r="W10" s="4" t="s">
        <v>509</v>
      </c>
      <c r="X10" s="4" t="s">
        <v>510</v>
      </c>
      <c r="Y10" s="4" t="s">
        <v>509</v>
      </c>
      <c r="Z10" s="68"/>
      <c r="AA10" s="4" t="s">
        <v>34</v>
      </c>
      <c r="AB10" s="4" t="s">
        <v>35</v>
      </c>
      <c r="AC10" s="4" t="s">
        <v>35</v>
      </c>
      <c r="AD10" s="4" t="s">
        <v>36</v>
      </c>
      <c r="AE10" s="4" t="s">
        <v>37</v>
      </c>
      <c r="AF10" s="4" t="s">
        <v>37</v>
      </c>
      <c r="AG10" s="4" t="s">
        <v>37</v>
      </c>
      <c r="AH10" s="4" t="s">
        <v>37</v>
      </c>
      <c r="AI10" s="4" t="s">
        <v>37</v>
      </c>
      <c r="AJ10" s="4" t="s">
        <v>37</v>
      </c>
      <c r="AK10" s="4" t="s">
        <v>37</v>
      </c>
      <c r="AL10" s="4" t="s">
        <v>37</v>
      </c>
      <c r="AM10" s="4" t="s">
        <v>37</v>
      </c>
      <c r="AN10" s="4" t="s">
        <v>37</v>
      </c>
      <c r="AO10" s="4" t="s">
        <v>37</v>
      </c>
      <c r="AP10" s="4" t="s">
        <v>37</v>
      </c>
      <c r="AQ10" s="4" t="s">
        <v>37</v>
      </c>
      <c r="AR10" s="4" t="s">
        <v>37</v>
      </c>
      <c r="AS10" s="4" t="s">
        <v>37</v>
      </c>
      <c r="AT10" s="4" t="s">
        <v>37</v>
      </c>
      <c r="AU10" s="4" t="s">
        <v>37</v>
      </c>
      <c r="AV10" s="4" t="s">
        <v>37</v>
      </c>
      <c r="AW10" s="4" t="s">
        <v>37</v>
      </c>
      <c r="AX10" s="4" t="s">
        <v>37</v>
      </c>
      <c r="AY10" s="4" t="s">
        <v>37</v>
      </c>
      <c r="AZ10" s="4" t="s">
        <v>38</v>
      </c>
      <c r="BA10" s="6" t="s">
        <v>68</v>
      </c>
      <c r="BB10" s="6" t="s">
        <v>69</v>
      </c>
      <c r="BC10" s="6" t="s">
        <v>68</v>
      </c>
      <c r="BD10" s="6" t="s">
        <v>70</v>
      </c>
      <c r="BE10" s="6" t="s">
        <v>40</v>
      </c>
      <c r="BF10" s="7" t="s">
        <v>68</v>
      </c>
      <c r="BG10" s="7" t="s">
        <v>68</v>
      </c>
    </row>
    <row r="11" spans="1:62" s="4" customFormat="1" x14ac:dyDescent="0.2">
      <c r="A11" s="4" t="s">
        <v>11</v>
      </c>
      <c r="B11" s="4" t="s">
        <v>12</v>
      </c>
      <c r="C11" s="4" t="s">
        <v>45</v>
      </c>
      <c r="D11" s="4" t="s">
        <v>14</v>
      </c>
      <c r="E11" s="4" t="s">
        <v>15</v>
      </c>
      <c r="G11" s="69"/>
      <c r="H11" s="4" t="s">
        <v>71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77</v>
      </c>
      <c r="O11" s="4" t="s">
        <v>78</v>
      </c>
      <c r="P11" s="4" t="s">
        <v>79</v>
      </c>
      <c r="Q11" s="4" t="s">
        <v>80</v>
      </c>
      <c r="R11" s="4" t="s">
        <v>81</v>
      </c>
      <c r="S11" s="4" t="s">
        <v>82</v>
      </c>
      <c r="T11" s="69"/>
      <c r="Z11" s="69"/>
      <c r="AA11" s="4" t="s">
        <v>46</v>
      </c>
      <c r="AB11" s="4" t="s">
        <v>11</v>
      </c>
      <c r="AC11" s="4" t="s">
        <v>47</v>
      </c>
      <c r="AD11" s="4" t="s">
        <v>48</v>
      </c>
      <c r="AE11" s="4" t="s">
        <v>49</v>
      </c>
      <c r="AF11" s="4" t="s">
        <v>44</v>
      </c>
      <c r="AG11" s="4" t="s">
        <v>50</v>
      </c>
      <c r="AH11" s="4" t="s">
        <v>51</v>
      </c>
      <c r="AI11" s="4" t="s">
        <v>52</v>
      </c>
      <c r="AJ11" s="4" t="s">
        <v>53</v>
      </c>
      <c r="AK11" s="4" t="s">
        <v>54</v>
      </c>
      <c r="AL11" s="4" t="s">
        <v>43</v>
      </c>
      <c r="AM11" s="4" t="s">
        <v>55</v>
      </c>
      <c r="AN11" s="4" t="s">
        <v>56</v>
      </c>
      <c r="AO11" s="4" t="s">
        <v>57</v>
      </c>
      <c r="AP11" s="4" t="s">
        <v>58</v>
      </c>
      <c r="AQ11" s="4" t="s">
        <v>59</v>
      </c>
      <c r="AR11" s="4" t="s">
        <v>53</v>
      </c>
      <c r="AS11" s="4" t="s">
        <v>60</v>
      </c>
      <c r="AT11" s="4" t="s">
        <v>61</v>
      </c>
      <c r="AU11" s="4" t="s">
        <v>62</v>
      </c>
      <c r="AV11" s="4" t="s">
        <v>63</v>
      </c>
      <c r="AW11" s="4" t="s">
        <v>64</v>
      </c>
      <c r="AX11" s="4" t="s">
        <v>65</v>
      </c>
      <c r="AY11" s="4" t="s">
        <v>66</v>
      </c>
      <c r="AZ11" s="4" t="s">
        <v>67</v>
      </c>
    </row>
    <row r="12" spans="1:62" x14ac:dyDescent="0.2">
      <c r="A12" s="1" t="s">
        <v>83</v>
      </c>
      <c r="B12" s="1" t="s">
        <v>84</v>
      </c>
      <c r="C12" s="8">
        <v>41480</v>
      </c>
      <c r="D12" s="9">
        <v>-27.330570999999999</v>
      </c>
      <c r="E12" s="9">
        <v>-66.609640999999996</v>
      </c>
      <c r="F12" s="65" t="s">
        <v>85</v>
      </c>
      <c r="G12" s="70"/>
      <c r="H12" s="2">
        <v>2.61414785442846</v>
      </c>
      <c r="I12" s="2">
        <v>5.4171617404144401</v>
      </c>
      <c r="J12" s="2">
        <v>7.5351639483792647</v>
      </c>
      <c r="K12" s="2">
        <v>0.64754418283711501</v>
      </c>
      <c r="S12" s="2">
        <v>16.214017726059279</v>
      </c>
      <c r="T12" s="70"/>
      <c r="U12" s="1">
        <v>3.3035229444503802</v>
      </c>
      <c r="V12" s="1">
        <v>3.8514244268810902</v>
      </c>
      <c r="W12" s="1">
        <v>12.0725123286247</v>
      </c>
      <c r="X12" s="1">
        <v>2532.2952380000002</v>
      </c>
      <c r="Y12" s="1">
        <v>989</v>
      </c>
      <c r="Z12" s="70"/>
      <c r="AA12" s="1" t="s">
        <v>86</v>
      </c>
      <c r="AB12" s="1" t="s">
        <v>87</v>
      </c>
      <c r="AC12" s="1" t="s">
        <v>88</v>
      </c>
      <c r="AD12" s="1">
        <v>17</v>
      </c>
      <c r="AE12" s="10">
        <v>529.74506533333295</v>
      </c>
      <c r="AF12" s="11">
        <v>0.55651313045530759</v>
      </c>
      <c r="AG12" s="11">
        <v>0.65574601862462156</v>
      </c>
      <c r="AH12" s="12">
        <v>1.4377614757102661</v>
      </c>
      <c r="AK12" s="10">
        <v>8384.3085601321709</v>
      </c>
      <c r="AL12" s="10">
        <v>2519.6377575479401</v>
      </c>
      <c r="AM12" s="10">
        <v>257.22413475000002</v>
      </c>
      <c r="AN12" s="10">
        <v>560.01329935000001</v>
      </c>
      <c r="AW12" s="12">
        <f>AE12-(AK12/1000)</f>
        <v>521.36075677320082</v>
      </c>
      <c r="AX12" s="10">
        <v>1219.6459990000001</v>
      </c>
      <c r="AY12" s="1">
        <v>100</v>
      </c>
      <c r="AZ12" s="10">
        <f>AE12+AX12</f>
        <v>1749.3910643333329</v>
      </c>
      <c r="BA12" s="1">
        <v>23.297929365916396</v>
      </c>
      <c r="BB12" s="1">
        <v>9.7871823193336365</v>
      </c>
      <c r="BC12" s="1">
        <v>17.220909604064197</v>
      </c>
      <c r="BD12" s="1">
        <v>0.56662309309395342</v>
      </c>
      <c r="BE12" s="1">
        <v>0.59700594456268041</v>
      </c>
      <c r="BJ12" s="11"/>
    </row>
    <row r="13" spans="1:62" x14ac:dyDescent="0.2">
      <c r="A13" s="1" t="s">
        <v>89</v>
      </c>
      <c r="B13" s="1" t="s">
        <v>90</v>
      </c>
      <c r="C13" s="8">
        <v>42348</v>
      </c>
      <c r="D13" s="9">
        <v>-30.444983000000001</v>
      </c>
      <c r="E13" s="9">
        <v>136.85851400000001</v>
      </c>
      <c r="F13" s="65" t="s">
        <v>85</v>
      </c>
      <c r="G13" s="70"/>
      <c r="I13" s="2">
        <v>6.5672954825806897</v>
      </c>
      <c r="J13" s="2">
        <v>2.4924838063634582</v>
      </c>
      <c r="K13" s="2">
        <v>5.6060685976942404</v>
      </c>
      <c r="L13" s="2">
        <v>1.8674138889732059</v>
      </c>
      <c r="P13" s="2">
        <v>0.88039089535000503</v>
      </c>
      <c r="S13" s="2">
        <v>17.4136526709616</v>
      </c>
      <c r="T13" s="70"/>
      <c r="U13" s="1">
        <v>2.0141962915658999E-2</v>
      </c>
      <c r="V13" s="1">
        <v>4.7820756584036297E-2</v>
      </c>
      <c r="W13" s="1">
        <v>0.27534192800521901</v>
      </c>
      <c r="X13" s="1">
        <v>99.488888889999998</v>
      </c>
      <c r="Y13" s="1">
        <v>31</v>
      </c>
      <c r="Z13" s="70"/>
      <c r="AA13" s="1" t="s">
        <v>86</v>
      </c>
      <c r="AB13" s="1" t="s">
        <v>91</v>
      </c>
      <c r="AC13" s="1" t="s">
        <v>92</v>
      </c>
      <c r="AD13" s="1">
        <v>28</v>
      </c>
      <c r="AE13" s="12">
        <v>176.25094200000001</v>
      </c>
      <c r="AF13" s="11">
        <v>2.2533805523753641</v>
      </c>
      <c r="AG13" s="11">
        <v>0.53077639884254879</v>
      </c>
      <c r="AH13" s="12">
        <v>5.0975331529235417</v>
      </c>
      <c r="AI13" s="2">
        <v>6.4756869924700894E-2</v>
      </c>
      <c r="AJ13" s="1" t="s">
        <v>93</v>
      </c>
      <c r="AL13" s="10">
        <v>3673.5504369999999</v>
      </c>
      <c r="AM13" s="10">
        <v>57.133778900000003</v>
      </c>
      <c r="AN13" s="10">
        <v>506.0881541</v>
      </c>
      <c r="AQ13" s="10">
        <v>78.210939084816502</v>
      </c>
      <c r="AR13" s="1" t="s">
        <v>94</v>
      </c>
      <c r="AW13" s="12">
        <f>AE13-(AL13/1000)</f>
        <v>172.57739156300002</v>
      </c>
      <c r="AX13" s="12">
        <v>14.10007536</v>
      </c>
      <c r="AY13" s="1">
        <v>0</v>
      </c>
      <c r="AZ13" s="10">
        <f>AE13+AX13</f>
        <v>190.35101736000001</v>
      </c>
      <c r="BA13" s="1">
        <v>176.79526064540701</v>
      </c>
      <c r="BB13" s="1">
        <v>163.69931541241391</v>
      </c>
      <c r="BC13" s="1">
        <v>152.23494050598342</v>
      </c>
      <c r="BD13" s="1">
        <v>0.60033544366017011</v>
      </c>
      <c r="BE13" s="1">
        <v>0.66184006527808403</v>
      </c>
      <c r="BJ13" s="11"/>
    </row>
    <row r="14" spans="1:62" x14ac:dyDescent="0.2">
      <c r="A14" s="1" t="s">
        <v>95</v>
      </c>
      <c r="B14" s="1" t="s">
        <v>90</v>
      </c>
      <c r="C14" s="8">
        <v>42348</v>
      </c>
      <c r="D14" s="9">
        <v>-29.717635999999999</v>
      </c>
      <c r="E14" s="9">
        <v>135.579971</v>
      </c>
      <c r="F14" s="65" t="s">
        <v>85</v>
      </c>
      <c r="G14" s="70"/>
      <c r="H14" s="2">
        <v>1.8970440947821499</v>
      </c>
      <c r="I14" s="2">
        <v>2.3802417102378404</v>
      </c>
      <c r="J14" s="2">
        <v>6.3546128304953511</v>
      </c>
      <c r="K14" s="2">
        <v>2.0818701698581492</v>
      </c>
      <c r="L14" s="2">
        <v>1.6711864606440054E-2</v>
      </c>
      <c r="S14" s="2">
        <v>12.730480669979928</v>
      </c>
      <c r="T14" s="70"/>
      <c r="U14" s="1">
        <v>0.102115623652935</v>
      </c>
      <c r="V14" s="1">
        <v>0.12318611304419</v>
      </c>
      <c r="W14" s="1">
        <v>0.37252391688525699</v>
      </c>
      <c r="X14" s="1">
        <v>209.8685897</v>
      </c>
      <c r="Y14" s="1">
        <v>34</v>
      </c>
      <c r="Z14" s="70"/>
      <c r="AA14" s="1" t="s">
        <v>86</v>
      </c>
      <c r="AB14" s="1" t="s">
        <v>96</v>
      </c>
      <c r="AC14" s="1" t="s">
        <v>88</v>
      </c>
      <c r="AD14" s="1">
        <v>7</v>
      </c>
      <c r="AE14" s="11">
        <v>65.575292000000005</v>
      </c>
      <c r="AF14" s="11">
        <v>1.2431914175845376</v>
      </c>
      <c r="AG14" s="11">
        <v>0.61020467785335963</v>
      </c>
      <c r="AH14" s="12">
        <v>3.0343552751545499</v>
      </c>
      <c r="AK14" s="10">
        <f>AL14*2</f>
        <v>1428.4860000000001</v>
      </c>
      <c r="AL14" s="10">
        <v>714.24300000000005</v>
      </c>
      <c r="AM14" s="10">
        <v>29.916769399999996</v>
      </c>
      <c r="AN14" s="10">
        <v>145.13583170000001</v>
      </c>
      <c r="AW14" s="11">
        <f>AE14-(AL14*2/1000)</f>
        <v>64.146805999999998</v>
      </c>
      <c r="AX14" s="12">
        <v>548.96455300000002</v>
      </c>
      <c r="AY14" s="12">
        <v>93.218997611405314</v>
      </c>
      <c r="AZ14" s="10">
        <f>AE14+AX14</f>
        <v>614.53984500000001</v>
      </c>
      <c r="BA14" s="1">
        <v>94.960720083583354</v>
      </c>
      <c r="BB14" s="1">
        <v>20.701463718011677</v>
      </c>
      <c r="BC14" s="1">
        <v>81.211614839316923</v>
      </c>
      <c r="BD14" s="1">
        <v>0.80327626542678954</v>
      </c>
      <c r="BE14" s="1">
        <v>0.83344632243309191</v>
      </c>
      <c r="BJ14" s="11"/>
    </row>
    <row r="15" spans="1:62" x14ac:dyDescent="0.2">
      <c r="A15" s="13" t="s">
        <v>97</v>
      </c>
      <c r="B15" s="13" t="s">
        <v>90</v>
      </c>
      <c r="C15" s="8">
        <v>42305</v>
      </c>
      <c r="D15" s="14">
        <v>-20.447561</v>
      </c>
      <c r="E15" s="14">
        <v>140.713581</v>
      </c>
      <c r="F15" s="65" t="s">
        <v>85</v>
      </c>
      <c r="G15" s="70"/>
      <c r="H15" s="2">
        <v>1.1314955008263132</v>
      </c>
      <c r="I15" s="2">
        <v>3.89364416377019</v>
      </c>
      <c r="J15" s="2">
        <v>7.6570454729036577</v>
      </c>
      <c r="K15" s="2">
        <v>0.44647345814017297</v>
      </c>
      <c r="L15" s="2">
        <v>0.10971577644202821</v>
      </c>
      <c r="S15" s="2">
        <v>13.238374372082363</v>
      </c>
      <c r="T15" s="70"/>
      <c r="U15" s="1">
        <v>7.8535817563533797E-2</v>
      </c>
      <c r="V15" s="1">
        <v>8.3562546397764698E-2</v>
      </c>
      <c r="W15" s="1">
        <v>0.18970544636249501</v>
      </c>
      <c r="X15" s="1">
        <v>149.6230032</v>
      </c>
      <c r="Y15" s="1">
        <v>21</v>
      </c>
      <c r="Z15" s="70"/>
      <c r="AA15" s="13" t="s">
        <v>86</v>
      </c>
      <c r="AB15" s="13" t="s">
        <v>87</v>
      </c>
      <c r="AC15" s="13" t="s">
        <v>88</v>
      </c>
      <c r="AD15" s="13">
        <v>19</v>
      </c>
      <c r="AE15" s="15">
        <v>171.88452671079801</v>
      </c>
      <c r="AF15" s="16">
        <v>1.0414516897827528</v>
      </c>
      <c r="AG15" s="16">
        <v>0.51208687275622466</v>
      </c>
      <c r="AH15" s="13"/>
      <c r="AI15" s="13"/>
      <c r="AJ15" s="13"/>
      <c r="AK15" s="10">
        <v>3144.5077079451898</v>
      </c>
      <c r="AL15" s="15">
        <v>1572.2538539725899</v>
      </c>
      <c r="AM15" s="15">
        <v>59.455393526338703</v>
      </c>
      <c r="AN15" s="13"/>
      <c r="AO15" s="13"/>
      <c r="AP15" s="13"/>
      <c r="AQ15" s="15">
        <v>995.22500000000002</v>
      </c>
      <c r="AR15" s="13" t="s">
        <v>98</v>
      </c>
      <c r="AS15" s="13"/>
      <c r="AT15" s="13"/>
      <c r="AU15" s="13"/>
      <c r="AV15" s="13"/>
      <c r="AW15" s="17">
        <v>167.74479400285301</v>
      </c>
      <c r="AX15" s="15">
        <v>586.41579937254903</v>
      </c>
      <c r="AY15" s="12">
        <v>86.519442368554337</v>
      </c>
      <c r="AZ15" s="15">
        <f>AE15+AX15</f>
        <v>758.30032608334704</v>
      </c>
      <c r="BA15" s="1">
        <v>78.498625331832798</v>
      </c>
      <c r="BC15" s="1">
        <v>64.964438570057141</v>
      </c>
      <c r="BD15" s="1">
        <v>0.74275257628436586</v>
      </c>
      <c r="BE15" s="1">
        <v>0.78799779836138761</v>
      </c>
      <c r="BJ15" s="11"/>
    </row>
    <row r="16" spans="1:62" x14ac:dyDescent="0.2">
      <c r="A16" s="1" t="s">
        <v>99</v>
      </c>
      <c r="B16" s="1" t="s">
        <v>90</v>
      </c>
      <c r="C16" s="8">
        <v>42210</v>
      </c>
      <c r="D16" s="9">
        <v>-25.540621999999999</v>
      </c>
      <c r="E16" s="9">
        <v>119.32813299999999</v>
      </c>
      <c r="F16" s="65" t="s">
        <v>85</v>
      </c>
      <c r="G16" s="70"/>
      <c r="H16" s="2">
        <v>0.25393482680266999</v>
      </c>
      <c r="I16" s="2">
        <v>0.26320784196906799</v>
      </c>
      <c r="J16" s="2">
        <v>1.5744655023661094</v>
      </c>
      <c r="K16" s="2">
        <v>1.1324788668064545</v>
      </c>
      <c r="L16" s="2">
        <v>2.6115974089844812E-2</v>
      </c>
      <c r="O16" s="2">
        <v>8.9391706039248009E-2</v>
      </c>
      <c r="S16" s="2">
        <v>3.3395947180733945</v>
      </c>
      <c r="T16" s="70"/>
      <c r="U16" s="1">
        <v>0.23971857130527499</v>
      </c>
      <c r="V16" s="1">
        <v>0.189881593667375</v>
      </c>
      <c r="W16" s="1">
        <v>0.48601299524307301</v>
      </c>
      <c r="X16" s="1">
        <v>567.23322680000001</v>
      </c>
      <c r="Y16" s="1">
        <v>70</v>
      </c>
      <c r="Z16" s="70"/>
      <c r="AA16" s="1" t="s">
        <v>86</v>
      </c>
      <c r="AB16" s="1" t="s">
        <v>96</v>
      </c>
      <c r="AC16" s="1" t="s">
        <v>88</v>
      </c>
      <c r="AD16" s="1">
        <v>4</v>
      </c>
      <c r="AE16" s="18">
        <v>4.1614409999999999</v>
      </c>
      <c r="AF16" s="11">
        <v>5.4914235717867932</v>
      </c>
      <c r="AG16" s="11">
        <v>1.7474850814898011</v>
      </c>
      <c r="AK16" s="10">
        <v>840.44500000000005</v>
      </c>
      <c r="AL16" s="10">
        <v>201.574094</v>
      </c>
      <c r="AM16" s="10">
        <v>6.7881135390000003</v>
      </c>
      <c r="AW16" s="11">
        <v>3.2125490000000001</v>
      </c>
      <c r="AX16" s="18">
        <v>49.260075000000001</v>
      </c>
      <c r="AY16" s="12">
        <v>17.063187246917593</v>
      </c>
      <c r="AZ16" s="10">
        <f>AE16+AX16</f>
        <v>53.421515999999997</v>
      </c>
      <c r="BA16" s="1">
        <v>334.61436161668746</v>
      </c>
      <c r="BC16" s="1">
        <v>310.52631163522898</v>
      </c>
      <c r="BD16" s="1">
        <v>0.8091448354900983</v>
      </c>
      <c r="BE16" s="1">
        <v>0.79759717472528924</v>
      </c>
      <c r="BJ16" s="11"/>
    </row>
    <row r="17" spans="1:62" x14ac:dyDescent="0.2">
      <c r="A17" s="1" t="s">
        <v>100</v>
      </c>
      <c r="B17" s="1" t="s">
        <v>90</v>
      </c>
      <c r="C17" s="8">
        <v>42349</v>
      </c>
      <c r="D17" s="9">
        <v>-32.904719999999998</v>
      </c>
      <c r="E17" s="9">
        <v>148.048406</v>
      </c>
      <c r="F17" s="65" t="s">
        <v>85</v>
      </c>
      <c r="G17" s="70"/>
      <c r="H17" s="2">
        <v>0.26325471504137504</v>
      </c>
      <c r="I17" s="2">
        <v>2.9694691770851458</v>
      </c>
      <c r="J17" s="2">
        <v>3.0917181703849712</v>
      </c>
      <c r="K17" s="2">
        <v>0.6575285453110491</v>
      </c>
      <c r="L17" s="2">
        <v>0.19054927049938847</v>
      </c>
      <c r="N17" s="2">
        <v>0.42979491930707603</v>
      </c>
      <c r="S17" s="2">
        <v>7.6023147976290062</v>
      </c>
      <c r="T17" s="70"/>
      <c r="U17" s="1">
        <v>0.11050421372056</v>
      </c>
      <c r="V17" s="1">
        <v>0.17995215687327701</v>
      </c>
      <c r="W17" s="1">
        <v>0.41696795076131798</v>
      </c>
      <c r="X17" s="1">
        <v>282.3974359</v>
      </c>
      <c r="Y17" s="1">
        <v>72</v>
      </c>
      <c r="Z17" s="70"/>
      <c r="AA17" s="1" t="s">
        <v>86</v>
      </c>
      <c r="AB17" s="1" t="s">
        <v>101</v>
      </c>
      <c r="AC17" s="1" t="s">
        <v>88</v>
      </c>
      <c r="AD17" s="1">
        <v>22</v>
      </c>
      <c r="AE17" s="10">
        <v>108.83255375</v>
      </c>
      <c r="AF17" s="11">
        <v>1.0276165906063544</v>
      </c>
      <c r="AG17" s="11">
        <v>0.5111562299529997</v>
      </c>
      <c r="AK17" s="10">
        <v>2794.69290134322</v>
      </c>
      <c r="AL17" s="10">
        <v>979.27751343534703</v>
      </c>
      <c r="AM17" s="10">
        <v>41.090252999999997</v>
      </c>
      <c r="AW17" s="12">
        <f>AE17-(AK17/1000)</f>
        <v>106.03786084865678</v>
      </c>
      <c r="AY17" s="12">
        <v>13.94601452141336</v>
      </c>
      <c r="BA17" s="1">
        <v>64.810726632170812</v>
      </c>
      <c r="BC17" s="1">
        <v>55.454154754191116</v>
      </c>
      <c r="BD17" s="1">
        <v>0.81255658839382505</v>
      </c>
      <c r="BE17" s="1">
        <v>0.83569747259075577</v>
      </c>
      <c r="BJ17" s="11"/>
    </row>
    <row r="18" spans="1:62" x14ac:dyDescent="0.2">
      <c r="A18" s="1" t="s">
        <v>102</v>
      </c>
      <c r="B18" s="1" t="s">
        <v>90</v>
      </c>
      <c r="C18" s="8">
        <v>42817</v>
      </c>
      <c r="D18" s="9">
        <v>-31.408018999999999</v>
      </c>
      <c r="E18" s="9">
        <v>145.798597</v>
      </c>
      <c r="F18" s="65" t="s">
        <v>103</v>
      </c>
      <c r="G18" s="70"/>
      <c r="I18" s="2">
        <v>2.0325470585771299</v>
      </c>
      <c r="J18" s="2">
        <v>4.8943961445942902E-2</v>
      </c>
      <c r="K18" s="2">
        <v>0.4414355333725562</v>
      </c>
      <c r="L18" s="2">
        <v>0.25170927224638551</v>
      </c>
      <c r="S18" s="2">
        <v>2.7746358256420147</v>
      </c>
      <c r="T18" s="70"/>
      <c r="U18" s="1">
        <v>0.22805115580558799</v>
      </c>
      <c r="V18" s="1">
        <v>0.22432431178906601</v>
      </c>
      <c r="W18" s="1">
        <v>0.38259690999984702</v>
      </c>
      <c r="X18" s="1">
        <v>242.9555556</v>
      </c>
      <c r="Y18" s="1">
        <v>85</v>
      </c>
      <c r="Z18" s="70"/>
      <c r="AA18" s="1" t="s">
        <v>86</v>
      </c>
      <c r="AB18" s="1" t="s">
        <v>91</v>
      </c>
      <c r="AC18" s="1" t="s">
        <v>88</v>
      </c>
      <c r="AD18" s="1">
        <v>62</v>
      </c>
      <c r="AE18" s="18">
        <v>36.840550284823699</v>
      </c>
      <c r="AF18" s="11">
        <v>3.2994772609001348</v>
      </c>
      <c r="AH18" s="12">
        <v>16.049770242730474</v>
      </c>
      <c r="AK18" s="10">
        <v>4274.0753182888902</v>
      </c>
      <c r="AL18" s="10">
        <v>1182.50843752944</v>
      </c>
      <c r="AN18" s="10">
        <v>470.33518182574397</v>
      </c>
      <c r="AW18" s="11">
        <v>23.268475456206701</v>
      </c>
      <c r="AY18" s="1">
        <v>0</v>
      </c>
      <c r="BA18" s="1">
        <v>259.0001949299035</v>
      </c>
      <c r="BC18" s="1">
        <v>251.20007959960645</v>
      </c>
      <c r="BD18" s="1">
        <v>0.96842302094746702</v>
      </c>
      <c r="BE18" s="1">
        <v>0.97277069237501046</v>
      </c>
      <c r="BJ18" s="11"/>
    </row>
    <row r="19" spans="1:62" x14ac:dyDescent="0.2">
      <c r="A19" s="1" t="s">
        <v>104</v>
      </c>
      <c r="B19" s="1" t="s">
        <v>90</v>
      </c>
      <c r="C19" s="8">
        <v>42533</v>
      </c>
      <c r="D19" s="9">
        <v>-33.470838999999998</v>
      </c>
      <c r="E19" s="9">
        <v>149.00078300000001</v>
      </c>
      <c r="F19" s="65" t="s">
        <v>105</v>
      </c>
      <c r="G19" s="70"/>
      <c r="H19" s="2">
        <v>1.3760573519218402</v>
      </c>
      <c r="I19" s="2">
        <v>8.009545826343679</v>
      </c>
      <c r="J19" s="2">
        <v>5.4461349012424023</v>
      </c>
      <c r="K19" s="2">
        <v>0.58510509595914373</v>
      </c>
      <c r="L19" s="2">
        <v>1.1709594888113717</v>
      </c>
      <c r="N19" s="2">
        <v>1.0211216407287069</v>
      </c>
      <c r="S19" s="2">
        <v>17.608924305007143</v>
      </c>
      <c r="T19" s="70"/>
      <c r="U19" s="1">
        <v>1.3256262540817301</v>
      </c>
      <c r="V19" s="1">
        <v>1.4336824033529501</v>
      </c>
      <c r="W19" s="1">
        <v>2.8210248351097098</v>
      </c>
      <c r="X19" s="1">
        <v>799.20967740000003</v>
      </c>
      <c r="Y19" s="1">
        <v>570</v>
      </c>
      <c r="Z19" s="70"/>
      <c r="AA19" s="1" t="s">
        <v>86</v>
      </c>
      <c r="AB19" s="1" t="s">
        <v>96</v>
      </c>
      <c r="AC19" s="1" t="s">
        <v>88</v>
      </c>
      <c r="AD19" s="1">
        <v>18</v>
      </c>
      <c r="AE19" s="10">
        <v>376.76799999999997</v>
      </c>
      <c r="AF19" s="11">
        <v>0.39194039612281817</v>
      </c>
      <c r="AG19" s="11">
        <v>0.9965763015967386</v>
      </c>
      <c r="AH19" s="1">
        <v>0.62</v>
      </c>
      <c r="AK19" s="10">
        <v>4139.0556248364001</v>
      </c>
      <c r="AL19" s="10">
        <v>979.38400000000001</v>
      </c>
      <c r="AM19" s="10">
        <v>300.85480680000001</v>
      </c>
      <c r="AN19" s="19">
        <v>202.89659273137499</v>
      </c>
      <c r="AW19" s="12">
        <v>372.628944375164</v>
      </c>
      <c r="AX19" s="10">
        <v>489.06763999999998</v>
      </c>
      <c r="AY19" s="12">
        <v>65.145925343978263</v>
      </c>
      <c r="AZ19" s="10">
        <f>AE19+AX19</f>
        <v>865.83564000000001</v>
      </c>
      <c r="BJ19" s="11"/>
    </row>
    <row r="20" spans="1:62" x14ac:dyDescent="0.2">
      <c r="A20" s="1" t="s">
        <v>106</v>
      </c>
      <c r="B20" s="1" t="s">
        <v>90</v>
      </c>
      <c r="C20" s="8">
        <v>42880</v>
      </c>
      <c r="D20" s="9">
        <v>-32.758068999999999</v>
      </c>
      <c r="E20" s="9">
        <v>116.349547</v>
      </c>
      <c r="F20" s="65" t="s">
        <v>105</v>
      </c>
      <c r="G20" s="70"/>
      <c r="H20" s="2">
        <v>3.5387120565441799</v>
      </c>
      <c r="I20" s="2">
        <v>16.394904556200007</v>
      </c>
      <c r="J20" s="2">
        <v>12.622820442737444</v>
      </c>
      <c r="K20" s="2">
        <v>0.97480924640123068</v>
      </c>
      <c r="L20" s="2">
        <v>0.98146238766314298</v>
      </c>
      <c r="S20" s="2">
        <v>34.51270868954601</v>
      </c>
      <c r="T20" s="70"/>
      <c r="U20" s="1">
        <v>0.78775727748870805</v>
      </c>
      <c r="V20" s="1">
        <v>0.87315503503137004</v>
      </c>
      <c r="W20" s="1">
        <v>2.3281414285302202</v>
      </c>
      <c r="X20" s="1">
        <v>298.88291140000001</v>
      </c>
      <c r="Y20" s="1">
        <v>350</v>
      </c>
      <c r="Z20" s="70"/>
      <c r="AA20" s="1" t="s">
        <v>86</v>
      </c>
      <c r="AB20" s="1" t="s">
        <v>87</v>
      </c>
      <c r="AC20" s="1" t="s">
        <v>88</v>
      </c>
      <c r="AD20" s="1">
        <v>23</v>
      </c>
      <c r="AE20" s="10">
        <v>391.44180719174301</v>
      </c>
      <c r="AF20" s="11">
        <v>8.3687005910315568E-2</v>
      </c>
      <c r="AG20" s="11">
        <v>1.0356573352683753</v>
      </c>
      <c r="AK20" s="10">
        <v>1280.5818316643199</v>
      </c>
      <c r="AL20" s="10">
        <v>256.116366332864</v>
      </c>
      <c r="AM20" s="10">
        <v>352.428289380558</v>
      </c>
      <c r="AW20" s="12">
        <v>390.16122536007902</v>
      </c>
      <c r="AX20" s="10">
        <v>494.484486137614</v>
      </c>
      <c r="AY20" s="12">
        <v>99.857062525013788</v>
      </c>
      <c r="AZ20" s="10">
        <f>AE20+AX20</f>
        <v>885.92629332935701</v>
      </c>
      <c r="BA20" s="1">
        <v>37.91781586719577</v>
      </c>
      <c r="BB20" s="1">
        <v>19.869853724522009</v>
      </c>
      <c r="BC20" s="1">
        <v>30.422064517369094</v>
      </c>
      <c r="BD20" s="1">
        <v>0.18858206720145737</v>
      </c>
      <c r="BE20" s="1">
        <v>0.18451202663432634</v>
      </c>
      <c r="BJ20" s="11"/>
    </row>
    <row r="21" spans="1:62" x14ac:dyDescent="0.2">
      <c r="A21" s="1" t="s">
        <v>107</v>
      </c>
      <c r="B21" s="1" t="s">
        <v>90</v>
      </c>
      <c r="C21" s="8">
        <v>42251</v>
      </c>
      <c r="D21" s="9">
        <v>-31.397303000000001</v>
      </c>
      <c r="E21" s="9">
        <v>146.72216399999999</v>
      </c>
      <c r="F21" s="65" t="s">
        <v>9</v>
      </c>
      <c r="G21" s="70"/>
      <c r="I21" s="2">
        <v>1.4114972231437999</v>
      </c>
      <c r="J21" s="2">
        <v>0.41917456667146613</v>
      </c>
      <c r="K21" s="2">
        <v>0.10450593197745001</v>
      </c>
      <c r="L21" s="2">
        <v>2.1563740313783185E-2</v>
      </c>
      <c r="S21" s="2">
        <v>1.9567414621064994</v>
      </c>
      <c r="T21" s="70"/>
      <c r="U21" s="1">
        <v>0.25001204013824502</v>
      </c>
      <c r="V21" s="1">
        <v>0.22565739491163</v>
      </c>
      <c r="W21" s="1">
        <v>0.462093975394964</v>
      </c>
      <c r="X21" s="1">
        <v>253.05111819999999</v>
      </c>
      <c r="Y21" s="1">
        <v>65</v>
      </c>
      <c r="Z21" s="70"/>
      <c r="AA21" s="1" t="s">
        <v>86</v>
      </c>
      <c r="AB21" s="1" t="s">
        <v>87</v>
      </c>
      <c r="AC21" s="1" t="s">
        <v>88</v>
      </c>
      <c r="AD21" s="1">
        <v>11</v>
      </c>
      <c r="AE21" s="18">
        <v>11.836584999999999</v>
      </c>
      <c r="AF21" s="11">
        <v>2.1803350341335781</v>
      </c>
      <c r="AG21" s="11">
        <v>0.17375704225500851</v>
      </c>
      <c r="AH21" s="12">
        <v>8.4671440926584811</v>
      </c>
      <c r="AK21" s="10">
        <v>996.495</v>
      </c>
      <c r="AL21" s="10">
        <v>248.95844199999999</v>
      </c>
      <c r="AM21" s="10">
        <v>1.0283450000000001</v>
      </c>
      <c r="AN21" s="10">
        <v>50.111035379999997</v>
      </c>
      <c r="AW21" s="11">
        <f>AE21-(AK21/1000)</f>
        <v>10.84009</v>
      </c>
      <c r="AY21" s="1">
        <v>0</v>
      </c>
      <c r="BA21" s="1">
        <v>115.61082252869103</v>
      </c>
      <c r="BC21" s="1">
        <v>105.66625647180976</v>
      </c>
      <c r="BD21" s="1">
        <v>0.92061537689605655</v>
      </c>
      <c r="BE21" s="1">
        <v>0.95657212680934933</v>
      </c>
      <c r="BJ21" s="11"/>
    </row>
    <row r="22" spans="1:62" x14ac:dyDescent="0.2">
      <c r="A22" s="1" t="s">
        <v>108</v>
      </c>
      <c r="B22" s="1" t="s">
        <v>90</v>
      </c>
      <c r="C22" s="8">
        <v>41615</v>
      </c>
      <c r="D22" s="9">
        <v>-22.097366999999998</v>
      </c>
      <c r="E22" s="9">
        <v>140.577586</v>
      </c>
      <c r="F22" s="65" t="s">
        <v>85</v>
      </c>
      <c r="G22" s="70"/>
      <c r="H22" s="2">
        <v>0.12530073308072001</v>
      </c>
      <c r="I22" s="2">
        <v>1.3475266673275084</v>
      </c>
      <c r="J22" s="2">
        <v>0.76977043139297519</v>
      </c>
      <c r="K22" s="2">
        <v>0.47609895187230339</v>
      </c>
      <c r="L22" s="2">
        <v>8.9623344113396064E-2</v>
      </c>
      <c r="S22" s="2">
        <v>2.808320127786903</v>
      </c>
      <c r="T22" s="70"/>
      <c r="U22" s="1">
        <v>0.28353413939476002</v>
      </c>
      <c r="V22" s="1">
        <v>0.252026806176183</v>
      </c>
      <c r="W22" s="1">
        <v>0.54998946748673905</v>
      </c>
      <c r="X22" s="1">
        <v>259.78025480000002</v>
      </c>
      <c r="Y22" s="1">
        <v>68</v>
      </c>
      <c r="Z22" s="70"/>
      <c r="AA22" s="1" t="s">
        <v>86</v>
      </c>
      <c r="AB22" s="1" t="s">
        <v>101</v>
      </c>
      <c r="AC22" s="1" t="s">
        <v>88</v>
      </c>
      <c r="AD22" s="1">
        <v>18</v>
      </c>
      <c r="AE22" s="18">
        <v>26.335650600000001</v>
      </c>
      <c r="AF22" s="11">
        <v>2.57689675006548</v>
      </c>
      <c r="AG22" s="11">
        <v>0.93186444537656521</v>
      </c>
      <c r="AK22" s="10">
        <v>1901.46587755102</v>
      </c>
      <c r="AL22" s="10">
        <v>633.82195918367302</v>
      </c>
      <c r="AM22" s="10">
        <v>18.9063269</v>
      </c>
      <c r="AW22" s="11">
        <f>AE22-(AK22/1000)</f>
        <v>24.434184722448983</v>
      </c>
      <c r="AX22" s="18">
        <v>34.817571999999998</v>
      </c>
      <c r="AY22" s="12">
        <v>20.100447110275681</v>
      </c>
      <c r="AZ22" s="10">
        <f>AE22+AX22</f>
        <v>61.153222599999999</v>
      </c>
      <c r="BA22" s="1">
        <v>109.91471658520899</v>
      </c>
      <c r="BC22" s="1">
        <v>98.976636260752414</v>
      </c>
      <c r="BD22" s="1">
        <v>0.70060388992862699</v>
      </c>
      <c r="BE22" s="1">
        <v>0.73368120091180766</v>
      </c>
      <c r="BJ22" s="11"/>
    </row>
    <row r="23" spans="1:62" x14ac:dyDescent="0.2">
      <c r="A23" s="1" t="s">
        <v>109</v>
      </c>
      <c r="B23" s="1" t="s">
        <v>90</v>
      </c>
      <c r="C23" s="8">
        <v>42315</v>
      </c>
      <c r="D23" s="9">
        <v>-21.718861</v>
      </c>
      <c r="E23" s="9">
        <v>122.201717</v>
      </c>
      <c r="F23" s="65" t="s">
        <v>105</v>
      </c>
      <c r="G23" s="70"/>
      <c r="H23" s="2">
        <v>2.1379393605350456</v>
      </c>
      <c r="I23" s="2">
        <v>4.9658047221317005</v>
      </c>
      <c r="J23" s="2">
        <v>14.286424116799227</v>
      </c>
      <c r="K23" s="2">
        <v>2.2933985837422508</v>
      </c>
      <c r="L23" s="2">
        <v>0.2629100452519289</v>
      </c>
      <c r="M23" s="2">
        <v>2.4095457298089724</v>
      </c>
      <c r="S23" s="2">
        <v>26.356022558269121</v>
      </c>
      <c r="T23" s="70"/>
      <c r="U23" s="1">
        <v>0.28108356893062603</v>
      </c>
      <c r="V23" s="1">
        <v>0.27004620797130502</v>
      </c>
      <c r="W23" s="1">
        <v>0.73441879823803902</v>
      </c>
      <c r="X23" s="1">
        <v>304.02215189999998</v>
      </c>
      <c r="Y23" s="1">
        <v>96</v>
      </c>
      <c r="Z23" s="70"/>
      <c r="AA23" s="1" t="s">
        <v>86</v>
      </c>
      <c r="AB23" s="1" t="s">
        <v>96</v>
      </c>
      <c r="AC23" s="1" t="s">
        <v>110</v>
      </c>
      <c r="AD23" s="1">
        <v>25</v>
      </c>
      <c r="AE23" s="10">
        <v>364.74978900000002</v>
      </c>
      <c r="AF23" s="11">
        <v>0.12149238049319337</v>
      </c>
      <c r="AG23" s="11">
        <v>1.2571855251102373</v>
      </c>
      <c r="AH23" s="12">
        <v>0.31282039077785456</v>
      </c>
      <c r="AK23" s="10">
        <v>1819.3779067999999</v>
      </c>
      <c r="AL23" s="10">
        <v>328.93116350000003</v>
      </c>
      <c r="AM23" s="10">
        <v>373.64161829314997</v>
      </c>
      <c r="AN23" s="10">
        <v>57.050585765560001</v>
      </c>
      <c r="AW23" s="12">
        <v>362.93041109320001</v>
      </c>
      <c r="AX23" s="10">
        <v>717.04652039999996</v>
      </c>
      <c r="AY23" s="12">
        <v>86.394057577138923</v>
      </c>
      <c r="AZ23" s="10">
        <f>AE23+AX23</f>
        <v>1081.7963093999999</v>
      </c>
      <c r="BA23" s="1">
        <v>36.877049333092764</v>
      </c>
      <c r="BB23" s="1">
        <v>29.880720196971268</v>
      </c>
      <c r="BC23" s="1">
        <v>30.784999456041714</v>
      </c>
      <c r="BD23" s="1">
        <v>0.18236740345346902</v>
      </c>
      <c r="BE23" s="1">
        <v>0.15715691091554629</v>
      </c>
      <c r="BJ23" s="11"/>
    </row>
    <row r="24" spans="1:62" x14ac:dyDescent="0.2">
      <c r="A24" s="1" t="s">
        <v>111</v>
      </c>
      <c r="B24" s="1" t="s">
        <v>90</v>
      </c>
      <c r="C24" s="8">
        <v>42376</v>
      </c>
      <c r="D24" s="9">
        <v>-35.091900000000003</v>
      </c>
      <c r="E24" s="9">
        <v>139.00540000000001</v>
      </c>
      <c r="F24" s="65" t="s">
        <v>85</v>
      </c>
      <c r="G24" s="70"/>
      <c r="H24" s="2">
        <v>0.50579813990875966</v>
      </c>
      <c r="I24" s="2">
        <v>0.39218970993082203</v>
      </c>
      <c r="J24" s="2">
        <v>1.1362135984259036</v>
      </c>
      <c r="K24" s="2">
        <v>0.12281841004147546</v>
      </c>
      <c r="L24" s="2">
        <v>5.1222388622621018E-2</v>
      </c>
      <c r="S24" s="2">
        <v>2.2082422469295819</v>
      </c>
      <c r="T24" s="70"/>
      <c r="U24" s="1">
        <v>0.93846064805984497</v>
      </c>
      <c r="V24" s="1">
        <v>1.04990236522271</v>
      </c>
      <c r="W24" s="1">
        <v>1.60987260937691</v>
      </c>
      <c r="X24" s="1">
        <v>191.45110410000001</v>
      </c>
      <c r="Y24" s="1">
        <v>280</v>
      </c>
      <c r="Z24" s="70"/>
      <c r="AA24" s="1" t="s">
        <v>86</v>
      </c>
      <c r="AB24" s="1" t="s">
        <v>87</v>
      </c>
      <c r="AC24" s="1" t="s">
        <v>88</v>
      </c>
      <c r="AD24" s="1">
        <v>25</v>
      </c>
      <c r="AE24" s="18">
        <v>20.0239337812</v>
      </c>
      <c r="AF24" s="11">
        <v>0.65974438485225095</v>
      </c>
      <c r="AG24" s="11">
        <v>0.12881681702439141</v>
      </c>
      <c r="AH24" s="12">
        <v>2.439579067419015</v>
      </c>
      <c r="AK24" s="10">
        <v>481.70236954000001</v>
      </c>
      <c r="AL24" s="10">
        <v>114.976193033</v>
      </c>
      <c r="AM24" s="10">
        <v>1.34875250700069</v>
      </c>
      <c r="AN24" s="10">
        <v>22.983192450000001</v>
      </c>
      <c r="AW24" s="11">
        <f>AE24-(AK24/1000)</f>
        <v>19.542231411660001</v>
      </c>
      <c r="AX24" s="10">
        <v>111.678162</v>
      </c>
      <c r="AY24" s="12">
        <v>99.947094405546096</v>
      </c>
      <c r="AZ24" s="10">
        <f>AE24+AX24</f>
        <v>131.7020957812</v>
      </c>
      <c r="BA24" s="1">
        <v>33.828010946623792</v>
      </c>
      <c r="BB24" s="1">
        <v>6.471061663323578</v>
      </c>
      <c r="BC24" s="1">
        <v>25.557109464424951</v>
      </c>
      <c r="BD24" s="1">
        <v>0.84552652076206891</v>
      </c>
      <c r="BE24" s="1">
        <v>0.90756547670980336</v>
      </c>
      <c r="BJ24" s="11"/>
    </row>
    <row r="25" spans="1:62" x14ac:dyDescent="0.2">
      <c r="A25" s="1" t="s">
        <v>112</v>
      </c>
      <c r="B25" s="1" t="s">
        <v>90</v>
      </c>
      <c r="C25" s="8">
        <v>42583</v>
      </c>
      <c r="D25" s="9">
        <v>-19.773053000000001</v>
      </c>
      <c r="E25" s="9">
        <v>139.044017</v>
      </c>
      <c r="F25" s="65" t="s">
        <v>9</v>
      </c>
      <c r="G25" s="70"/>
      <c r="H25" s="2">
        <v>1.1108954088522793</v>
      </c>
      <c r="I25" s="2">
        <v>8.4087539328237995E-2</v>
      </c>
      <c r="J25" s="2">
        <v>2.0884214939243981</v>
      </c>
      <c r="K25" s="2">
        <v>0.39708747055179949</v>
      </c>
      <c r="L25" s="2">
        <v>0.30095903458183609</v>
      </c>
      <c r="M25" s="2">
        <v>0.66978367461013699</v>
      </c>
      <c r="N25" s="2" t="s">
        <v>114</v>
      </c>
      <c r="O25" s="2">
        <v>0.12416152860069071</v>
      </c>
      <c r="P25" s="2" t="s">
        <v>114</v>
      </c>
      <c r="Q25" s="2" t="s">
        <v>114</v>
      </c>
      <c r="S25" s="2">
        <v>4.775396150449378</v>
      </c>
      <c r="T25" s="70"/>
      <c r="U25" s="1">
        <v>0.41991326212883001</v>
      </c>
      <c r="V25" s="1">
        <v>0.45458673242526698</v>
      </c>
      <c r="W25" s="1">
        <v>1.1484545618295701</v>
      </c>
      <c r="X25" s="1">
        <v>324.03164559999999</v>
      </c>
      <c r="Y25" s="1">
        <v>113</v>
      </c>
      <c r="Z25" s="70"/>
      <c r="AA25" s="1" t="s">
        <v>86</v>
      </c>
      <c r="AB25" s="1" t="s">
        <v>87</v>
      </c>
      <c r="AC25" s="1" t="s">
        <v>113</v>
      </c>
      <c r="AD25" s="1">
        <v>8</v>
      </c>
      <c r="AT25" s="18">
        <v>15.679237856036689</v>
      </c>
      <c r="AU25" s="11">
        <v>0.92111539620782734</v>
      </c>
      <c r="AV25" s="10">
        <v>103.66</v>
      </c>
      <c r="AX25" s="18">
        <v>60.647110642647377</v>
      </c>
      <c r="AY25" s="1">
        <v>100</v>
      </c>
      <c r="AZ25" s="10">
        <f>AE25+AX25</f>
        <v>60.647110642647377</v>
      </c>
      <c r="BB25" s="1">
        <v>11.496602422282342</v>
      </c>
      <c r="BF25" s="1">
        <v>32.452683548317609</v>
      </c>
      <c r="BG25" s="1">
        <v>29.665315357364268</v>
      </c>
      <c r="BJ25" s="11"/>
    </row>
    <row r="26" spans="1:62" x14ac:dyDescent="0.2">
      <c r="A26" s="13" t="s">
        <v>115</v>
      </c>
      <c r="B26" s="13" t="s">
        <v>90</v>
      </c>
      <c r="C26" s="8">
        <v>42817</v>
      </c>
      <c r="D26" s="14">
        <v>-31.564467</v>
      </c>
      <c r="E26" s="14">
        <v>145.87547799999999</v>
      </c>
      <c r="F26" s="65" t="s">
        <v>105</v>
      </c>
      <c r="G26" s="70"/>
      <c r="H26" s="2">
        <v>5.9508460024809397E-2</v>
      </c>
      <c r="I26" s="2">
        <v>0.91494863671542304</v>
      </c>
      <c r="J26" s="2">
        <v>0.63240383992438975</v>
      </c>
      <c r="K26" s="2">
        <v>0.25464518311076306</v>
      </c>
      <c r="L26" s="2">
        <v>7.6661055350107629E-2</v>
      </c>
      <c r="O26" s="2">
        <v>4.8330232572157399E-2</v>
      </c>
      <c r="S26" s="2">
        <v>1.9864974076976503</v>
      </c>
      <c r="T26" s="70"/>
      <c r="U26" s="1">
        <v>0.25474596023559598</v>
      </c>
      <c r="V26" s="1">
        <v>0.21965913322483099</v>
      </c>
      <c r="W26" s="1">
        <v>0.42524114623665799</v>
      </c>
      <c r="X26" s="1">
        <v>243.68354429999999</v>
      </c>
      <c r="Y26" s="1">
        <v>73</v>
      </c>
      <c r="Z26" s="70"/>
      <c r="AA26" s="13" t="s">
        <v>86</v>
      </c>
      <c r="AB26" s="13" t="s">
        <v>91</v>
      </c>
      <c r="AC26" s="13" t="s">
        <v>88</v>
      </c>
      <c r="AD26" s="13">
        <v>30</v>
      </c>
      <c r="AE26" s="20">
        <v>16.182872979999999</v>
      </c>
      <c r="AF26" s="16">
        <v>0.79248338325646295</v>
      </c>
      <c r="AG26" s="16">
        <v>5.9394958675625711</v>
      </c>
      <c r="AH26" s="17">
        <v>6.7481435864301025</v>
      </c>
      <c r="AI26" s="16">
        <f>0.318825+0.2953552</f>
        <v>0.61418020000000006</v>
      </c>
      <c r="AJ26" s="13" t="s">
        <v>116</v>
      </c>
      <c r="AK26" s="10">
        <v>402.45560122897001</v>
      </c>
      <c r="AL26" s="15">
        <v>100.613900307243</v>
      </c>
      <c r="AM26" s="15">
        <v>88.398795500000006</v>
      </c>
      <c r="AN26" s="15">
        <v>43.635324974999897</v>
      </c>
      <c r="AO26" s="13"/>
      <c r="AP26" s="13"/>
      <c r="AQ26" s="15">
        <v>28.227</v>
      </c>
      <c r="AR26" s="13" t="s">
        <v>117</v>
      </c>
      <c r="AS26" s="13"/>
      <c r="AT26" s="13"/>
      <c r="AU26" s="13"/>
      <c r="AV26" s="13"/>
      <c r="AW26" s="16">
        <v>15.709849878770999</v>
      </c>
      <c r="AX26" s="13"/>
      <c r="AY26" s="1">
        <v>0</v>
      </c>
      <c r="BA26" s="1">
        <v>211.69190826366565</v>
      </c>
      <c r="BC26" s="1">
        <v>195.45543015214383</v>
      </c>
      <c r="BD26" s="1">
        <v>0.25983406947936188</v>
      </c>
      <c r="BE26" s="1">
        <v>0.24717955601315186</v>
      </c>
      <c r="BJ26" s="11"/>
    </row>
    <row r="27" spans="1:62" x14ac:dyDescent="0.2">
      <c r="A27" s="1" t="s">
        <v>118</v>
      </c>
      <c r="B27" s="1" t="s">
        <v>90</v>
      </c>
      <c r="C27" s="8">
        <v>42735</v>
      </c>
      <c r="D27" s="9">
        <v>-20.271599999999999</v>
      </c>
      <c r="E27" s="9">
        <v>147.56190000000001</v>
      </c>
      <c r="F27" s="65" t="s">
        <v>105</v>
      </c>
      <c r="G27" s="70"/>
      <c r="H27" s="2">
        <v>0.295074990758528</v>
      </c>
      <c r="I27" s="2">
        <v>0.28058926074248502</v>
      </c>
      <c r="J27" s="2">
        <v>0.52031945589876505</v>
      </c>
      <c r="K27" s="2">
        <v>4.78961023869812E-2</v>
      </c>
      <c r="L27" s="2">
        <v>0.16067818773104542</v>
      </c>
      <c r="S27" s="2">
        <v>1.3045579975178045</v>
      </c>
      <c r="T27" s="70"/>
      <c r="U27" s="1">
        <v>1.07052570581436</v>
      </c>
      <c r="V27" s="1">
        <v>1.09069164616952</v>
      </c>
      <c r="W27" s="1">
        <v>3.7977980375289899</v>
      </c>
      <c r="X27" s="1">
        <v>201.4522293</v>
      </c>
      <c r="Y27" s="1">
        <v>446</v>
      </c>
      <c r="Z27" s="70"/>
      <c r="AA27" s="1" t="s">
        <v>86</v>
      </c>
      <c r="AB27" s="1" t="s">
        <v>87</v>
      </c>
      <c r="AC27" s="1" t="s">
        <v>88</v>
      </c>
      <c r="AD27" s="1">
        <v>4</v>
      </c>
      <c r="AE27" s="18">
        <v>2.7637999999999998</v>
      </c>
      <c r="AF27" s="11">
        <v>0.19190968955785512</v>
      </c>
      <c r="AG27" s="11">
        <v>3.1715970931907127</v>
      </c>
      <c r="AH27" s="21">
        <v>129.04051360410767</v>
      </c>
      <c r="AK27" s="10">
        <v>201.942845360825</v>
      </c>
      <c r="AL27" s="10">
        <v>3.9780000000000002</v>
      </c>
      <c r="AM27" s="10">
        <v>6.55643345696814</v>
      </c>
      <c r="AN27" s="10">
        <v>312.07524474026297</v>
      </c>
      <c r="AW27" s="11">
        <v>2.56185715463918</v>
      </c>
      <c r="AX27" s="18">
        <v>21.992999999999999</v>
      </c>
      <c r="AY27" s="1">
        <v>100</v>
      </c>
      <c r="AZ27" s="10">
        <f>AE27+AX27</f>
        <v>24.756799999999998</v>
      </c>
      <c r="BA27" s="1">
        <v>207.8130454543921</v>
      </c>
      <c r="BB27" s="1">
        <v>43.362107529170643</v>
      </c>
      <c r="BC27" s="1">
        <v>158.5057719022758</v>
      </c>
      <c r="BD27" s="1">
        <v>5.3999770159885697E-2</v>
      </c>
      <c r="BE27" s="1">
        <v>5.3098334635165723E-2</v>
      </c>
      <c r="BJ27" s="11"/>
    </row>
    <row r="28" spans="1:62" x14ac:dyDescent="0.2">
      <c r="A28" s="1" t="s">
        <v>119</v>
      </c>
      <c r="B28" s="1" t="s">
        <v>120</v>
      </c>
      <c r="C28" s="8">
        <v>42735</v>
      </c>
      <c r="D28" s="9">
        <v>-5.7911000000000001</v>
      </c>
      <c r="E28" s="9">
        <v>-50.538049999999998</v>
      </c>
      <c r="F28" s="65" t="s">
        <v>85</v>
      </c>
      <c r="G28" s="70"/>
      <c r="H28" s="2">
        <v>0.56640286585642097</v>
      </c>
      <c r="I28" s="2">
        <v>4.1284709220240607</v>
      </c>
      <c r="J28" s="2">
        <v>7.8404670179905214</v>
      </c>
      <c r="K28" s="2">
        <v>2.3279267609111298</v>
      </c>
      <c r="L28" s="2">
        <v>6.8519298739281004E-2</v>
      </c>
      <c r="S28" s="2">
        <v>14.931786865521412</v>
      </c>
      <c r="T28" s="70"/>
      <c r="U28" s="1">
        <v>0.50033968687057495</v>
      </c>
      <c r="V28" s="1">
        <v>0.41134561707203199</v>
      </c>
      <c r="W28" s="1">
        <v>1.1321271210908901</v>
      </c>
      <c r="X28" s="1">
        <v>232.41853040000001</v>
      </c>
      <c r="Y28" s="1">
        <v>121</v>
      </c>
      <c r="Z28" s="70"/>
      <c r="AA28" s="1" t="s">
        <v>86</v>
      </c>
      <c r="AB28" s="1" t="s">
        <v>87</v>
      </c>
      <c r="AC28" s="1" t="s">
        <v>88</v>
      </c>
      <c r="AD28" s="1">
        <v>5</v>
      </c>
      <c r="AE28" s="10">
        <v>132.66300209264199</v>
      </c>
      <c r="AF28" s="11">
        <v>0.66922414554141973</v>
      </c>
      <c r="AG28" s="11">
        <v>0.37117935104992772</v>
      </c>
      <c r="AH28" s="21">
        <v>4.0022167717099801</v>
      </c>
      <c r="AK28" s="10">
        <v>1310.69575343511</v>
      </c>
      <c r="AL28" s="10">
        <v>507.75008835440002</v>
      </c>
      <c r="AM28" s="10">
        <v>27.002157907600001</v>
      </c>
      <c r="AN28" s="10">
        <v>217.08233882207301</v>
      </c>
      <c r="AW28" s="12">
        <f>AE28-(AK28/1000)</f>
        <v>131.35230633920688</v>
      </c>
      <c r="AY28" s="1">
        <v>100</v>
      </c>
      <c r="BA28" s="1">
        <v>50.867307042479254</v>
      </c>
      <c r="BC28" s="1">
        <v>46.012547626617589</v>
      </c>
      <c r="BD28" s="1">
        <v>0.76775023036675683</v>
      </c>
      <c r="BE28" s="1">
        <v>0.7214418763415088</v>
      </c>
      <c r="BJ28" s="11"/>
    </row>
    <row r="29" spans="1:62" x14ac:dyDescent="0.2">
      <c r="A29" s="1" t="s">
        <v>121</v>
      </c>
      <c r="B29" s="1" t="s">
        <v>120</v>
      </c>
      <c r="C29" s="8">
        <v>42577</v>
      </c>
      <c r="D29" s="9">
        <v>-6.4137389999999996</v>
      </c>
      <c r="E29" s="9">
        <v>-50.053593999999997</v>
      </c>
      <c r="F29" s="65" t="s">
        <v>85</v>
      </c>
      <c r="G29" s="70"/>
      <c r="H29" s="2">
        <v>2.0009782076121767</v>
      </c>
      <c r="I29" s="2">
        <v>7.8559386695116409</v>
      </c>
      <c r="J29" s="2">
        <v>8.8975890823614936</v>
      </c>
      <c r="K29" s="2">
        <v>0.77289543711839626</v>
      </c>
      <c r="L29" s="2">
        <v>3.5367930984815402E-2</v>
      </c>
      <c r="S29" s="2">
        <v>19.562769327588519</v>
      </c>
      <c r="T29" s="70"/>
      <c r="U29" s="1">
        <v>8.5679829120636E-2</v>
      </c>
      <c r="V29" s="1">
        <v>0.48198600907880002</v>
      </c>
      <c r="W29" s="1">
        <v>2.73743769008433</v>
      </c>
      <c r="X29" s="1">
        <v>203.11821090000001</v>
      </c>
      <c r="Y29" s="1">
        <v>177</v>
      </c>
      <c r="Z29" s="70"/>
      <c r="AA29" s="1" t="s">
        <v>86</v>
      </c>
      <c r="AB29" s="1" t="s">
        <v>87</v>
      </c>
      <c r="AC29" s="1" t="s">
        <v>88</v>
      </c>
      <c r="AD29" s="1">
        <v>13</v>
      </c>
      <c r="AE29" s="10">
        <v>174.68343149124499</v>
      </c>
      <c r="AF29" s="11">
        <v>0.8911833995665851</v>
      </c>
      <c r="AG29" s="11">
        <v>0.25017113934999796</v>
      </c>
      <c r="AK29" s="10">
        <v>3550</v>
      </c>
      <c r="AL29" s="10">
        <v>1420</v>
      </c>
      <c r="AM29" s="10">
        <v>33.986760215646797</v>
      </c>
      <c r="AW29" s="12">
        <f>AE29-(AK29/1000)</f>
        <v>171.13343149124498</v>
      </c>
      <c r="AY29" s="1">
        <v>100</v>
      </c>
      <c r="BA29" s="1">
        <v>43.782247878456587</v>
      </c>
      <c r="BC29" s="1">
        <v>39.042039008077005</v>
      </c>
      <c r="BD29" s="1">
        <v>0.82917506430416188</v>
      </c>
      <c r="BE29" s="1">
        <v>0.8601090757081864</v>
      </c>
      <c r="BJ29" s="11"/>
    </row>
    <row r="30" spans="1:62" x14ac:dyDescent="0.2">
      <c r="A30" s="1" t="s">
        <v>122</v>
      </c>
      <c r="B30" s="1" t="s">
        <v>120</v>
      </c>
      <c r="C30" s="8">
        <v>41892</v>
      </c>
      <c r="D30" s="9">
        <v>-14.23306</v>
      </c>
      <c r="E30" s="9">
        <v>-49.366669999999999</v>
      </c>
      <c r="F30" s="65" t="s">
        <v>85</v>
      </c>
      <c r="G30" s="70"/>
      <c r="H30" s="2">
        <v>2.5065129487460758</v>
      </c>
      <c r="I30" s="2">
        <v>8.752219603265921</v>
      </c>
      <c r="J30" s="2">
        <v>6.0588835499867759</v>
      </c>
      <c r="K30" s="2">
        <v>0.49031032951009001</v>
      </c>
      <c r="L30" s="2">
        <v>8.5733621927046977E-2</v>
      </c>
      <c r="S30" s="2">
        <v>17.893660053435905</v>
      </c>
      <c r="T30" s="70"/>
      <c r="U30" s="1">
        <v>0.44390080869197801</v>
      </c>
      <c r="V30" s="1">
        <v>0.512106851120538</v>
      </c>
      <c r="W30" s="1">
        <v>2.2646462172269799</v>
      </c>
      <c r="X30" s="1">
        <v>357.25632910000002</v>
      </c>
      <c r="Y30" s="1">
        <v>141</v>
      </c>
      <c r="Z30" s="70"/>
      <c r="AA30" s="1" t="s">
        <v>86</v>
      </c>
      <c r="AB30" s="1" t="s">
        <v>87</v>
      </c>
      <c r="AC30" s="1" t="s">
        <v>88</v>
      </c>
      <c r="AD30" s="1">
        <v>9</v>
      </c>
      <c r="AE30" s="10">
        <v>143.75610925000001</v>
      </c>
      <c r="AF30" s="11">
        <v>0.41234586720329713</v>
      </c>
      <c r="AG30" s="11">
        <v>0.35594672175645298</v>
      </c>
      <c r="AH30" s="12">
        <v>1.1020205556897344</v>
      </c>
      <c r="AK30" s="10">
        <v>1958.62725</v>
      </c>
      <c r="AL30" s="10">
        <v>502.18860564274701</v>
      </c>
      <c r="AM30" s="10">
        <v>33.202056775000003</v>
      </c>
      <c r="AN30" s="10">
        <v>92.547130848999998</v>
      </c>
      <c r="AW30" s="12">
        <f>AE30-(AK30/1000)</f>
        <v>141.797482</v>
      </c>
      <c r="AX30" s="10">
        <v>179.10804725</v>
      </c>
      <c r="AY30" s="1">
        <v>100</v>
      </c>
      <c r="AZ30" s="10">
        <f>AE30+AX30</f>
        <v>322.86415650000004</v>
      </c>
      <c r="BA30" s="1">
        <v>33.076905174233509</v>
      </c>
      <c r="BB30" s="1">
        <v>14.729196524892284</v>
      </c>
      <c r="BC30" s="1">
        <v>23.602994304538186</v>
      </c>
      <c r="BD30" s="1">
        <v>0.6152862486014492</v>
      </c>
      <c r="BE30" s="1">
        <v>0.69596829834758311</v>
      </c>
      <c r="BJ30" s="11"/>
    </row>
    <row r="31" spans="1:62" x14ac:dyDescent="0.2">
      <c r="A31" s="1" t="s">
        <v>123</v>
      </c>
      <c r="B31" s="1" t="s">
        <v>124</v>
      </c>
      <c r="C31" s="8">
        <v>42735</v>
      </c>
      <c r="D31" s="9">
        <v>50.475746999999998</v>
      </c>
      <c r="E31" s="9">
        <v>-121.013036</v>
      </c>
      <c r="F31" s="65" t="s">
        <v>125</v>
      </c>
      <c r="G31" s="70"/>
      <c r="H31" s="2">
        <v>13.314365482112159</v>
      </c>
      <c r="I31" s="2">
        <v>21.596006484098638</v>
      </c>
      <c r="J31" s="2">
        <v>27.397067761019105</v>
      </c>
      <c r="K31" s="2">
        <v>1.5663322148259076</v>
      </c>
      <c r="S31" s="2">
        <v>63.873771942055811</v>
      </c>
      <c r="T31" s="70"/>
      <c r="U31" s="1">
        <v>2.98096871376038</v>
      </c>
      <c r="V31" s="1">
        <v>2.4768687921305399</v>
      </c>
      <c r="W31" s="1">
        <v>5.5552211105823499</v>
      </c>
      <c r="X31" s="1">
        <v>1491.3482429999999</v>
      </c>
      <c r="Y31" s="1">
        <v>713</v>
      </c>
      <c r="Z31" s="70"/>
      <c r="AA31" s="1" t="s">
        <v>86</v>
      </c>
      <c r="AB31" s="1" t="s">
        <v>87</v>
      </c>
      <c r="AC31" s="1" t="s">
        <v>88</v>
      </c>
      <c r="AD31" s="1">
        <v>57</v>
      </c>
      <c r="AE31" s="10">
        <v>1769.40841220176</v>
      </c>
      <c r="AF31" s="11">
        <v>0.38852105407163651</v>
      </c>
      <c r="AG31" s="11">
        <v>0.90020510592781144</v>
      </c>
      <c r="AH31" s="12">
        <v>7.9910286520452649</v>
      </c>
      <c r="AI31" s="2">
        <v>1.6013745273654865E-2</v>
      </c>
      <c r="AJ31" s="1" t="s">
        <v>126</v>
      </c>
      <c r="AK31" s="10">
        <v>23940.082737585999</v>
      </c>
      <c r="AL31" s="10">
        <v>5985.0206843965098</v>
      </c>
      <c r="AM31" s="10">
        <v>13.3444847665999</v>
      </c>
      <c r="AN31" s="22">
        <v>2077.2170978545</v>
      </c>
      <c r="AO31" s="10">
        <v>219.71858907429899</v>
      </c>
      <c r="AP31" s="10">
        <v>109.85929453715001</v>
      </c>
      <c r="AW31" s="10">
        <f>AE31-(AL31-AO31)/1000</f>
        <v>1763.6431101064379</v>
      </c>
      <c r="AX31" s="10">
        <v>1605.9808392017601</v>
      </c>
      <c r="AY31" s="1">
        <v>100</v>
      </c>
      <c r="AZ31" s="10">
        <f>AE31+AX31</f>
        <v>3375.3892514035201</v>
      </c>
      <c r="BA31" s="1">
        <v>22.897739199706781</v>
      </c>
      <c r="BB31" s="1">
        <v>9.309723407357275</v>
      </c>
      <c r="BC31" s="1">
        <v>19.019996867086569</v>
      </c>
      <c r="BD31" s="1">
        <v>0.88881110586937839</v>
      </c>
      <c r="BE31" s="1">
        <v>0.92650899311140045</v>
      </c>
      <c r="BJ31" s="11"/>
    </row>
    <row r="32" spans="1:62" x14ac:dyDescent="0.2">
      <c r="A32" s="13" t="s">
        <v>127</v>
      </c>
      <c r="B32" s="13" t="s">
        <v>124</v>
      </c>
      <c r="C32" s="8">
        <v>42735</v>
      </c>
      <c r="D32" s="14">
        <v>52.518056000000001</v>
      </c>
      <c r="E32" s="14">
        <v>-122.28749999999999</v>
      </c>
      <c r="F32" s="65" t="s">
        <v>85</v>
      </c>
      <c r="G32" s="70"/>
      <c r="H32" s="2">
        <v>4.2494855579628892</v>
      </c>
      <c r="I32" s="2">
        <v>8.0730365783524505</v>
      </c>
      <c r="J32" s="2">
        <v>9.725621145151397</v>
      </c>
      <c r="K32" s="2">
        <v>0.30650473093619901</v>
      </c>
      <c r="L32" s="2">
        <v>0.15438362293819316</v>
      </c>
      <c r="S32" s="2">
        <v>22.509031635341131</v>
      </c>
      <c r="T32" s="70"/>
      <c r="U32" s="1">
        <v>2.1444891691207899</v>
      </c>
      <c r="V32" s="1">
        <v>1.5803273490359699</v>
      </c>
      <c r="W32" s="1">
        <v>3.2370446771383299</v>
      </c>
      <c r="X32" s="1">
        <v>1031.567742</v>
      </c>
      <c r="Y32" s="1">
        <v>455</v>
      </c>
      <c r="Z32" s="70"/>
      <c r="AA32" s="13" t="s">
        <v>86</v>
      </c>
      <c r="AB32" s="13" t="s">
        <v>87</v>
      </c>
      <c r="AC32" s="13" t="s">
        <v>88</v>
      </c>
      <c r="AD32" s="1">
        <v>40</v>
      </c>
      <c r="AE32" s="10">
        <v>510.15874993860501</v>
      </c>
      <c r="AF32" s="11">
        <v>0.32392584455473883</v>
      </c>
      <c r="AG32" s="11"/>
      <c r="AH32" s="12">
        <v>0.63003988133106414</v>
      </c>
      <c r="AI32" s="2">
        <v>9.8662875092896448E-3</v>
      </c>
      <c r="AJ32" s="1" t="s">
        <v>126</v>
      </c>
      <c r="AK32" s="10">
        <f>AL32*4</f>
        <v>5405.4925420960799</v>
      </c>
      <c r="AL32" s="10">
        <v>1351.37313552402</v>
      </c>
      <c r="AM32" s="10">
        <v>0.14000000000000001</v>
      </c>
      <c r="AN32" s="22">
        <v>210.64849805549201</v>
      </c>
      <c r="AO32" s="10">
        <f>AP32*2</f>
        <v>29.938422553915199</v>
      </c>
      <c r="AP32" s="10">
        <v>14.9692112769576</v>
      </c>
      <c r="AT32" s="18">
        <v>68.907848000000001</v>
      </c>
      <c r="AU32" s="11">
        <v>0.1039191184725432</v>
      </c>
      <c r="AV32" s="10">
        <v>21.811</v>
      </c>
      <c r="AW32" s="10">
        <f>AE32-(AL32-AO32)/1000</f>
        <v>508.83731522563488</v>
      </c>
      <c r="AX32" s="10">
        <v>965.88933633647798</v>
      </c>
      <c r="AY32" s="1">
        <v>100</v>
      </c>
      <c r="AZ32" s="10">
        <f>AE32+AT32+AX32</f>
        <v>1544.9559342750831</v>
      </c>
      <c r="BA32" s="1">
        <v>16.471297440000001</v>
      </c>
      <c r="BB32" s="1">
        <v>5.3791003379295628</v>
      </c>
      <c r="BC32" s="1">
        <v>11.728427791207807</v>
      </c>
      <c r="BD32" s="1">
        <v>0.90832537597596807</v>
      </c>
      <c r="BE32" s="1">
        <v>0.98162140927568053</v>
      </c>
      <c r="BJ32" s="11"/>
    </row>
    <row r="33" spans="1:62" x14ac:dyDescent="0.2">
      <c r="A33" s="13" t="s">
        <v>128</v>
      </c>
      <c r="B33" s="13" t="s">
        <v>124</v>
      </c>
      <c r="C33" s="8">
        <v>42909</v>
      </c>
      <c r="D33" s="14">
        <v>50.660559999999997</v>
      </c>
      <c r="E33" s="14">
        <v>-120.51361</v>
      </c>
      <c r="F33" s="65" t="s">
        <v>85</v>
      </c>
      <c r="G33" s="70"/>
      <c r="H33" s="2">
        <v>0.71657914955631563</v>
      </c>
      <c r="I33" s="2">
        <v>0.80546896952448732</v>
      </c>
      <c r="J33" s="2">
        <v>2.8265470279079694</v>
      </c>
      <c r="K33" s="2">
        <v>0.41846145945170482</v>
      </c>
      <c r="L33" s="2">
        <v>0.16837329014442773</v>
      </c>
      <c r="S33" s="2">
        <v>4.9354298965849051</v>
      </c>
      <c r="T33" s="70"/>
      <c r="U33" s="1">
        <v>1.8214269280433699</v>
      </c>
      <c r="V33" s="1">
        <v>2.8112135459059</v>
      </c>
      <c r="W33" s="1">
        <v>6.6301483958959597</v>
      </c>
      <c r="X33" s="1">
        <v>766.25559109999995</v>
      </c>
      <c r="Y33" s="1">
        <v>1037</v>
      </c>
      <c r="Z33" s="70"/>
      <c r="AA33" s="13" t="s">
        <v>86</v>
      </c>
      <c r="AB33" s="13" t="s">
        <v>96</v>
      </c>
      <c r="AC33" s="13" t="s">
        <v>88</v>
      </c>
      <c r="AD33" s="13">
        <v>25</v>
      </c>
      <c r="AE33" s="20">
        <v>66.427563000000006</v>
      </c>
      <c r="AF33" s="16">
        <v>0.76103416092503651</v>
      </c>
      <c r="AG33" s="16">
        <v>0.63829496048199152</v>
      </c>
      <c r="AH33" s="17">
        <v>3.6972459505358382</v>
      </c>
      <c r="AI33" s="13"/>
      <c r="AJ33" s="13"/>
      <c r="AK33" s="10">
        <v>1766.7034535063001</v>
      </c>
      <c r="AL33" s="15">
        <v>441.67586337657599</v>
      </c>
      <c r="AM33" s="15">
        <v>31.189605315000001</v>
      </c>
      <c r="AN33" s="15">
        <v>121.8106028</v>
      </c>
      <c r="AO33" s="13"/>
      <c r="AP33" s="13"/>
      <c r="AQ33" s="13"/>
      <c r="AR33" s="13"/>
      <c r="AS33" s="13"/>
      <c r="AT33" s="13"/>
      <c r="AU33" s="13"/>
      <c r="AV33" s="13"/>
      <c r="AW33" s="15">
        <f>AE33-(AK33/1000)</f>
        <v>64.660859546493711</v>
      </c>
      <c r="AX33" s="23">
        <v>52.912891250000001</v>
      </c>
      <c r="AY33" s="17">
        <v>66.090190538031223</v>
      </c>
      <c r="AZ33" s="10">
        <f t="shared" ref="AZ33:AZ38" si="0">AE33+AX33</f>
        <v>119.34045425000001</v>
      </c>
      <c r="BA33" s="1">
        <v>78.672781745980714</v>
      </c>
      <c r="BC33" s="1">
        <v>66.861891554321971</v>
      </c>
      <c r="BD33" s="1">
        <v>0.62924294656110991</v>
      </c>
      <c r="BE33" s="1">
        <v>0.63623164229533569</v>
      </c>
      <c r="BJ33" s="11"/>
    </row>
    <row r="34" spans="1:62" x14ac:dyDescent="0.2">
      <c r="A34" s="1" t="s">
        <v>129</v>
      </c>
      <c r="B34" s="1" t="s">
        <v>124</v>
      </c>
      <c r="C34" s="8">
        <v>41480</v>
      </c>
      <c r="D34" s="9">
        <v>49.330368999999997</v>
      </c>
      <c r="E34" s="9">
        <v>-120.533793</v>
      </c>
      <c r="F34" s="65" t="s">
        <v>85</v>
      </c>
      <c r="G34" s="70"/>
      <c r="H34" s="2">
        <v>1.692955792772187</v>
      </c>
      <c r="I34" s="2">
        <v>1.3575598747230901</v>
      </c>
      <c r="J34" s="2">
        <v>6.7224125059059832</v>
      </c>
      <c r="K34" s="2">
        <v>0.16933691886527441</v>
      </c>
      <c r="S34" s="2">
        <v>9.942265092266533</v>
      </c>
      <c r="T34" s="70"/>
      <c r="U34" s="1">
        <v>3.4169123172760001</v>
      </c>
      <c r="V34" s="1">
        <v>3.41601860560829</v>
      </c>
      <c r="W34" s="1">
        <v>7.0949437022209203</v>
      </c>
      <c r="X34" s="1">
        <v>1117.5678230000001</v>
      </c>
      <c r="Y34" s="1">
        <v>946</v>
      </c>
      <c r="Z34" s="70"/>
      <c r="AA34" s="1" t="s">
        <v>86</v>
      </c>
      <c r="AB34" s="1" t="s">
        <v>87</v>
      </c>
      <c r="AC34" s="1" t="s">
        <v>88</v>
      </c>
      <c r="AD34" s="1">
        <v>28</v>
      </c>
      <c r="AE34" s="10">
        <v>172.010133092389</v>
      </c>
      <c r="AF34" s="11">
        <v>0.41116798348528588</v>
      </c>
      <c r="AG34" s="11">
        <v>0.19535735827038672</v>
      </c>
      <c r="AH34" s="12">
        <v>1.9578590614336038</v>
      </c>
      <c r="AK34" s="10">
        <v>2324.5910913544399</v>
      </c>
      <c r="AL34" s="10">
        <v>581.14777283860997</v>
      </c>
      <c r="AM34" s="10">
        <v>17.967271400000001</v>
      </c>
      <c r="AN34" s="10">
        <v>178.74564419999999</v>
      </c>
      <c r="AW34" s="10">
        <f>AE34-(AL34*4/1000)</f>
        <v>169.68554200103455</v>
      </c>
      <c r="AX34" s="19">
        <v>245.05424543510799</v>
      </c>
      <c r="AY34" s="1">
        <v>100</v>
      </c>
      <c r="AZ34" s="10">
        <f t="shared" si="0"/>
        <v>417.06437852749696</v>
      </c>
      <c r="BA34" s="1">
        <v>24.68413425607185</v>
      </c>
      <c r="BB34" s="1">
        <v>6.5922860481156285</v>
      </c>
      <c r="BC34" s="1">
        <v>18.111287465833662</v>
      </c>
      <c r="BD34" s="1">
        <v>0.75763733927187427</v>
      </c>
      <c r="BE34" s="1">
        <v>0.83484022139901271</v>
      </c>
      <c r="BJ34" s="11"/>
    </row>
    <row r="35" spans="1:62" x14ac:dyDescent="0.2">
      <c r="A35" s="13" t="s">
        <v>130</v>
      </c>
      <c r="B35" s="13" t="s">
        <v>124</v>
      </c>
      <c r="C35" s="8">
        <v>42735</v>
      </c>
      <c r="D35" s="14">
        <v>55.125872999999999</v>
      </c>
      <c r="E35" s="14">
        <v>-124.02037</v>
      </c>
      <c r="F35" s="65" t="s">
        <v>85</v>
      </c>
      <c r="G35" s="70"/>
      <c r="H35" s="2">
        <v>0.57047711274950097</v>
      </c>
      <c r="I35" s="2">
        <v>3.3447161260027802</v>
      </c>
      <c r="J35" s="2">
        <v>6.1692663558069381</v>
      </c>
      <c r="K35" s="2">
        <v>0.2075649689693444</v>
      </c>
      <c r="L35" s="2">
        <v>0.45687355241034899</v>
      </c>
      <c r="S35" s="2">
        <v>10.748898115938912</v>
      </c>
      <c r="T35" s="70"/>
      <c r="U35" s="1">
        <v>1.5165722370147701</v>
      </c>
      <c r="V35" s="1">
        <v>1.3853552599256</v>
      </c>
      <c r="W35" s="1">
        <v>3.6937901675701101</v>
      </c>
      <c r="X35" s="1">
        <v>1130.9776360000001</v>
      </c>
      <c r="Y35" s="1">
        <v>571</v>
      </c>
      <c r="Z35" s="70"/>
      <c r="AB35" s="1" t="s">
        <v>87</v>
      </c>
      <c r="AC35" s="1" t="s">
        <v>88</v>
      </c>
      <c r="AD35" s="1">
        <v>4</v>
      </c>
      <c r="AE35" s="10">
        <v>51.777999999999999</v>
      </c>
      <c r="AF35" s="11">
        <v>0.23830024334659508</v>
      </c>
      <c r="AG35" s="11">
        <v>0.61405867356792465</v>
      </c>
      <c r="AK35" s="10">
        <v>410.1</v>
      </c>
      <c r="AL35" s="10">
        <v>92.366415676313196</v>
      </c>
      <c r="AM35" s="10">
        <v>19.119751300000001</v>
      </c>
      <c r="AW35" s="10">
        <f>AE35-(AK35/1000)</f>
        <v>51.367899999999999</v>
      </c>
      <c r="AX35" s="10">
        <v>70.754000000000005</v>
      </c>
      <c r="AY35" s="1">
        <v>100</v>
      </c>
      <c r="AZ35" s="10">
        <f t="shared" si="0"/>
        <v>122.53200000000001</v>
      </c>
      <c r="BA35" s="1">
        <v>38.234359171061094</v>
      </c>
      <c r="BB35" s="1">
        <v>20.196592200012567</v>
      </c>
      <c r="BC35" s="1">
        <v>26.754938840004957</v>
      </c>
      <c r="BD35" s="1">
        <v>0.3740415822327775</v>
      </c>
      <c r="BE35" s="1">
        <v>0.41258657076303434</v>
      </c>
      <c r="BJ35" s="11"/>
    </row>
    <row r="36" spans="1:62" x14ac:dyDescent="0.2">
      <c r="A36" s="13" t="s">
        <v>131</v>
      </c>
      <c r="B36" s="13" t="s">
        <v>124</v>
      </c>
      <c r="C36" s="8">
        <v>42577</v>
      </c>
      <c r="D36" s="14">
        <v>53.681111000000001</v>
      </c>
      <c r="E36" s="14">
        <v>-127.178056</v>
      </c>
      <c r="F36" s="65" t="s">
        <v>85</v>
      </c>
      <c r="G36" s="70"/>
      <c r="H36" s="2">
        <v>1.0327091291562509</v>
      </c>
      <c r="I36" s="2">
        <v>1.3896916266901604</v>
      </c>
      <c r="J36" s="2">
        <v>3.9411839389557928</v>
      </c>
      <c r="K36" s="2">
        <v>0.230796986833021</v>
      </c>
      <c r="L36" s="2">
        <v>0.25115278738619912</v>
      </c>
      <c r="P36" s="2">
        <v>7.6879216540522807E-2</v>
      </c>
      <c r="S36" s="2">
        <v>6.9224136855619474</v>
      </c>
      <c r="T36" s="70"/>
      <c r="U36" s="1">
        <v>2.4083020687103298</v>
      </c>
      <c r="V36" s="1">
        <v>2.8914518219213501</v>
      </c>
      <c r="W36" s="1">
        <v>6.6851711869239798</v>
      </c>
      <c r="X36" s="1">
        <v>1070.0159739999999</v>
      </c>
      <c r="Y36" s="1">
        <v>858</v>
      </c>
      <c r="Z36" s="70"/>
      <c r="AA36" s="13" t="s">
        <v>86</v>
      </c>
      <c r="AB36" s="13" t="s">
        <v>87</v>
      </c>
      <c r="AC36" s="13" t="s">
        <v>88</v>
      </c>
      <c r="AD36" s="1">
        <v>20</v>
      </c>
      <c r="AE36" s="10">
        <v>121.615616</v>
      </c>
      <c r="AF36" s="11">
        <v>0.45163514246394149</v>
      </c>
      <c r="AG36" s="11">
        <v>2.0806419300626655E-2</v>
      </c>
      <c r="AH36" s="12">
        <v>0.62419257901879965</v>
      </c>
      <c r="AI36" s="2">
        <v>1.0911521748983289E-2</v>
      </c>
      <c r="AJ36" s="1" t="s">
        <v>126</v>
      </c>
      <c r="AK36" s="10">
        <v>1967.2516058030001</v>
      </c>
      <c r="AL36" s="10">
        <v>491.812901450749</v>
      </c>
      <c r="AM36" s="10">
        <v>2.8848807500000002</v>
      </c>
      <c r="AN36" s="10">
        <v>137.11273925</v>
      </c>
      <c r="AO36" s="10">
        <v>7.3558468656445601</v>
      </c>
      <c r="AP36" s="10">
        <v>3.6779234328222801</v>
      </c>
      <c r="AW36" s="10">
        <v>119.648364394197</v>
      </c>
      <c r="AX36" s="10">
        <v>121.9280165</v>
      </c>
      <c r="AY36" s="1">
        <v>100</v>
      </c>
      <c r="AZ36" s="10">
        <f t="shared" si="0"/>
        <v>243.5436325</v>
      </c>
      <c r="BA36" s="1">
        <v>20.502286852848918</v>
      </c>
      <c r="BB36" s="1">
        <v>9.6950602567921571</v>
      </c>
      <c r="BC36" s="1">
        <v>17.056901868163688</v>
      </c>
      <c r="BD36" s="1">
        <v>0.87192957440822971</v>
      </c>
      <c r="BE36" s="1">
        <v>0.93576901435552995</v>
      </c>
      <c r="BJ36" s="11"/>
    </row>
    <row r="37" spans="1:62" x14ac:dyDescent="0.2">
      <c r="A37" s="13" t="s">
        <v>132</v>
      </c>
      <c r="B37" s="13" t="s">
        <v>124</v>
      </c>
      <c r="C37" s="8">
        <v>41495</v>
      </c>
      <c r="D37" s="14">
        <v>62.621102999999998</v>
      </c>
      <c r="E37" s="14">
        <v>-137.235153</v>
      </c>
      <c r="F37" s="65" t="s">
        <v>85</v>
      </c>
      <c r="G37" s="70"/>
      <c r="H37" s="2">
        <v>0.33570566032141202</v>
      </c>
      <c r="I37" s="2">
        <v>0.24007212858578178</v>
      </c>
      <c r="J37" s="2">
        <v>2.4482301029268507</v>
      </c>
      <c r="K37" s="2">
        <v>0.47444770981453732</v>
      </c>
      <c r="L37" s="2">
        <v>5.3038469603333561E-2</v>
      </c>
      <c r="S37" s="2">
        <v>3.5514940712519159</v>
      </c>
      <c r="T37" s="70"/>
      <c r="U37" s="1">
        <v>0.92761737108230602</v>
      </c>
      <c r="V37" s="1">
        <v>1.21116194136154</v>
      </c>
      <c r="W37" s="1">
        <v>2.9565415382385298</v>
      </c>
      <c r="X37" s="1">
        <v>792.20192310000004</v>
      </c>
      <c r="Y37" s="1">
        <v>424</v>
      </c>
      <c r="Z37" s="70"/>
      <c r="AA37" s="13" t="s">
        <v>86</v>
      </c>
      <c r="AB37" s="13" t="s">
        <v>87</v>
      </c>
      <c r="AC37" s="13" t="s">
        <v>88</v>
      </c>
      <c r="AD37" s="13">
        <v>7</v>
      </c>
      <c r="AE37" s="20">
        <v>6.4702549999999999</v>
      </c>
      <c r="AF37" s="16">
        <v>1.9148640911370574</v>
      </c>
      <c r="AG37" s="16">
        <v>0.77977666877116891</v>
      </c>
      <c r="AH37" s="17">
        <v>7.6101794906074023</v>
      </c>
      <c r="AK37" s="10">
        <v>449.45526698684603</v>
      </c>
      <c r="AL37" s="10">
        <v>112.363816746711</v>
      </c>
      <c r="AM37" s="10">
        <v>4.1031826374999998</v>
      </c>
      <c r="AN37" s="10">
        <v>40.226042999999997</v>
      </c>
      <c r="AW37" s="10">
        <f>AE37-AK37/1000</f>
        <v>6.0207997330131535</v>
      </c>
      <c r="AX37" s="18">
        <v>62.945641999999999</v>
      </c>
      <c r="AY37" s="1">
        <v>100</v>
      </c>
      <c r="AZ37" s="10">
        <f t="shared" si="0"/>
        <v>69.415897000000001</v>
      </c>
      <c r="BA37" s="1">
        <v>96.980023114469461</v>
      </c>
      <c r="BB37" s="1">
        <v>20.927902997960764</v>
      </c>
      <c r="BC37" s="1">
        <v>80.874178425792508</v>
      </c>
      <c r="BD37" s="1">
        <v>0.78270328426715641</v>
      </c>
      <c r="BE37" s="1">
        <v>0.80924417704903651</v>
      </c>
      <c r="BJ37" s="11"/>
    </row>
    <row r="38" spans="1:62" x14ac:dyDescent="0.2">
      <c r="A38" s="13" t="s">
        <v>133</v>
      </c>
      <c r="B38" s="13" t="s">
        <v>124</v>
      </c>
      <c r="C38" s="8">
        <v>41861</v>
      </c>
      <c r="D38" s="14">
        <v>52.556666999999997</v>
      </c>
      <c r="E38" s="14">
        <v>-121.63583300000001</v>
      </c>
      <c r="F38" s="65" t="s">
        <v>85</v>
      </c>
      <c r="G38" s="70"/>
      <c r="H38" s="2">
        <v>0.490033857822879</v>
      </c>
      <c r="I38" s="2">
        <v>2.1559160796985002</v>
      </c>
      <c r="J38" s="2">
        <v>6.7793758951604897</v>
      </c>
      <c r="K38" s="2">
        <v>0.46077902281553729</v>
      </c>
      <c r="L38" s="2">
        <v>7.4725837568759848E-2</v>
      </c>
      <c r="S38" s="2">
        <v>9.9608306930661641</v>
      </c>
      <c r="T38" s="70"/>
      <c r="U38" s="1">
        <v>1.73460149765015</v>
      </c>
      <c r="V38" s="1">
        <v>1.33250439119867</v>
      </c>
      <c r="W38" s="1">
        <v>3.5119585637003201</v>
      </c>
      <c r="X38" s="1">
        <v>973.09177220000004</v>
      </c>
      <c r="Y38" s="1">
        <v>531</v>
      </c>
      <c r="Z38" s="70"/>
      <c r="AA38" s="13" t="s">
        <v>86</v>
      </c>
      <c r="AB38" s="13" t="s">
        <v>87</v>
      </c>
      <c r="AC38" s="13" t="s">
        <v>88</v>
      </c>
      <c r="AD38" s="1">
        <v>17</v>
      </c>
      <c r="AE38" s="18">
        <v>99.920162000000005</v>
      </c>
      <c r="AF38" s="11">
        <v>0.35334837293398302</v>
      </c>
      <c r="AG38" s="11">
        <v>0.36152693995832386</v>
      </c>
      <c r="AH38" s="12">
        <v>1.0161225852829716</v>
      </c>
      <c r="AK38" s="10">
        <v>984.52763383920205</v>
      </c>
      <c r="AL38" s="10">
        <v>246.131908459801</v>
      </c>
      <c r="AM38" s="10">
        <v>25.424281100000002</v>
      </c>
      <c r="AN38" s="10">
        <v>76.148349999999994</v>
      </c>
      <c r="AW38" s="10">
        <f>AE38-(AK38/1000)</f>
        <v>98.935634366160798</v>
      </c>
      <c r="AX38" s="10">
        <v>247.09233247527101</v>
      </c>
      <c r="AY38" s="1">
        <v>100</v>
      </c>
      <c r="AZ38" s="10">
        <f t="shared" si="0"/>
        <v>347.01249447527101</v>
      </c>
      <c r="BA38" s="1">
        <v>30.182742266985819</v>
      </c>
      <c r="BB38" s="1">
        <v>7.3796435860601015</v>
      </c>
      <c r="BC38" s="1">
        <v>21.353671262366127</v>
      </c>
      <c r="BD38" s="1">
        <v>0.53396068082350068</v>
      </c>
      <c r="BE38" s="1">
        <v>0.52498647439001056</v>
      </c>
      <c r="BJ38" s="11"/>
    </row>
    <row r="39" spans="1:62" x14ac:dyDescent="0.2">
      <c r="A39" s="13" t="s">
        <v>134</v>
      </c>
      <c r="B39" s="13" t="s">
        <v>135</v>
      </c>
      <c r="C39" s="8">
        <v>42889</v>
      </c>
      <c r="D39" s="14">
        <v>-24.265000000000001</v>
      </c>
      <c r="E39" s="14">
        <v>-69.071667000000005</v>
      </c>
      <c r="F39" s="65" t="s">
        <v>85</v>
      </c>
      <c r="G39" s="70"/>
      <c r="H39" s="2">
        <v>8.7493453134187504</v>
      </c>
      <c r="I39" s="2">
        <v>50.728896845160698</v>
      </c>
      <c r="J39" s="2">
        <v>32.997692984710703</v>
      </c>
      <c r="K39" s="2">
        <v>12.604157950987402</v>
      </c>
      <c r="L39" s="2">
        <v>0.49103355920496339</v>
      </c>
      <c r="M39" s="2">
        <v>12.179672405014704</v>
      </c>
      <c r="S39" s="2">
        <v>117.75079905849724</v>
      </c>
      <c r="T39" s="70"/>
      <c r="U39" s="1">
        <v>1.5923874378204299</v>
      </c>
      <c r="V39" s="1">
        <v>2.4342997736824201</v>
      </c>
      <c r="W39" s="1">
        <v>6.8620116114616403</v>
      </c>
      <c r="X39" s="1">
        <v>3094.9329069999999</v>
      </c>
      <c r="Y39" s="1">
        <v>557</v>
      </c>
      <c r="Z39" s="70"/>
      <c r="AA39" s="13"/>
      <c r="AB39" s="13" t="s">
        <v>87</v>
      </c>
      <c r="AC39" s="13" t="s">
        <v>110</v>
      </c>
      <c r="BA39" s="1">
        <v>70.592747841099069</v>
      </c>
      <c r="BB39" s="1">
        <v>16.764560060347375</v>
      </c>
      <c r="BC39" s="1">
        <v>55.593017477050225</v>
      </c>
      <c r="BD39" s="1">
        <v>0.94041698566455045</v>
      </c>
      <c r="BE39" s="1">
        <v>0.96217035072496881</v>
      </c>
      <c r="BF39" s="1">
        <v>27.502385</v>
      </c>
      <c r="BG39" s="1">
        <v>23.930741934666667</v>
      </c>
      <c r="BJ39" s="11"/>
    </row>
    <row r="40" spans="1:62" x14ac:dyDescent="0.2">
      <c r="A40" s="13" t="s">
        <v>136</v>
      </c>
      <c r="B40" s="13" t="s">
        <v>135</v>
      </c>
      <c r="C40" s="8">
        <v>42778</v>
      </c>
      <c r="D40" s="14">
        <v>-34.088611</v>
      </c>
      <c r="E40" s="14">
        <v>-70.462500000000006</v>
      </c>
      <c r="F40" s="65" t="s">
        <v>125</v>
      </c>
      <c r="G40" s="70"/>
      <c r="H40" s="1" t="s">
        <v>114</v>
      </c>
      <c r="I40" s="2">
        <v>17.001908878960162</v>
      </c>
      <c r="J40" s="2">
        <v>0.65866115177342455</v>
      </c>
      <c r="K40" s="2">
        <v>2.2112665615795684</v>
      </c>
      <c r="L40" s="2">
        <v>0.5303977020517715</v>
      </c>
      <c r="M40" s="1" t="s">
        <v>114</v>
      </c>
      <c r="S40" s="2">
        <v>20.402234294364927</v>
      </c>
      <c r="T40" s="70"/>
      <c r="U40" s="1">
        <v>6.0967559814453098</v>
      </c>
      <c r="V40" s="1">
        <v>7.2341453830401097</v>
      </c>
      <c r="W40" s="1">
        <v>12.336926579475399</v>
      </c>
      <c r="X40" s="1">
        <v>1835.730769</v>
      </c>
      <c r="Y40" s="1">
        <v>2109</v>
      </c>
      <c r="Z40" s="70"/>
      <c r="AA40" s="13"/>
      <c r="AB40" s="13" t="s">
        <v>87</v>
      </c>
      <c r="AC40" s="13" t="s">
        <v>137</v>
      </c>
      <c r="BA40" s="1">
        <v>55.520840773198742</v>
      </c>
      <c r="BB40" s="1">
        <v>51.120124857564434</v>
      </c>
      <c r="BC40" s="1">
        <v>47.045341672583838</v>
      </c>
      <c r="BD40" s="1">
        <v>0.88172737693178804</v>
      </c>
      <c r="BE40" s="1">
        <v>0.93020992897767074</v>
      </c>
      <c r="BJ40" s="11"/>
    </row>
    <row r="41" spans="1:62" x14ac:dyDescent="0.2">
      <c r="A41" s="13" t="s">
        <v>138</v>
      </c>
      <c r="B41" s="13" t="s">
        <v>135</v>
      </c>
      <c r="C41" s="8">
        <v>42441</v>
      </c>
      <c r="D41" s="14">
        <v>-20.971944000000001</v>
      </c>
      <c r="E41" s="14">
        <v>-68.706111000000007</v>
      </c>
      <c r="F41" s="65" t="s">
        <v>125</v>
      </c>
      <c r="G41" s="70"/>
      <c r="H41" s="2">
        <v>26.887903655499439</v>
      </c>
      <c r="J41" s="2">
        <v>21.277352930207758</v>
      </c>
      <c r="K41" s="2">
        <v>3.1353140499880858</v>
      </c>
      <c r="L41" s="2">
        <v>0.14910020704172913</v>
      </c>
      <c r="M41" s="2">
        <v>1.8072349778421801</v>
      </c>
      <c r="S41" s="2">
        <v>53.256905820579192</v>
      </c>
      <c r="T41" s="70"/>
      <c r="U41" s="1">
        <v>2.7877038717269902</v>
      </c>
      <c r="V41" s="1">
        <v>3.3839531108594199</v>
      </c>
      <c r="W41" s="1">
        <v>5.7222983837127703</v>
      </c>
      <c r="X41" s="1">
        <v>4537.3706069999998</v>
      </c>
      <c r="Y41" s="1">
        <v>781</v>
      </c>
      <c r="Z41" s="70"/>
      <c r="AA41" s="13" t="s">
        <v>86</v>
      </c>
      <c r="AB41" s="13" t="s">
        <v>87</v>
      </c>
      <c r="AC41" s="13" t="s">
        <v>88</v>
      </c>
      <c r="AD41" s="1">
        <v>18</v>
      </c>
      <c r="AE41" s="10">
        <v>655.75959999999998</v>
      </c>
      <c r="AF41" s="11">
        <v>1.1987522032048441</v>
      </c>
      <c r="AH41" s="24">
        <v>2.0172909538800501</v>
      </c>
      <c r="AI41" s="25">
        <v>8.3889793353133287E-3</v>
      </c>
      <c r="AK41" s="10">
        <v>23052.878766814101</v>
      </c>
      <c r="AL41" s="10">
        <v>6864.4318181818198</v>
      </c>
      <c r="AN41" s="10">
        <v>661.42895450000003</v>
      </c>
      <c r="AO41" s="10">
        <v>82.517306000000005</v>
      </c>
      <c r="AP41" s="10">
        <v>41.258653000000002</v>
      </c>
      <c r="AT41" s="10">
        <v>109.74720000000001</v>
      </c>
      <c r="AU41" s="11">
        <v>0.8730972337086752</v>
      </c>
      <c r="AV41" s="10">
        <v>810.51818181818203</v>
      </c>
      <c r="AW41" s="12">
        <f>AE41-(AK41/1000)-(AO41/1000)</f>
        <v>632.62420392718593</v>
      </c>
      <c r="AX41" s="10">
        <v>2240.4916036363602</v>
      </c>
      <c r="AY41" s="1">
        <v>100</v>
      </c>
      <c r="AZ41" s="10">
        <f>AE41+AT41+AX41</f>
        <v>3005.9984036363603</v>
      </c>
      <c r="BA41" s="1">
        <v>68.858937382367458</v>
      </c>
      <c r="BB41" s="1">
        <v>39.920900849795352</v>
      </c>
      <c r="BC41" s="1">
        <v>57.202820895351969</v>
      </c>
      <c r="BD41" s="1">
        <v>0.91862418887976738</v>
      </c>
      <c r="BE41" s="1">
        <v>0.95102119270814878</v>
      </c>
      <c r="BF41" s="1">
        <v>34.653005100000001</v>
      </c>
      <c r="BG41" s="1">
        <v>26.238335460581446</v>
      </c>
      <c r="BJ41" s="11"/>
    </row>
    <row r="42" spans="1:62" x14ac:dyDescent="0.2">
      <c r="A42" s="13" t="s">
        <v>139</v>
      </c>
      <c r="B42" s="13" t="s">
        <v>135</v>
      </c>
      <c r="C42" s="8">
        <v>42820</v>
      </c>
      <c r="D42" s="14">
        <v>-33.157381000000001</v>
      </c>
      <c r="E42" s="14">
        <v>-70.282045999999994</v>
      </c>
      <c r="F42" s="65" t="s">
        <v>9</v>
      </c>
      <c r="G42" s="70"/>
      <c r="H42" s="2">
        <v>3.0915231808355399</v>
      </c>
      <c r="I42" s="2">
        <v>1.0176001205970699</v>
      </c>
      <c r="J42" s="2">
        <v>5.1680144482044144</v>
      </c>
      <c r="K42" s="2">
        <v>0.93148316563233291</v>
      </c>
      <c r="L42" s="2">
        <v>0.17849636913876152</v>
      </c>
      <c r="S42" s="2">
        <v>10.38711728440812</v>
      </c>
      <c r="T42" s="70"/>
      <c r="U42" s="1">
        <v>7.8820767402648899</v>
      </c>
      <c r="V42" s="1">
        <v>7.7787324953530499</v>
      </c>
      <c r="W42" s="1">
        <v>17.083455562591599</v>
      </c>
      <c r="X42" s="1">
        <v>3730.5678229999999</v>
      </c>
      <c r="Y42" s="1">
        <v>2443</v>
      </c>
      <c r="Z42" s="70"/>
      <c r="AA42" s="13"/>
      <c r="AB42" s="13" t="s">
        <v>87</v>
      </c>
      <c r="AC42" s="13" t="s">
        <v>110</v>
      </c>
      <c r="BA42" s="1">
        <v>52.220930498689555</v>
      </c>
      <c r="BC42" s="1">
        <v>45.239166460705462</v>
      </c>
      <c r="BD42" s="1">
        <v>0.96904417283927713</v>
      </c>
      <c r="BE42" s="1">
        <v>0.98213337882679963</v>
      </c>
      <c r="BF42" s="1">
        <v>16.501431</v>
      </c>
      <c r="BG42" s="1">
        <v>4.9045590610558278</v>
      </c>
      <c r="BJ42" s="11"/>
    </row>
    <row r="43" spans="1:62" x14ac:dyDescent="0.2">
      <c r="A43" s="13" t="s">
        <v>140</v>
      </c>
      <c r="B43" s="13" t="s">
        <v>135</v>
      </c>
      <c r="C43" s="8">
        <v>42025</v>
      </c>
      <c r="D43" s="14">
        <v>-31.713889000000002</v>
      </c>
      <c r="E43" s="14">
        <v>-70.488889</v>
      </c>
      <c r="F43" s="65" t="s">
        <v>125</v>
      </c>
      <c r="G43" s="70"/>
      <c r="H43" s="2">
        <v>5.3529184026757815</v>
      </c>
      <c r="J43" s="2">
        <v>7.2935927490708252</v>
      </c>
      <c r="K43" s="2">
        <v>0.34326321779090935</v>
      </c>
      <c r="L43" s="2">
        <v>0.1607679438372619</v>
      </c>
      <c r="S43" s="2">
        <v>13.150542313374778</v>
      </c>
      <c r="T43" s="70"/>
      <c r="U43" s="1">
        <v>6.10355472564697</v>
      </c>
      <c r="V43" s="1">
        <v>6.6951039479328998</v>
      </c>
      <c r="W43" s="1">
        <v>15.0497171878815</v>
      </c>
      <c r="X43" s="1">
        <v>3687.2147439999999</v>
      </c>
      <c r="Y43" s="1">
        <v>2016</v>
      </c>
      <c r="Z43" s="70"/>
      <c r="AA43" s="13"/>
      <c r="AB43" s="13" t="s">
        <v>87</v>
      </c>
      <c r="AC43" s="13" t="s">
        <v>88</v>
      </c>
      <c r="BA43" s="1">
        <v>44.532972777117607</v>
      </c>
      <c r="BC43" s="1">
        <v>36.568519600269653</v>
      </c>
      <c r="BD43" s="1">
        <v>0.86460293573269331</v>
      </c>
      <c r="BE43" s="1">
        <v>0.88985646037374966</v>
      </c>
      <c r="BJ43" s="11"/>
    </row>
    <row r="44" spans="1:62" x14ac:dyDescent="0.2">
      <c r="A44" s="13" t="s">
        <v>141</v>
      </c>
      <c r="B44" s="13" t="s">
        <v>135</v>
      </c>
      <c r="C44" s="8">
        <v>42924</v>
      </c>
      <c r="D44" s="14">
        <v>-22.227219999999999</v>
      </c>
      <c r="E44" s="14">
        <v>-68.883330000000001</v>
      </c>
      <c r="F44" s="65" t="s">
        <v>125</v>
      </c>
      <c r="G44" s="70"/>
      <c r="H44" s="2">
        <v>5.8683662955928799</v>
      </c>
      <c r="J44" s="2">
        <v>12.626527913434989</v>
      </c>
      <c r="K44" s="2">
        <v>2.7838008815715813</v>
      </c>
      <c r="L44" s="2">
        <v>0.34244161210851903</v>
      </c>
      <c r="M44" s="2">
        <v>9.81842882348319</v>
      </c>
      <c r="S44" s="2">
        <v>31.43956552619116</v>
      </c>
      <c r="T44" s="70"/>
      <c r="U44" s="1">
        <v>2.57855904102325</v>
      </c>
      <c r="V44" s="1">
        <v>3.32644415580774</v>
      </c>
      <c r="W44" s="1">
        <v>6.2617009878158596</v>
      </c>
      <c r="X44" s="1">
        <v>3031.5791140000001</v>
      </c>
      <c r="Y44" s="1">
        <v>837</v>
      </c>
      <c r="Z44" s="70"/>
      <c r="AA44" s="13"/>
      <c r="AB44" s="13" t="s">
        <v>87</v>
      </c>
      <c r="AC44" s="13" t="s">
        <v>88</v>
      </c>
      <c r="BA44" s="1">
        <v>27.981284676375406</v>
      </c>
      <c r="BB44" s="1">
        <v>11.90645141293184</v>
      </c>
      <c r="BC44" s="1">
        <v>23.658531706027507</v>
      </c>
      <c r="BD44" s="1">
        <v>0.98288500038814375</v>
      </c>
      <c r="BE44" s="1">
        <v>0.98987892227789043</v>
      </c>
      <c r="BJ44" s="11"/>
    </row>
    <row r="45" spans="1:62" x14ac:dyDescent="0.2">
      <c r="A45" s="13" t="s">
        <v>142</v>
      </c>
      <c r="B45" s="13" t="s">
        <v>135</v>
      </c>
      <c r="C45" s="8">
        <v>42924</v>
      </c>
      <c r="D45" s="14">
        <v>-22.318258</v>
      </c>
      <c r="E45" s="14">
        <v>-68.902303000000003</v>
      </c>
      <c r="F45" s="65" t="s">
        <v>125</v>
      </c>
      <c r="G45" s="70"/>
      <c r="H45" s="2">
        <v>11.736160449255001</v>
      </c>
      <c r="I45" s="2">
        <v>66.439409823219805</v>
      </c>
      <c r="J45" s="2">
        <v>41.995418591061032</v>
      </c>
      <c r="K45" s="2">
        <v>13.825812374586453</v>
      </c>
      <c r="L45" s="2">
        <v>2.5238372477971897E-2</v>
      </c>
      <c r="M45" s="2">
        <v>2.8647685010221702</v>
      </c>
      <c r="S45" s="2">
        <v>136.88680811162243</v>
      </c>
      <c r="T45" s="70"/>
      <c r="U45" s="1">
        <v>3.6418087482452401</v>
      </c>
      <c r="V45" s="1">
        <v>3.4365714031552499</v>
      </c>
      <c r="W45" s="1">
        <v>7.3628203272819501</v>
      </c>
      <c r="X45" s="1">
        <v>2800.6603169999998</v>
      </c>
      <c r="Y45" s="1">
        <v>1361</v>
      </c>
      <c r="Z45" s="70"/>
      <c r="AA45" s="13"/>
      <c r="AB45" s="13" t="s">
        <v>87</v>
      </c>
      <c r="AC45" s="13" t="s">
        <v>137</v>
      </c>
      <c r="BA45" s="1">
        <v>52.913613472341055</v>
      </c>
      <c r="BB45" s="1">
        <v>15.193610743172615</v>
      </c>
      <c r="BC45" s="1">
        <v>40.522960177823791</v>
      </c>
      <c r="BD45" s="1">
        <v>0.7588497451792624</v>
      </c>
      <c r="BE45" s="1">
        <v>0.84255677131746098</v>
      </c>
      <c r="BJ45" s="11"/>
    </row>
    <row r="46" spans="1:62" x14ac:dyDescent="0.2">
      <c r="A46" s="13" t="s">
        <v>143</v>
      </c>
      <c r="B46" s="13" t="s">
        <v>135</v>
      </c>
      <c r="C46" s="8">
        <v>42924</v>
      </c>
      <c r="D46" s="14">
        <v>-22.37884</v>
      </c>
      <c r="E46" s="14">
        <v>-68.913319999999999</v>
      </c>
      <c r="F46" s="65" t="s">
        <v>125</v>
      </c>
      <c r="G46" s="70"/>
      <c r="H46" s="2">
        <v>1.67972124687896</v>
      </c>
      <c r="J46" s="2">
        <v>5.918348430205894</v>
      </c>
      <c r="K46" s="2">
        <v>1.2185080360190235</v>
      </c>
      <c r="L46" s="2">
        <v>3.7964153887003561E-2</v>
      </c>
      <c r="M46" s="2">
        <v>0.44867246214291401</v>
      </c>
      <c r="S46" s="2">
        <v>9.3032143291337963</v>
      </c>
      <c r="T46" s="70"/>
      <c r="U46" s="1">
        <v>2.4727652072906499</v>
      </c>
      <c r="V46" s="1">
        <v>2.6987944292945998</v>
      </c>
      <c r="W46" s="1">
        <v>7.6069780886173204</v>
      </c>
      <c r="X46" s="1">
        <v>2514.894569</v>
      </c>
      <c r="Y46" s="1">
        <v>878</v>
      </c>
      <c r="Z46" s="70"/>
      <c r="AA46" s="13" t="s">
        <v>86</v>
      </c>
      <c r="AB46" s="13" t="s">
        <v>87</v>
      </c>
      <c r="AC46" s="13" t="s">
        <v>88</v>
      </c>
      <c r="AD46" s="1">
        <v>4</v>
      </c>
      <c r="AE46" s="18">
        <v>93.805126361534903</v>
      </c>
      <c r="AF46" s="11">
        <v>1.0656574668218126</v>
      </c>
      <c r="AH46" s="21">
        <v>21.768597220101555</v>
      </c>
      <c r="AK46" s="10">
        <v>3080.4119999999998</v>
      </c>
      <c r="AL46" s="10">
        <v>770.10299999999995</v>
      </c>
      <c r="AN46" s="22">
        <v>1021.00300647249</v>
      </c>
      <c r="AW46" s="18">
        <v>56.493000000000002</v>
      </c>
      <c r="AX46" s="10">
        <v>516.30999999999995</v>
      </c>
      <c r="AY46" s="1">
        <v>100</v>
      </c>
      <c r="AZ46" s="10">
        <f>AE46+AX46</f>
        <v>610.11512636153486</v>
      </c>
      <c r="BA46" s="1">
        <v>67.54525143210185</v>
      </c>
      <c r="BC46" s="1">
        <v>48.212741145000031</v>
      </c>
      <c r="BD46" s="1">
        <v>0.85505653284978533</v>
      </c>
      <c r="BE46" s="1">
        <v>0.89846830215836881</v>
      </c>
      <c r="BJ46" s="11"/>
    </row>
    <row r="47" spans="1:62" x14ac:dyDescent="0.2">
      <c r="A47" s="13" t="s">
        <v>144</v>
      </c>
      <c r="B47" s="13" t="s">
        <v>135</v>
      </c>
      <c r="C47" s="8">
        <v>42820</v>
      </c>
      <c r="D47" s="14">
        <v>-33.155489000000003</v>
      </c>
      <c r="E47" s="14">
        <v>-70.256424999999993</v>
      </c>
      <c r="F47" s="65" t="s">
        <v>125</v>
      </c>
      <c r="G47" s="70"/>
      <c r="H47" s="2">
        <v>1.9661392532597799</v>
      </c>
      <c r="J47" s="2">
        <v>9.4783515056751106</v>
      </c>
      <c r="S47" s="2">
        <v>11.44449075893489</v>
      </c>
      <c r="T47" s="70"/>
      <c r="U47" s="1">
        <v>8.4024853706359899</v>
      </c>
      <c r="V47" s="1">
        <v>8.4995720484900108</v>
      </c>
      <c r="W47" s="1">
        <v>19.603871822357199</v>
      </c>
      <c r="X47" s="1">
        <v>3911.622222</v>
      </c>
      <c r="Y47" s="1">
        <v>2467</v>
      </c>
      <c r="Z47" s="70"/>
      <c r="AA47" s="13"/>
      <c r="AB47" s="13" t="s">
        <v>87</v>
      </c>
      <c r="AC47" s="13" t="s">
        <v>88</v>
      </c>
      <c r="BA47" s="1">
        <v>48.01256188529107</v>
      </c>
      <c r="BB47" s="1">
        <v>19.335868117505147</v>
      </c>
      <c r="BC47" s="1">
        <v>39.735489066444529</v>
      </c>
      <c r="BD47" s="1">
        <v>0.85922466704777678</v>
      </c>
      <c r="BE47" s="1">
        <v>0.91495028066737927</v>
      </c>
      <c r="BJ47" s="11"/>
    </row>
    <row r="48" spans="1:62" x14ac:dyDescent="0.2">
      <c r="A48" s="13" t="s">
        <v>145</v>
      </c>
      <c r="B48" s="13" t="s">
        <v>135</v>
      </c>
      <c r="C48" s="8">
        <v>42854</v>
      </c>
      <c r="D48" s="14">
        <v>-22.969899999999999</v>
      </c>
      <c r="E48" s="14">
        <v>-69.082999999999998</v>
      </c>
      <c r="F48" s="65" t="s">
        <v>9</v>
      </c>
      <c r="G48" s="70"/>
      <c r="H48" s="2">
        <v>5.6814463464167204</v>
      </c>
      <c r="I48" s="2">
        <v>9.870408279981854</v>
      </c>
      <c r="J48" s="2">
        <v>16.396170849251867</v>
      </c>
      <c r="K48" s="2">
        <v>3.3895080826704218</v>
      </c>
      <c r="L48" s="2">
        <v>0.14009705705989131</v>
      </c>
      <c r="M48" s="2">
        <v>6.934473944232959</v>
      </c>
      <c r="S48" s="2">
        <v>42.412104559613717</v>
      </c>
      <c r="T48" s="70"/>
      <c r="U48" s="1">
        <v>1.7114238739013701</v>
      </c>
      <c r="V48" s="1">
        <v>1.8538388998448101</v>
      </c>
      <c r="W48" s="1">
        <v>3.0840292572975199</v>
      </c>
      <c r="X48" s="1">
        <v>2195.446203</v>
      </c>
      <c r="Y48" s="1">
        <v>754</v>
      </c>
      <c r="Z48" s="70"/>
      <c r="AA48" s="13" t="s">
        <v>86</v>
      </c>
      <c r="AB48" s="13" t="s">
        <v>87</v>
      </c>
      <c r="AC48" s="13" t="s">
        <v>110</v>
      </c>
      <c r="AD48" s="1">
        <v>17</v>
      </c>
      <c r="AE48" s="10">
        <v>188.1283</v>
      </c>
      <c r="AF48" s="11">
        <v>0.62561987468542901</v>
      </c>
      <c r="AG48" s="11">
        <v>0.29757217211709081</v>
      </c>
      <c r="AH48" s="12">
        <v>1.6348569860676003</v>
      </c>
      <c r="AK48" s="10">
        <v>3922.6945054945099</v>
      </c>
      <c r="AL48" s="10">
        <v>980.67362637362601</v>
      </c>
      <c r="AM48" s="10">
        <v>39.704105494505399</v>
      </c>
      <c r="AN48" s="10">
        <v>217.908290229437</v>
      </c>
      <c r="AT48" s="10">
        <v>144.15360000000001</v>
      </c>
      <c r="AU48" s="11">
        <v>1.2585816991136589</v>
      </c>
      <c r="AV48" s="10">
        <v>1421.3296703296701</v>
      </c>
      <c r="AW48" s="10">
        <v>184.20560549450499</v>
      </c>
      <c r="AX48" s="10">
        <v>1489.237828</v>
      </c>
      <c r="AY48" s="1">
        <v>100</v>
      </c>
      <c r="AZ48" s="10">
        <f>AE48+AT48+AX48</f>
        <v>1821.519728</v>
      </c>
      <c r="BA48" s="1">
        <v>40.431270984756324</v>
      </c>
      <c r="BB48" s="1">
        <v>8.839799540289782</v>
      </c>
      <c r="BC48" s="1">
        <v>32.661388013514944</v>
      </c>
      <c r="BD48" s="1">
        <v>0.78906167980789421</v>
      </c>
      <c r="BE48" s="1">
        <v>0.79565972695741871</v>
      </c>
      <c r="BF48" s="1">
        <v>53.9046746</v>
      </c>
      <c r="BG48" s="1">
        <v>45.031410236220474</v>
      </c>
      <c r="BJ48" s="11"/>
    </row>
    <row r="49" spans="1:62" x14ac:dyDescent="0.2">
      <c r="A49" s="13" t="s">
        <v>146</v>
      </c>
      <c r="B49" s="13" t="s">
        <v>135</v>
      </c>
      <c r="C49" s="8">
        <v>42916</v>
      </c>
      <c r="D49" s="14">
        <v>-27.515560000000001</v>
      </c>
      <c r="E49" s="14">
        <v>-70.288610000000006</v>
      </c>
      <c r="F49" s="65" t="s">
        <v>9</v>
      </c>
      <c r="G49" s="70"/>
      <c r="H49" s="2">
        <v>3.32014125565171</v>
      </c>
      <c r="I49" s="2">
        <v>4.4022421161792797</v>
      </c>
      <c r="J49" s="2">
        <v>8.9051554215889066</v>
      </c>
      <c r="K49" s="2">
        <v>1.6324076852067444</v>
      </c>
      <c r="L49" s="2">
        <v>3.4146242456294537E-2</v>
      </c>
      <c r="S49" s="2">
        <v>18.294092721082936</v>
      </c>
      <c r="T49" s="70"/>
      <c r="U49" s="1">
        <v>2.8286287784576398</v>
      </c>
      <c r="V49" s="1">
        <v>3.5571575225732599</v>
      </c>
      <c r="W49" s="1">
        <v>6.4057102203369096</v>
      </c>
      <c r="X49" s="1">
        <v>777.10543129999996</v>
      </c>
      <c r="Y49" s="1">
        <v>854</v>
      </c>
      <c r="Z49" s="70"/>
      <c r="AA49" s="13"/>
      <c r="AB49" s="13" t="s">
        <v>87</v>
      </c>
      <c r="AC49" s="13" t="s">
        <v>88</v>
      </c>
      <c r="BA49" s="1">
        <v>45.031830551966287</v>
      </c>
      <c r="BB49" s="1">
        <v>14.778628918321026</v>
      </c>
      <c r="BC49" s="1">
        <v>37.961425549397667</v>
      </c>
      <c r="BD49" s="1">
        <v>0.78173710392199192</v>
      </c>
      <c r="BE49" s="1">
        <v>0.87054256248653661</v>
      </c>
      <c r="BJ49" s="11"/>
    </row>
    <row r="50" spans="1:62" x14ac:dyDescent="0.2">
      <c r="A50" s="13" t="s">
        <v>147</v>
      </c>
      <c r="B50" s="13" t="s">
        <v>135</v>
      </c>
      <c r="C50" s="8">
        <v>42686</v>
      </c>
      <c r="D50" s="14">
        <v>-22.800671999999999</v>
      </c>
      <c r="E50" s="14">
        <v>-69.245013999999998</v>
      </c>
      <c r="F50" s="65" t="s">
        <v>9</v>
      </c>
      <c r="G50" s="70"/>
      <c r="H50" s="2">
        <v>2.7800383055451992</v>
      </c>
      <c r="J50" s="2">
        <v>12.269655806660673</v>
      </c>
      <c r="K50" s="2">
        <v>1.8445156937125611</v>
      </c>
      <c r="L50" s="2">
        <v>0.11764967912747953</v>
      </c>
      <c r="M50" s="2">
        <v>5.0865857689563789</v>
      </c>
      <c r="S50" s="2">
        <v>22.098445254002293</v>
      </c>
      <c r="T50" s="70"/>
      <c r="U50" s="1">
        <v>1.6498401165008501</v>
      </c>
      <c r="V50" s="1">
        <v>1.6100049671083201</v>
      </c>
      <c r="W50" s="1">
        <v>2.6160464584827401</v>
      </c>
      <c r="X50" s="1">
        <v>1715.4313099999999</v>
      </c>
      <c r="Y50" s="1">
        <v>528</v>
      </c>
      <c r="Z50" s="70"/>
      <c r="AA50" s="13" t="s">
        <v>86</v>
      </c>
      <c r="AB50" s="13" t="s">
        <v>87</v>
      </c>
      <c r="AC50" s="13" t="s">
        <v>113</v>
      </c>
      <c r="AD50" s="1">
        <v>11</v>
      </c>
      <c r="AT50" s="10">
        <v>176.512</v>
      </c>
      <c r="AU50" s="18">
        <v>1.3808414158810733</v>
      </c>
      <c r="AV50" s="10">
        <v>1656.7</v>
      </c>
      <c r="AX50" s="10">
        <v>718.48500000000001</v>
      </c>
      <c r="AY50" s="1">
        <v>100</v>
      </c>
      <c r="AZ50" s="10">
        <f>AE50+AX50</f>
        <v>718.48500000000001</v>
      </c>
      <c r="BB50" s="1">
        <v>14.349091049841389</v>
      </c>
      <c r="BF50" s="1">
        <v>69.629504511015057</v>
      </c>
      <c r="BG50" s="1">
        <v>53.869702242052419</v>
      </c>
      <c r="BJ50" s="11"/>
    </row>
    <row r="51" spans="1:62" x14ac:dyDescent="0.2">
      <c r="A51" s="13" t="s">
        <v>148</v>
      </c>
      <c r="B51" s="13" t="s">
        <v>135</v>
      </c>
      <c r="C51" s="8">
        <v>42062</v>
      </c>
      <c r="D51" s="14">
        <v>-23.418330000000001</v>
      </c>
      <c r="E51" s="14">
        <v>-68.811109999999999</v>
      </c>
      <c r="F51" s="65" t="s">
        <v>125</v>
      </c>
      <c r="G51" s="70"/>
      <c r="H51" s="2">
        <v>1.6263989336165137</v>
      </c>
      <c r="J51" s="2">
        <v>4.8320247909391689</v>
      </c>
      <c r="K51" s="2">
        <v>1.8075534084046976</v>
      </c>
      <c r="L51" s="2">
        <v>0.16015724532168812</v>
      </c>
      <c r="M51" s="2">
        <v>6.3247759937074708</v>
      </c>
      <c r="S51" s="2">
        <v>14.750910371989539</v>
      </c>
      <c r="T51" s="70"/>
      <c r="U51" s="1">
        <v>1.6610816121101399</v>
      </c>
      <c r="V51" s="1">
        <v>1.83551011331498</v>
      </c>
      <c r="W51" s="1">
        <v>3.9313442707061799</v>
      </c>
      <c r="X51" s="1">
        <v>2699.3396830000002</v>
      </c>
      <c r="Y51" s="1">
        <v>580</v>
      </c>
      <c r="Z51" s="70"/>
      <c r="AA51" s="13" t="s">
        <v>86</v>
      </c>
      <c r="AB51" s="13" t="s">
        <v>87</v>
      </c>
      <c r="AC51" s="13" t="s">
        <v>110</v>
      </c>
      <c r="AD51" s="1">
        <v>9</v>
      </c>
      <c r="AE51" s="10">
        <v>280.71451045470599</v>
      </c>
      <c r="AF51" s="11">
        <v>0.40419942759871125</v>
      </c>
      <c r="AK51" s="10">
        <v>3415.6193333333299</v>
      </c>
      <c r="AL51" s="10">
        <v>853.90483333333304</v>
      </c>
      <c r="AT51" s="10">
        <v>91.684095666666707</v>
      </c>
      <c r="AX51" s="10">
        <v>169.406322111549</v>
      </c>
      <c r="AY51" s="1">
        <v>100</v>
      </c>
      <c r="AZ51" s="10">
        <f>AE51+AT51+AX51</f>
        <v>541.80492823292172</v>
      </c>
      <c r="BF51" s="1">
        <v>19.251669499999998</v>
      </c>
      <c r="BG51" s="1">
        <v>14.439502925094498</v>
      </c>
      <c r="BJ51" s="11"/>
    </row>
    <row r="52" spans="1:62" x14ac:dyDescent="0.2">
      <c r="A52" s="13" t="s">
        <v>149</v>
      </c>
      <c r="B52" s="13" t="s">
        <v>135</v>
      </c>
      <c r="C52" s="8">
        <v>42889</v>
      </c>
      <c r="D52" s="14">
        <v>-24.219936000000001</v>
      </c>
      <c r="E52" s="14">
        <v>-69.063374999999994</v>
      </c>
      <c r="F52" s="65" t="s">
        <v>9</v>
      </c>
      <c r="G52" s="70"/>
      <c r="H52" s="2">
        <v>6.5351208590162191</v>
      </c>
      <c r="I52" s="2">
        <v>0.23398885379658599</v>
      </c>
      <c r="J52" s="2">
        <v>25.697213024533937</v>
      </c>
      <c r="K52" s="2">
        <v>1.6126007278017409</v>
      </c>
      <c r="L52" s="2">
        <v>0.13320393175073317</v>
      </c>
      <c r="M52" s="2">
        <v>5.4516407274708598</v>
      </c>
      <c r="S52" s="2">
        <v>39.663768124370073</v>
      </c>
      <c r="T52" s="70"/>
      <c r="U52" s="1">
        <v>3.1320340633392298</v>
      </c>
      <c r="V52" s="1">
        <v>2.3344641616390001</v>
      </c>
      <c r="W52" s="1">
        <v>4.4214026331901604</v>
      </c>
      <c r="X52" s="1">
        <v>3055.1178340000001</v>
      </c>
      <c r="Y52" s="1">
        <v>743</v>
      </c>
      <c r="Z52" s="70"/>
      <c r="AA52" s="13" t="s">
        <v>86</v>
      </c>
      <c r="AB52" s="13" t="s">
        <v>87</v>
      </c>
      <c r="AC52" s="13" t="s">
        <v>113</v>
      </c>
      <c r="AD52" s="1">
        <v>23</v>
      </c>
      <c r="AT52" s="10">
        <v>604.06032093333295</v>
      </c>
      <c r="AU52" s="11">
        <v>0.71067704354983641</v>
      </c>
      <c r="AV52" s="10">
        <v>2796.6304587164</v>
      </c>
      <c r="AX52" s="10">
        <v>818.51105819999998</v>
      </c>
      <c r="AY52" s="1">
        <v>100</v>
      </c>
      <c r="AZ52" s="10">
        <f>AE52+AT52+AX52</f>
        <v>1422.5713791333328</v>
      </c>
      <c r="BB52" s="1">
        <v>18.117378791150937</v>
      </c>
      <c r="BF52" s="1">
        <v>29.152528099999998</v>
      </c>
      <c r="BG52" s="1">
        <v>15.348213781816129</v>
      </c>
      <c r="BJ52" s="11"/>
    </row>
    <row r="53" spans="1:62" x14ac:dyDescent="0.2">
      <c r="A53" s="13" t="s">
        <v>150</v>
      </c>
      <c r="B53" s="13" t="s">
        <v>135</v>
      </c>
      <c r="C53" s="8">
        <v>42686</v>
      </c>
      <c r="D53" s="14">
        <v>-22.84722</v>
      </c>
      <c r="E53" s="14">
        <v>-69.338890000000006</v>
      </c>
      <c r="F53" s="65" t="s">
        <v>125</v>
      </c>
      <c r="G53" s="70"/>
      <c r="H53" s="2">
        <v>1.9323319075493601</v>
      </c>
      <c r="I53" s="2">
        <v>7.2667184530539499</v>
      </c>
      <c r="J53" s="2">
        <v>7.745174761692069</v>
      </c>
      <c r="K53" s="2">
        <v>1.8645931937356939</v>
      </c>
      <c r="L53" s="2">
        <v>8.3042411856012285E-2</v>
      </c>
      <c r="S53" s="2">
        <v>18.891860727887082</v>
      </c>
      <c r="T53" s="70"/>
      <c r="U53" s="1">
        <v>0.93349766731262196</v>
      </c>
      <c r="V53" s="1">
        <v>0.95639854984787798</v>
      </c>
      <c r="W53" s="1">
        <v>2.26711681485176</v>
      </c>
      <c r="X53" s="1">
        <v>1595.6987180000001</v>
      </c>
      <c r="Y53" s="1">
        <v>285</v>
      </c>
      <c r="Z53" s="70"/>
      <c r="AA53" s="13"/>
      <c r="AB53" s="13" t="s">
        <v>87</v>
      </c>
      <c r="AC53" s="13" t="s">
        <v>88</v>
      </c>
      <c r="BA53" s="1">
        <v>36.141955699999997</v>
      </c>
      <c r="BC53" s="1">
        <v>20.250835458620688</v>
      </c>
      <c r="BD53" s="1">
        <v>0.6239827165744658</v>
      </c>
      <c r="BE53" s="1">
        <v>0.82328136499294102</v>
      </c>
      <c r="BJ53" s="11"/>
    </row>
    <row r="54" spans="1:62" x14ac:dyDescent="0.2">
      <c r="A54" s="13" t="s">
        <v>151</v>
      </c>
      <c r="B54" s="13" t="s">
        <v>135</v>
      </c>
      <c r="C54" s="8">
        <v>41961</v>
      </c>
      <c r="D54" s="14">
        <v>-20.063889</v>
      </c>
      <c r="E54" s="14">
        <v>-69.268889000000001</v>
      </c>
      <c r="F54" s="65" t="s">
        <v>9</v>
      </c>
      <c r="G54" s="70"/>
      <c r="H54" s="2">
        <v>2.8685207941700801</v>
      </c>
      <c r="I54" s="2">
        <v>0.104629254963647</v>
      </c>
      <c r="J54" s="2">
        <v>8.5773868867794238</v>
      </c>
      <c r="K54" s="2">
        <v>1.2757064136584466</v>
      </c>
      <c r="L54" s="2">
        <v>0.16871251644484886</v>
      </c>
      <c r="M54" s="2">
        <v>2.1170451055808641</v>
      </c>
      <c r="S54" s="2">
        <v>15.112000971597309</v>
      </c>
      <c r="T54" s="70"/>
      <c r="U54" s="1">
        <v>2.94637203216553</v>
      </c>
      <c r="V54" s="1">
        <v>2.8741785206232899</v>
      </c>
      <c r="W54" s="1">
        <v>3.9193786978721601</v>
      </c>
      <c r="X54" s="1">
        <v>2491.8057319999998</v>
      </c>
      <c r="Y54" s="1">
        <v>1067</v>
      </c>
      <c r="Z54" s="70"/>
      <c r="AA54" s="13" t="s">
        <v>86</v>
      </c>
      <c r="AB54" s="13" t="s">
        <v>87</v>
      </c>
      <c r="AC54" s="13" t="s">
        <v>113</v>
      </c>
      <c r="AD54" s="1">
        <v>21</v>
      </c>
      <c r="AT54" s="10">
        <v>284.18851875036898</v>
      </c>
      <c r="AU54" s="11">
        <v>0.92822882894365522</v>
      </c>
      <c r="AV54" s="10">
        <v>1891.2652607709699</v>
      </c>
      <c r="AX54" s="10">
        <v>880.03800833481102</v>
      </c>
      <c r="AY54" s="1">
        <v>100</v>
      </c>
      <c r="AZ54" s="10">
        <f>AE54+AX54</f>
        <v>880.03800833481102</v>
      </c>
      <c r="BB54" s="1">
        <v>12.709559984190486</v>
      </c>
      <c r="BF54" s="1">
        <v>39.117381007657222</v>
      </c>
      <c r="BG54" s="1">
        <v>21.700895577473752</v>
      </c>
      <c r="BJ54" s="11"/>
    </row>
    <row r="55" spans="1:62" x14ac:dyDescent="0.2">
      <c r="A55" s="13" t="s">
        <v>152</v>
      </c>
      <c r="B55" s="13" t="s">
        <v>135</v>
      </c>
      <c r="C55" s="8">
        <v>42885</v>
      </c>
      <c r="D55" s="14">
        <v>-30.254722000000001</v>
      </c>
      <c r="E55" s="14">
        <v>-71.104721999999995</v>
      </c>
      <c r="F55" s="65" t="s">
        <v>9</v>
      </c>
      <c r="G55" s="70"/>
      <c r="H55" s="2">
        <v>2.9756125270410108</v>
      </c>
      <c r="I55" s="2">
        <v>2.5661686838039901</v>
      </c>
      <c r="J55" s="2">
        <v>5.0121236603613619</v>
      </c>
      <c r="K55" s="2">
        <v>0.91955918436580131</v>
      </c>
      <c r="L55" s="2">
        <v>0.1295074687250477</v>
      </c>
      <c r="M55" s="2">
        <v>2.2881917612689398</v>
      </c>
      <c r="S55" s="2">
        <v>13.891163285566151</v>
      </c>
      <c r="T55" s="70"/>
      <c r="U55" s="1">
        <v>2.8541221618652299</v>
      </c>
      <c r="V55" s="1">
        <v>3.2380853657211599</v>
      </c>
      <c r="W55" s="1">
        <v>7.6979649215936696</v>
      </c>
      <c r="X55" s="1">
        <v>980.75238100000001</v>
      </c>
      <c r="Y55" s="1">
        <v>808</v>
      </c>
      <c r="Z55" s="70"/>
      <c r="AA55" s="13" t="s">
        <v>86</v>
      </c>
      <c r="AB55" s="13" t="s">
        <v>87</v>
      </c>
      <c r="AC55" s="13" t="s">
        <v>110</v>
      </c>
      <c r="AD55" s="1">
        <v>22</v>
      </c>
      <c r="AE55" s="10">
        <v>119.100736263736</v>
      </c>
      <c r="AF55" s="11">
        <v>0.47089573449089683</v>
      </c>
      <c r="AG55" s="26">
        <v>0.16484639884216584</v>
      </c>
      <c r="AK55" s="10">
        <v>1957.2183896966999</v>
      </c>
      <c r="AL55" s="10">
        <v>489.304597424176</v>
      </c>
      <c r="AM55" s="10">
        <v>11.7799964835165</v>
      </c>
      <c r="AT55" s="18">
        <v>51.783883000000003</v>
      </c>
      <c r="AU55" s="11">
        <v>0.72988100911629206</v>
      </c>
      <c r="AV55" s="10">
        <v>320.00082283995602</v>
      </c>
      <c r="AW55" s="10">
        <f>AE55-(AK55/1000)</f>
        <v>117.14351787403929</v>
      </c>
      <c r="AX55" s="10">
        <v>280.89680640109901</v>
      </c>
      <c r="AY55" s="1">
        <v>100</v>
      </c>
      <c r="AZ55" s="10">
        <f>AE55+AT55+AX55</f>
        <v>451.78142566483501</v>
      </c>
      <c r="BA55" s="1">
        <v>27.721965669218328</v>
      </c>
      <c r="BB55" s="1">
        <v>16.918394463313589</v>
      </c>
      <c r="BC55" s="1">
        <v>23.18937426194465</v>
      </c>
      <c r="BD55" s="1">
        <v>0.89287126300297215</v>
      </c>
      <c r="BE55" s="1">
        <v>0.93596594854885751</v>
      </c>
      <c r="BJ55" s="11"/>
    </row>
    <row r="56" spans="1:62" x14ac:dyDescent="0.2">
      <c r="A56" s="13" t="s">
        <v>153</v>
      </c>
      <c r="B56" s="13" t="s">
        <v>135</v>
      </c>
      <c r="C56" s="8">
        <v>40338</v>
      </c>
      <c r="D56" s="14">
        <v>-23.427778</v>
      </c>
      <c r="E56" s="14">
        <v>-69.511388999999994</v>
      </c>
      <c r="F56" s="65" t="s">
        <v>9</v>
      </c>
      <c r="G56" s="70"/>
      <c r="H56" s="2">
        <v>1.2934087659292099</v>
      </c>
      <c r="J56" s="2">
        <v>1.7701757127198485</v>
      </c>
      <c r="K56" s="2">
        <v>0.66225333536498676</v>
      </c>
      <c r="L56" s="2">
        <v>0.16365251355625807</v>
      </c>
      <c r="M56" s="2">
        <v>4.8057856557583234</v>
      </c>
      <c r="S56" s="2">
        <v>8.6952759833286262</v>
      </c>
      <c r="T56" s="70"/>
      <c r="U56" s="1">
        <v>3.5437759160995501</v>
      </c>
      <c r="V56" s="1">
        <v>3.4203196318867901</v>
      </c>
      <c r="W56" s="1">
        <v>7.8207707405090297</v>
      </c>
      <c r="X56" s="1">
        <v>1677.516026</v>
      </c>
      <c r="Y56" s="1">
        <v>710</v>
      </c>
      <c r="Z56" s="70"/>
      <c r="AA56" s="13" t="s">
        <v>86</v>
      </c>
      <c r="AB56" s="13" t="s">
        <v>87</v>
      </c>
      <c r="AC56" s="13" t="s">
        <v>113</v>
      </c>
      <c r="AD56" s="1">
        <v>13</v>
      </c>
      <c r="AT56" s="10">
        <v>351.64365149999998</v>
      </c>
      <c r="AU56" s="11">
        <v>0.33078679959765028</v>
      </c>
      <c r="AV56" s="10">
        <v>710.23149999999998</v>
      </c>
      <c r="AX56" s="18">
        <v>89.293029000000004</v>
      </c>
      <c r="AY56" s="1">
        <v>100</v>
      </c>
      <c r="AZ56" s="10">
        <f>AE56+AT56+AX56</f>
        <v>440.93668049999997</v>
      </c>
      <c r="BB56" s="1">
        <v>13.934122455485282</v>
      </c>
      <c r="BF56" s="1">
        <v>16.16357398576779</v>
      </c>
      <c r="BG56" s="1">
        <v>8.0817823780553333</v>
      </c>
      <c r="BJ56" s="11"/>
    </row>
    <row r="57" spans="1:62" x14ac:dyDescent="0.2">
      <c r="A57" s="13" t="s">
        <v>154</v>
      </c>
      <c r="B57" s="13" t="s">
        <v>135</v>
      </c>
      <c r="C57" s="8">
        <v>41981</v>
      </c>
      <c r="D57" s="14">
        <v>-26.241667</v>
      </c>
      <c r="E57" s="14">
        <v>-69.557221999999996</v>
      </c>
      <c r="F57" s="65" t="s">
        <v>125</v>
      </c>
      <c r="G57" s="70"/>
      <c r="H57" s="2">
        <v>3.1016424723887721</v>
      </c>
      <c r="I57" s="2">
        <v>6.2774124767632999E-2</v>
      </c>
      <c r="J57" s="2">
        <v>8.2120212349919033</v>
      </c>
      <c r="K57" s="2">
        <v>1.4722835313029725</v>
      </c>
      <c r="L57" s="2">
        <v>0.10299248217986512</v>
      </c>
      <c r="M57" s="2">
        <v>0.90250786815988093</v>
      </c>
      <c r="N57" s="2">
        <v>1.5883501326001099</v>
      </c>
      <c r="S57" s="2">
        <v>15.442571846391138</v>
      </c>
      <c r="T57" s="70"/>
      <c r="U57" s="1">
        <v>4.1467990875244096</v>
      </c>
      <c r="V57" s="1">
        <v>3.6413932552762902</v>
      </c>
      <c r="W57" s="1">
        <v>7.4080411195754996</v>
      </c>
      <c r="X57" s="1">
        <v>2553.7101910000001</v>
      </c>
      <c r="Y57" s="1">
        <v>1174</v>
      </c>
      <c r="Z57" s="70"/>
      <c r="AA57" s="13"/>
      <c r="AB57" s="13" t="s">
        <v>96</v>
      </c>
      <c r="AC57" s="13" t="s">
        <v>110</v>
      </c>
      <c r="BA57" s="1">
        <v>40.412570860551575</v>
      </c>
      <c r="BB57" s="1">
        <v>14.035249829781911</v>
      </c>
      <c r="BC57" s="1">
        <v>26.948061350577806</v>
      </c>
      <c r="BD57" s="1">
        <v>0.77581599567585824</v>
      </c>
      <c r="BE57" s="1">
        <v>0.83190160058847185</v>
      </c>
      <c r="BJ57" s="11"/>
    </row>
    <row r="58" spans="1:62" x14ac:dyDescent="0.2">
      <c r="A58" s="13" t="s">
        <v>155</v>
      </c>
      <c r="B58" s="13" t="s">
        <v>135</v>
      </c>
      <c r="C58" s="8">
        <v>42441</v>
      </c>
      <c r="D58" s="14">
        <v>-21</v>
      </c>
      <c r="E58" s="14">
        <v>-68.8</v>
      </c>
      <c r="F58" s="65" t="s">
        <v>9</v>
      </c>
      <c r="G58" s="70"/>
      <c r="H58" s="2">
        <v>2.7516929214471997</v>
      </c>
      <c r="J58" s="2">
        <v>7.170903634490557</v>
      </c>
      <c r="K58" s="2">
        <v>1.0118516352743336</v>
      </c>
      <c r="L58" s="2">
        <v>7.650511919139788E-2</v>
      </c>
      <c r="M58" s="2">
        <v>1.43223252133554</v>
      </c>
      <c r="S58" s="2">
        <v>12.443185831739028</v>
      </c>
      <c r="T58" s="70"/>
      <c r="U58" s="1">
        <v>2.6655716896057098</v>
      </c>
      <c r="V58" s="1">
        <v>3.1706045688707598</v>
      </c>
      <c r="W58" s="1">
        <v>5.2945559620857203</v>
      </c>
      <c r="X58" s="1">
        <v>4267.8829109999997</v>
      </c>
      <c r="Y58" s="1">
        <v>1131</v>
      </c>
      <c r="Z58" s="70"/>
      <c r="AA58" s="13" t="s">
        <v>86</v>
      </c>
      <c r="AB58" s="13" t="s">
        <v>87</v>
      </c>
      <c r="AC58" s="13" t="s">
        <v>113</v>
      </c>
      <c r="AD58" s="1">
        <v>22</v>
      </c>
      <c r="AT58" s="10">
        <v>642.02865821992395</v>
      </c>
      <c r="AU58" s="11">
        <v>0.31611462738474105</v>
      </c>
      <c r="AV58" s="10">
        <v>1131.607</v>
      </c>
      <c r="AX58" s="18">
        <v>136.36340059518801</v>
      </c>
      <c r="AY58" s="1">
        <v>100</v>
      </c>
      <c r="AZ58" s="10">
        <f>AE58+AT58+AX58</f>
        <v>778.39205881511202</v>
      </c>
      <c r="BB58" s="1">
        <v>10.618754472643193</v>
      </c>
      <c r="BF58" s="1">
        <v>26.389170509150038</v>
      </c>
      <c r="BG58" s="1">
        <v>23.316202374241108</v>
      </c>
      <c r="BJ58" s="11"/>
    </row>
    <row r="59" spans="1:62" x14ac:dyDescent="0.2">
      <c r="A59" s="13" t="s">
        <v>156</v>
      </c>
      <c r="B59" s="13" t="s">
        <v>135</v>
      </c>
      <c r="C59" s="8">
        <v>41641</v>
      </c>
      <c r="D59" s="14">
        <v>-23.442056000000001</v>
      </c>
      <c r="E59" s="14">
        <v>-70.054491999999996</v>
      </c>
      <c r="F59" s="65" t="s">
        <v>9</v>
      </c>
      <c r="G59" s="70"/>
      <c r="H59" s="2">
        <v>3.2386677394763574</v>
      </c>
      <c r="I59" s="2">
        <v>1.5087401680157251</v>
      </c>
      <c r="J59" s="2">
        <v>11.274709692704571</v>
      </c>
      <c r="K59" s="2">
        <v>1.2529953797653977</v>
      </c>
      <c r="L59" s="2">
        <v>6.0474724049776586E-2</v>
      </c>
      <c r="M59" s="2">
        <v>2.3480663371183543</v>
      </c>
      <c r="S59" s="2">
        <v>19.683654041130183</v>
      </c>
      <c r="T59" s="70"/>
      <c r="U59" s="1">
        <v>3.0836629867553702</v>
      </c>
      <c r="V59" s="1">
        <v>2.4462673029484501</v>
      </c>
      <c r="W59" s="1">
        <v>6.3824679404497102</v>
      </c>
      <c r="X59" s="1">
        <v>983.4089457</v>
      </c>
      <c r="Y59" s="1">
        <v>517</v>
      </c>
      <c r="Z59" s="70"/>
      <c r="AA59" s="13"/>
      <c r="AB59" s="13" t="s">
        <v>87</v>
      </c>
      <c r="AC59" s="13" t="s">
        <v>110</v>
      </c>
      <c r="BA59" s="1">
        <v>41.803625199999999</v>
      </c>
      <c r="BC59" s="1">
        <v>35.111491341915006</v>
      </c>
      <c r="BD59" s="1">
        <v>1</v>
      </c>
      <c r="BE59" s="1">
        <v>1</v>
      </c>
      <c r="BF59" s="1">
        <v>16.501431</v>
      </c>
      <c r="BG59" s="1">
        <v>11.22097308</v>
      </c>
      <c r="BJ59" s="11"/>
    </row>
    <row r="60" spans="1:62" x14ac:dyDescent="0.2">
      <c r="A60" s="13" t="s">
        <v>157</v>
      </c>
      <c r="B60" s="13" t="s">
        <v>135</v>
      </c>
      <c r="C60" s="8">
        <v>42961</v>
      </c>
      <c r="D60" s="14">
        <v>-32.647221999999999</v>
      </c>
      <c r="E60" s="14">
        <v>-71.11</v>
      </c>
      <c r="F60" s="65" t="s">
        <v>9</v>
      </c>
      <c r="G60" s="70"/>
      <c r="H60" s="2">
        <v>0.76337732432675998</v>
      </c>
      <c r="I60" s="2">
        <v>1.80900946897058</v>
      </c>
      <c r="J60" s="2">
        <v>7.6899007447424816</v>
      </c>
      <c r="K60" s="2">
        <v>0.6212611529964136</v>
      </c>
      <c r="L60" s="2">
        <v>0.10014554700952015</v>
      </c>
      <c r="S60" s="2">
        <v>10.983694238045755</v>
      </c>
      <c r="T60" s="70"/>
      <c r="U60" s="1">
        <v>10.4080891609192</v>
      </c>
      <c r="V60" s="1">
        <v>8.0838300510058296</v>
      </c>
      <c r="W60" s="1">
        <v>17.871843338012699</v>
      </c>
      <c r="X60" s="1">
        <v>1145.5936509999999</v>
      </c>
      <c r="Y60" s="1">
        <v>2118</v>
      </c>
      <c r="Z60" s="70"/>
      <c r="AA60" s="13"/>
      <c r="AB60" s="13" t="s">
        <v>96</v>
      </c>
      <c r="AC60" s="13" t="s">
        <v>110</v>
      </c>
      <c r="BA60" s="1">
        <v>42.353672899999999</v>
      </c>
      <c r="BC60" s="1">
        <v>33.009869681831894</v>
      </c>
      <c r="BD60" s="1">
        <v>1</v>
      </c>
      <c r="BE60" s="1">
        <v>1</v>
      </c>
      <c r="BJ60" s="11"/>
    </row>
    <row r="61" spans="1:62" x14ac:dyDescent="0.2">
      <c r="A61" s="13" t="s">
        <v>158</v>
      </c>
      <c r="B61" s="13" t="s">
        <v>135</v>
      </c>
      <c r="C61" s="8">
        <v>42748</v>
      </c>
      <c r="D61" s="14">
        <v>-26.564150000000001</v>
      </c>
      <c r="E61" s="14">
        <v>-70.311953000000003</v>
      </c>
      <c r="F61" s="65" t="s">
        <v>9</v>
      </c>
      <c r="G61" s="70"/>
      <c r="H61" s="2">
        <v>2.7083312104431481</v>
      </c>
      <c r="J61" s="2">
        <v>7.3943604809982295</v>
      </c>
      <c r="K61" s="2">
        <v>0.65509849827256084</v>
      </c>
      <c r="L61" s="2">
        <v>9.0698423281706672E-2</v>
      </c>
      <c r="M61" s="2">
        <v>4.5862634551929755</v>
      </c>
      <c r="S61" s="2">
        <v>15.434752068188621</v>
      </c>
      <c r="T61" s="70"/>
      <c r="U61" s="1">
        <v>2.5199742317199698</v>
      </c>
      <c r="V61" s="1">
        <v>2.7908357307314899</v>
      </c>
      <c r="W61" s="1">
        <v>5.91782426834106</v>
      </c>
      <c r="X61" s="1">
        <v>980.72115380000002</v>
      </c>
      <c r="Y61" s="1">
        <v>799</v>
      </c>
      <c r="Z61" s="70"/>
      <c r="AA61" s="13"/>
      <c r="AB61" s="13" t="s">
        <v>87</v>
      </c>
      <c r="AC61" s="13" t="s">
        <v>113</v>
      </c>
      <c r="BF61" s="1">
        <v>20.525442720956804</v>
      </c>
      <c r="BG61" s="1">
        <v>14.156493342682529</v>
      </c>
      <c r="BJ61" s="11"/>
    </row>
    <row r="62" spans="1:62" x14ac:dyDescent="0.2">
      <c r="A62" s="13" t="s">
        <v>159</v>
      </c>
      <c r="B62" s="13" t="s">
        <v>135</v>
      </c>
      <c r="C62" s="8">
        <v>41982</v>
      </c>
      <c r="D62" s="14">
        <v>-22.683964</v>
      </c>
      <c r="E62" s="14">
        <v>-70.172689000000005</v>
      </c>
      <c r="F62" s="65" t="s">
        <v>9</v>
      </c>
      <c r="G62" s="70"/>
      <c r="H62" s="2">
        <v>1.0362964545717341</v>
      </c>
      <c r="J62" s="2">
        <v>5.2245886983551397</v>
      </c>
      <c r="K62" s="2">
        <v>0.72864893311359902</v>
      </c>
      <c r="L62" s="2">
        <v>5.1334658097519741E-2</v>
      </c>
      <c r="M62" s="2">
        <v>2.4233838714238272</v>
      </c>
      <c r="S62" s="2">
        <v>9.4642526155618203</v>
      </c>
      <c r="T62" s="70"/>
      <c r="U62" s="1">
        <v>5.2618653774261501</v>
      </c>
      <c r="V62" s="1">
        <v>4.0061769587329703</v>
      </c>
      <c r="W62" s="1">
        <v>7.4518581628799403</v>
      </c>
      <c r="X62" s="1">
        <v>898.34177220000004</v>
      </c>
      <c r="Y62" s="1">
        <v>994</v>
      </c>
      <c r="Z62" s="70"/>
      <c r="AA62" s="13" t="s">
        <v>86</v>
      </c>
      <c r="AB62" s="13" t="s">
        <v>87</v>
      </c>
      <c r="AC62" s="13" t="s">
        <v>113</v>
      </c>
      <c r="AD62" s="1">
        <v>23</v>
      </c>
      <c r="AT62" s="10">
        <v>101.78025</v>
      </c>
      <c r="AU62" s="11">
        <v>1.2671974179666488</v>
      </c>
      <c r="AV62" s="10">
        <v>1015.7</v>
      </c>
      <c r="AX62" s="18">
        <v>149.50825</v>
      </c>
      <c r="AY62" s="1">
        <v>100</v>
      </c>
      <c r="AZ62" s="10">
        <f>AE62+AT62+AX62</f>
        <v>251.2885</v>
      </c>
      <c r="BF62" s="1">
        <v>70.406105600000004</v>
      </c>
      <c r="BG62" s="1">
        <v>75.093579661016946</v>
      </c>
      <c r="BJ62" s="11"/>
    </row>
    <row r="63" spans="1:62" x14ac:dyDescent="0.2">
      <c r="A63" s="13" t="s">
        <v>160</v>
      </c>
      <c r="B63" s="13" t="s">
        <v>135</v>
      </c>
      <c r="C63" s="8">
        <v>42626</v>
      </c>
      <c r="D63" s="14">
        <v>-25.837933</v>
      </c>
      <c r="E63" s="14">
        <v>-69.862882999999997</v>
      </c>
      <c r="F63" s="65" t="s">
        <v>9</v>
      </c>
      <c r="G63" s="70"/>
      <c r="H63" s="2">
        <v>0.64172724254859659</v>
      </c>
      <c r="J63" s="2">
        <v>1.8108294871449506</v>
      </c>
      <c r="K63" s="2">
        <v>0.47533310521346461</v>
      </c>
      <c r="L63" s="2">
        <v>5.1714911633595671E-2</v>
      </c>
      <c r="M63" s="2">
        <v>0.39772731837719599</v>
      </c>
      <c r="S63" s="2">
        <v>3.3773320649178031</v>
      </c>
      <c r="T63" s="70"/>
      <c r="U63" s="1">
        <v>1.64404356479645</v>
      </c>
      <c r="V63" s="1">
        <v>2.6158402097491802</v>
      </c>
      <c r="W63" s="1">
        <v>5.9751497507095301</v>
      </c>
      <c r="X63" s="1">
        <v>1673.894569</v>
      </c>
      <c r="Y63" s="1">
        <v>883</v>
      </c>
      <c r="Z63" s="70"/>
      <c r="AA63" s="13"/>
      <c r="AB63" s="13" t="s">
        <v>87</v>
      </c>
      <c r="AC63" s="13" t="s">
        <v>113</v>
      </c>
      <c r="BF63" s="1">
        <v>44.003816</v>
      </c>
      <c r="BG63" s="1">
        <v>25.711532023255813</v>
      </c>
      <c r="BJ63" s="11"/>
    </row>
    <row r="64" spans="1:62" x14ac:dyDescent="0.2">
      <c r="A64" s="13" t="s">
        <v>161</v>
      </c>
      <c r="B64" s="13" t="s">
        <v>135</v>
      </c>
      <c r="C64" s="8">
        <v>42523</v>
      </c>
      <c r="D64" s="14">
        <v>-22.622</v>
      </c>
      <c r="E64" s="14">
        <v>-69.885000000000005</v>
      </c>
      <c r="F64" s="65" t="s">
        <v>9</v>
      </c>
      <c r="G64" s="70"/>
      <c r="H64" s="2">
        <v>0.61021860475729195</v>
      </c>
      <c r="J64" s="2">
        <v>2.5013504845975816</v>
      </c>
      <c r="K64" s="2">
        <v>0.73250766031892489</v>
      </c>
      <c r="L64" s="2">
        <v>0.10864152884586895</v>
      </c>
      <c r="M64" s="2">
        <v>2.2045539273127299</v>
      </c>
      <c r="S64" s="2">
        <v>6.1572722058323972</v>
      </c>
      <c r="T64" s="70"/>
      <c r="U64" s="1">
        <v>1.3746944069862399</v>
      </c>
      <c r="V64" s="1">
        <v>2.0844551335318</v>
      </c>
      <c r="W64" s="1">
        <v>4.4896555542945897</v>
      </c>
      <c r="X64" s="1">
        <v>1556.5814700000001</v>
      </c>
      <c r="Y64" s="1">
        <v>518</v>
      </c>
      <c r="Z64" s="70"/>
      <c r="AA64" s="13" t="s">
        <v>86</v>
      </c>
      <c r="AB64" s="13" t="s">
        <v>87</v>
      </c>
      <c r="AC64" s="13" t="s">
        <v>113</v>
      </c>
      <c r="AD64" s="1">
        <v>2</v>
      </c>
      <c r="AT64" s="18">
        <v>23.907499999999999</v>
      </c>
      <c r="AU64" s="11">
        <v>0.37548091603053435</v>
      </c>
      <c r="AV64" s="10">
        <v>45.3</v>
      </c>
      <c r="AX64" s="18">
        <v>59.3855</v>
      </c>
      <c r="AY64" s="1">
        <v>100</v>
      </c>
      <c r="AZ64" s="10">
        <f>AE64+AT64+AX64</f>
        <v>83.293000000000006</v>
      </c>
      <c r="BF64" s="1">
        <v>18.701621800000002</v>
      </c>
      <c r="BG64" s="1">
        <v>9.3508109000000008</v>
      </c>
      <c r="BJ64" s="11"/>
    </row>
    <row r="65" spans="1:62" x14ac:dyDescent="0.2">
      <c r="A65" s="13" t="s">
        <v>162</v>
      </c>
      <c r="B65" s="13" t="s">
        <v>135</v>
      </c>
      <c r="C65" s="8">
        <v>42885</v>
      </c>
      <c r="D65" s="14">
        <v>-30.861160999999999</v>
      </c>
      <c r="E65" s="14">
        <v>-71.229356999999993</v>
      </c>
      <c r="F65" s="65" t="s">
        <v>103</v>
      </c>
      <c r="G65" s="70"/>
      <c r="I65" s="2">
        <v>0.15261207125618301</v>
      </c>
      <c r="J65" s="2">
        <v>0.76154113248243782</v>
      </c>
      <c r="K65" s="2">
        <v>0.20876802177951664</v>
      </c>
      <c r="L65" s="2">
        <v>1.3173383502984411E-2</v>
      </c>
      <c r="S65" s="2">
        <v>1.1360946090211219</v>
      </c>
      <c r="T65" s="70"/>
      <c r="U65" s="1">
        <v>3.8543727397918701</v>
      </c>
      <c r="V65" s="1">
        <v>2.7120796145445998</v>
      </c>
      <c r="W65" s="1">
        <v>7.00389792025089</v>
      </c>
      <c r="X65" s="1">
        <v>603.51446950000002</v>
      </c>
      <c r="Y65" s="1">
        <v>651</v>
      </c>
      <c r="Z65" s="70"/>
      <c r="AA65" s="13"/>
      <c r="AB65" s="13" t="s">
        <v>91</v>
      </c>
      <c r="AC65" s="13" t="s">
        <v>88</v>
      </c>
      <c r="BA65" s="1">
        <v>81.734199989710604</v>
      </c>
      <c r="BC65" s="1">
        <v>68.589504074855299</v>
      </c>
      <c r="BD65" s="1">
        <v>0.96907865752611799</v>
      </c>
      <c r="BE65" s="1">
        <v>0.9815763998894611</v>
      </c>
      <c r="BJ65" s="11"/>
    </row>
    <row r="66" spans="1:62" x14ac:dyDescent="0.2">
      <c r="A66" s="13" t="s">
        <v>163</v>
      </c>
      <c r="B66" s="13" t="s">
        <v>135</v>
      </c>
      <c r="C66" s="8">
        <v>42429</v>
      </c>
      <c r="D66" s="14">
        <v>-31.66667</v>
      </c>
      <c r="E66" s="14">
        <v>-70.95</v>
      </c>
      <c r="F66" s="65" t="s">
        <v>9</v>
      </c>
      <c r="G66" s="70"/>
      <c r="H66" s="2">
        <v>7.0156468718446705E-2</v>
      </c>
      <c r="I66" s="2" t="s">
        <v>114</v>
      </c>
      <c r="J66" s="2">
        <v>0.42662307165339863</v>
      </c>
      <c r="K66" s="2">
        <v>0.11277894341203781</v>
      </c>
      <c r="L66" s="2">
        <v>5.0886793878599804E-2</v>
      </c>
      <c r="M66" s="2">
        <v>0.45822338543686203</v>
      </c>
      <c r="N66" s="2" t="s">
        <v>114</v>
      </c>
      <c r="O66" s="2" t="s">
        <v>114</v>
      </c>
      <c r="P66" s="2" t="s">
        <v>114</v>
      </c>
      <c r="Q66" s="2" t="s">
        <v>114</v>
      </c>
      <c r="S66" s="2">
        <v>1.1186686630993448</v>
      </c>
      <c r="T66" s="70"/>
      <c r="U66" s="1">
        <v>7.7007803916931197</v>
      </c>
      <c r="V66" s="1">
        <v>7.1594409225862199</v>
      </c>
      <c r="W66" s="1">
        <v>14.0854523181915</v>
      </c>
      <c r="X66" s="1">
        <v>1367.9810130000001</v>
      </c>
      <c r="Y66" s="1">
        <v>1788</v>
      </c>
      <c r="Z66" s="70"/>
      <c r="AA66" s="13" t="s">
        <v>86</v>
      </c>
      <c r="AB66" s="13" t="s">
        <v>87</v>
      </c>
      <c r="AC66" s="13" t="s">
        <v>113</v>
      </c>
      <c r="AD66" s="1">
        <v>6</v>
      </c>
      <c r="AT66" s="18">
        <v>4.4222222222222198</v>
      </c>
      <c r="AU66" s="11">
        <v>1.4999999999999998</v>
      </c>
      <c r="AV66" s="10">
        <v>49.6</v>
      </c>
      <c r="AX66" s="18">
        <v>8.8444444444444503</v>
      </c>
      <c r="AY66" s="1">
        <v>100</v>
      </c>
      <c r="AZ66" s="10">
        <f>AE66+AT66+AX66</f>
        <v>13.266666666666669</v>
      </c>
      <c r="BF66" s="1">
        <v>82.507154999999997</v>
      </c>
      <c r="BG66" s="1">
        <v>70.131075704217608</v>
      </c>
      <c r="BJ66" s="11"/>
    </row>
    <row r="67" spans="1:62" x14ac:dyDescent="0.2">
      <c r="A67" s="13" t="s">
        <v>164</v>
      </c>
      <c r="B67" s="13" t="s">
        <v>165</v>
      </c>
      <c r="C67" s="8">
        <v>42275</v>
      </c>
      <c r="D67" s="14">
        <v>25.190550000000002</v>
      </c>
      <c r="E67" s="14">
        <v>116.395329</v>
      </c>
      <c r="F67" s="65" t="s">
        <v>85</v>
      </c>
      <c r="G67" s="70"/>
      <c r="H67" s="2">
        <v>1.94379280300332</v>
      </c>
      <c r="I67" s="2">
        <v>1.3667890633494451</v>
      </c>
      <c r="J67" s="2">
        <v>5.5897488628599392</v>
      </c>
      <c r="K67" s="2">
        <v>1.3559151066438648</v>
      </c>
      <c r="L67" s="2">
        <v>0.24318015632280032</v>
      </c>
      <c r="S67" s="2">
        <v>10.49942599217937</v>
      </c>
      <c r="T67" s="70"/>
      <c r="U67" s="1">
        <v>3.36645495891571</v>
      </c>
      <c r="V67" s="1">
        <v>2.87273977524959</v>
      </c>
      <c r="W67" s="1">
        <v>7.4711313843727103</v>
      </c>
      <c r="X67" s="1">
        <v>393.95192309999999</v>
      </c>
      <c r="Y67" s="1">
        <v>833</v>
      </c>
      <c r="Z67" s="70"/>
      <c r="AA67" s="13"/>
      <c r="AB67" s="13" t="s">
        <v>87</v>
      </c>
      <c r="AC67" s="13" t="s">
        <v>88</v>
      </c>
      <c r="BA67" s="1">
        <v>27.553514282280414</v>
      </c>
      <c r="BC67" s="1">
        <v>61.266037949999642</v>
      </c>
      <c r="BD67" s="1">
        <v>0.77855260422426875</v>
      </c>
      <c r="BE67" s="1">
        <v>0.29762135540543971</v>
      </c>
      <c r="BJ67" s="11"/>
    </row>
    <row r="68" spans="1:62" x14ac:dyDescent="0.2">
      <c r="A68" s="13" t="s">
        <v>166</v>
      </c>
      <c r="B68" s="13" t="s">
        <v>165</v>
      </c>
      <c r="C68" s="8">
        <v>42630</v>
      </c>
      <c r="D68" s="14">
        <v>50.131292999999999</v>
      </c>
      <c r="E68" s="14">
        <v>125.788633</v>
      </c>
      <c r="F68" s="65" t="s">
        <v>125</v>
      </c>
      <c r="G68" s="70"/>
      <c r="H68" s="2">
        <v>1.07201278347054</v>
      </c>
      <c r="I68" s="1" t="s">
        <v>114</v>
      </c>
      <c r="J68" s="2">
        <v>2.5909235469679612</v>
      </c>
      <c r="K68" s="2">
        <v>0.59689337640600915</v>
      </c>
      <c r="L68" s="2">
        <v>2.488814854611503E-2</v>
      </c>
      <c r="M68" s="2">
        <v>0.20617086737090301</v>
      </c>
      <c r="S68" s="2">
        <v>4.490888722761528</v>
      </c>
      <c r="T68" s="70"/>
      <c r="U68" s="1">
        <v>0.44750460982322698</v>
      </c>
      <c r="V68" s="1">
        <v>0.51692592945342597</v>
      </c>
      <c r="W68" s="1">
        <v>0.88067744672298398</v>
      </c>
      <c r="X68" s="1">
        <v>442.7923323</v>
      </c>
      <c r="Y68" s="1">
        <v>140</v>
      </c>
      <c r="Z68" s="70"/>
      <c r="AA68" s="13"/>
      <c r="AB68" s="13" t="s">
        <v>87</v>
      </c>
      <c r="AC68" s="13" t="s">
        <v>88</v>
      </c>
      <c r="BA68" s="1">
        <v>22.981724051154963</v>
      </c>
      <c r="BC68" s="1">
        <v>18.212588222455889</v>
      </c>
      <c r="BD68" s="1">
        <v>0.91213524621052067</v>
      </c>
      <c r="BE68" s="1">
        <v>0.97833840139819594</v>
      </c>
      <c r="BJ68" s="11"/>
    </row>
    <row r="69" spans="1:62" x14ac:dyDescent="0.2">
      <c r="A69" s="13" t="s">
        <v>167</v>
      </c>
      <c r="B69" s="13" t="s">
        <v>168</v>
      </c>
      <c r="C69" s="8">
        <v>42658</v>
      </c>
      <c r="D69" s="14">
        <v>-10.568410999999999</v>
      </c>
      <c r="E69" s="14">
        <v>26.195633000000001</v>
      </c>
      <c r="F69" s="65" t="s">
        <v>169</v>
      </c>
      <c r="G69" s="70"/>
      <c r="H69" s="2">
        <v>1.5013337126460939</v>
      </c>
      <c r="I69" s="2">
        <v>2.10396265541435</v>
      </c>
      <c r="J69" s="2">
        <v>8.9030514870225961</v>
      </c>
      <c r="K69" s="2">
        <v>1.1094360842046633</v>
      </c>
      <c r="L69" s="2">
        <v>0.44586935352016605</v>
      </c>
      <c r="S69" s="2">
        <v>14.063653292807867</v>
      </c>
      <c r="T69" s="70"/>
      <c r="U69" s="1">
        <v>1.4477729797363299</v>
      </c>
      <c r="V69" s="1">
        <v>1.38871443012903</v>
      </c>
      <c r="W69" s="1">
        <v>2.5423827171325701</v>
      </c>
      <c r="X69" s="1">
        <v>1357.4180060000001</v>
      </c>
      <c r="Y69" s="1">
        <v>331</v>
      </c>
      <c r="Z69" s="70"/>
      <c r="AA69" s="13" t="s">
        <v>86</v>
      </c>
      <c r="AB69" s="13" t="s">
        <v>87</v>
      </c>
      <c r="AC69" s="13" t="s">
        <v>170</v>
      </c>
      <c r="AD69" s="1">
        <v>8</v>
      </c>
      <c r="AE69" s="18">
        <v>35.303233666666699</v>
      </c>
      <c r="AF69" s="11">
        <v>3.875816453206681</v>
      </c>
      <c r="AI69" s="11">
        <v>0.39182190118731436</v>
      </c>
      <c r="AJ69" s="1" t="s">
        <v>171</v>
      </c>
      <c r="AL69" s="10">
        <v>1263.5386424000001</v>
      </c>
      <c r="AQ69" s="10">
        <v>93.083457727866701</v>
      </c>
      <c r="AR69" s="1" t="s">
        <v>172</v>
      </c>
      <c r="AW69" s="10">
        <f>AE69-(AL69+AQ69)/1000</f>
        <v>33.946611566538834</v>
      </c>
      <c r="AX69" s="18">
        <v>53.297568666666699</v>
      </c>
      <c r="AY69" s="1">
        <v>100</v>
      </c>
      <c r="AZ69" s="10">
        <f>AE69+AX69</f>
        <v>88.600802333333405</v>
      </c>
      <c r="BA69" s="1">
        <v>342.30824200000001</v>
      </c>
      <c r="BB69" s="1">
        <v>147.10152693429734</v>
      </c>
      <c r="BC69" s="1">
        <v>289.34399338052771</v>
      </c>
      <c r="BD69" s="1">
        <v>0.64275133638178661</v>
      </c>
      <c r="BE69" s="1">
        <v>0.7130778009693951</v>
      </c>
      <c r="BJ69" s="11"/>
    </row>
    <row r="70" spans="1:62" x14ac:dyDescent="0.2">
      <c r="A70" s="13" t="s">
        <v>173</v>
      </c>
      <c r="B70" s="13" t="s">
        <v>168</v>
      </c>
      <c r="C70" s="8">
        <v>42950</v>
      </c>
      <c r="D70" s="14">
        <v>-10.714797000000001</v>
      </c>
      <c r="E70" s="14">
        <v>25.385542000000001</v>
      </c>
      <c r="F70" s="65" t="s">
        <v>169</v>
      </c>
      <c r="G70" s="70"/>
      <c r="H70" s="2">
        <v>7.2493716589764627</v>
      </c>
      <c r="I70" s="2">
        <v>17.459894814577343</v>
      </c>
      <c r="J70" s="2">
        <v>21.74017700090781</v>
      </c>
      <c r="K70" s="2">
        <v>3.417461261225212</v>
      </c>
      <c r="L70" s="2">
        <v>2.7369865604986319</v>
      </c>
      <c r="M70" s="2">
        <v>5.4967331187165502</v>
      </c>
      <c r="S70" s="2">
        <v>58.100624414902008</v>
      </c>
      <c r="T70" s="70"/>
      <c r="U70" s="1">
        <v>0.54289752244949296</v>
      </c>
      <c r="V70" s="1">
        <v>0.70350498442031195</v>
      </c>
      <c r="W70" s="1">
        <v>1.3937071859836601</v>
      </c>
      <c r="X70" s="1">
        <v>1450.7784810000001</v>
      </c>
      <c r="Y70" s="1">
        <v>203</v>
      </c>
      <c r="Z70" s="70"/>
      <c r="AA70" s="13" t="s">
        <v>86</v>
      </c>
      <c r="AB70" s="13" t="s">
        <v>87</v>
      </c>
      <c r="AC70" s="13" t="s">
        <v>170</v>
      </c>
      <c r="AD70" s="1">
        <v>10</v>
      </c>
      <c r="AE70" s="18">
        <v>32.828333000000001</v>
      </c>
      <c r="AF70" s="11">
        <v>3.8544416102752113</v>
      </c>
      <c r="AI70" s="11">
        <v>0.47341049397634039</v>
      </c>
      <c r="AJ70" s="1" t="s">
        <v>171</v>
      </c>
      <c r="AL70" s="10">
        <v>943.06682632577997</v>
      </c>
      <c r="AQ70" s="10">
        <v>68.564800599999998</v>
      </c>
      <c r="AR70" s="1" t="s">
        <v>172</v>
      </c>
      <c r="AW70" s="10">
        <f>AE70-((AL70+AQ70)/1000)</f>
        <v>31.816701373074221</v>
      </c>
      <c r="AX70" s="10">
        <v>229.04295500000001</v>
      </c>
      <c r="AY70" s="1">
        <v>100</v>
      </c>
      <c r="AZ70" s="10">
        <f>AE70+AX70</f>
        <v>261.87128799999999</v>
      </c>
      <c r="BA70" s="1">
        <v>349.1899009</v>
      </c>
      <c r="BB70" s="1">
        <v>42.480598824879969</v>
      </c>
      <c r="BC70" s="1">
        <v>224.29860947157923</v>
      </c>
      <c r="BD70" s="1">
        <v>0.62535868402029149</v>
      </c>
      <c r="BE70" s="1">
        <v>0.66431772717451165</v>
      </c>
      <c r="BJ70" s="11"/>
    </row>
    <row r="71" spans="1:62" x14ac:dyDescent="0.2">
      <c r="A71" s="13" t="s">
        <v>174</v>
      </c>
      <c r="B71" s="13" t="s">
        <v>168</v>
      </c>
      <c r="C71" s="8">
        <v>42967</v>
      </c>
      <c r="D71" s="14">
        <v>-11.369675000000001</v>
      </c>
      <c r="E71" s="14">
        <v>27.569092000000001</v>
      </c>
      <c r="F71" s="65" t="s">
        <v>9</v>
      </c>
      <c r="G71" s="70"/>
      <c r="H71" s="2">
        <v>0.572932380917754</v>
      </c>
      <c r="I71" s="2">
        <v>0.74221862394774496</v>
      </c>
      <c r="J71" s="2">
        <v>4.510750349794642</v>
      </c>
      <c r="K71" s="2">
        <v>0.66046597231546256</v>
      </c>
      <c r="L71" s="2">
        <v>0.11718554606437469</v>
      </c>
      <c r="S71" s="2">
        <v>6.6035528730399786</v>
      </c>
      <c r="T71" s="70"/>
      <c r="U71" s="1">
        <v>0.38258652389049502</v>
      </c>
      <c r="V71" s="1">
        <v>0.38921184080858201</v>
      </c>
      <c r="W71" s="1">
        <v>0.65080049633979797</v>
      </c>
      <c r="X71" s="1">
        <v>1243.891374</v>
      </c>
      <c r="Y71" s="1">
        <v>111</v>
      </c>
      <c r="Z71" s="70"/>
      <c r="AA71" s="13" t="s">
        <v>86</v>
      </c>
      <c r="AB71" s="13" t="s">
        <v>87</v>
      </c>
      <c r="AC71" s="13" t="s">
        <v>175</v>
      </c>
      <c r="AD71" s="1">
        <v>11</v>
      </c>
      <c r="AE71" s="18">
        <v>13.022017</v>
      </c>
      <c r="AF71" s="11">
        <v>4.1187764437721137</v>
      </c>
      <c r="AL71" s="10">
        <v>494.80500000000001</v>
      </c>
      <c r="AW71" s="10">
        <f>AE71-((AL71+AQ71)/1000)</f>
        <v>12.527212</v>
      </c>
      <c r="AY71" s="1">
        <v>100</v>
      </c>
      <c r="BA71" s="1">
        <v>203.51764900000003</v>
      </c>
      <c r="BC71" s="1">
        <v>201.91699670819165</v>
      </c>
      <c r="BD71" s="1">
        <v>1</v>
      </c>
      <c r="BE71" s="1">
        <v>1</v>
      </c>
      <c r="BJ71" s="11"/>
    </row>
    <row r="72" spans="1:62" x14ac:dyDescent="0.2">
      <c r="A72" s="13" t="s">
        <v>176</v>
      </c>
      <c r="B72" s="13" t="s">
        <v>168</v>
      </c>
      <c r="C72" s="8">
        <v>42966</v>
      </c>
      <c r="D72" s="14">
        <v>-12.727779999999999</v>
      </c>
      <c r="E72" s="14">
        <v>28.47</v>
      </c>
      <c r="F72" s="65" t="s">
        <v>9</v>
      </c>
      <c r="G72" s="70"/>
      <c r="H72" s="2">
        <v>1.42780037005691</v>
      </c>
      <c r="I72" s="2">
        <v>3.6591543527596797</v>
      </c>
      <c r="J72" s="2">
        <v>6.5336711483149861</v>
      </c>
      <c r="K72" s="2">
        <v>0.71724711713908906</v>
      </c>
      <c r="L72" s="2">
        <v>5.6650550038664725E-2</v>
      </c>
      <c r="O72" s="2">
        <v>2.3519377463344402E-2</v>
      </c>
      <c r="S72" s="2">
        <v>12.418042915772677</v>
      </c>
      <c r="T72" s="70"/>
      <c r="U72" s="1">
        <v>0.428204536437988</v>
      </c>
      <c r="V72" s="1">
        <v>0.40498876423598901</v>
      </c>
      <c r="W72" s="1">
        <v>0.79611006379127502</v>
      </c>
      <c r="X72" s="1">
        <v>1294.4102559999999</v>
      </c>
      <c r="Y72" s="1">
        <v>97</v>
      </c>
      <c r="Z72" s="70"/>
      <c r="AA72" s="13"/>
      <c r="AB72" s="13" t="s">
        <v>87</v>
      </c>
      <c r="AC72" s="13" t="s">
        <v>88</v>
      </c>
      <c r="BA72" s="1">
        <v>66.005724000000001</v>
      </c>
      <c r="BC72" s="1">
        <v>56.104865399999994</v>
      </c>
      <c r="BD72" s="1">
        <v>1</v>
      </c>
      <c r="BE72" s="1">
        <v>1</v>
      </c>
      <c r="BJ72" s="11"/>
    </row>
    <row r="73" spans="1:62" x14ac:dyDescent="0.2">
      <c r="A73" s="13" t="s">
        <v>177</v>
      </c>
      <c r="B73" s="13" t="s">
        <v>168</v>
      </c>
      <c r="C73" s="8">
        <v>42502</v>
      </c>
      <c r="D73" s="14">
        <v>-10.741390000000001</v>
      </c>
      <c r="E73" s="14">
        <v>26.390830000000001</v>
      </c>
      <c r="F73" s="65" t="s">
        <v>169</v>
      </c>
      <c r="G73" s="70"/>
      <c r="H73" s="2">
        <v>1.980066727109451</v>
      </c>
      <c r="I73" s="2">
        <v>1.931354168615929</v>
      </c>
      <c r="J73" s="2">
        <v>8.9850902021402508</v>
      </c>
      <c r="K73" s="2">
        <v>1.1921330823359972</v>
      </c>
      <c r="L73" s="2">
        <v>0.45115132937743452</v>
      </c>
      <c r="M73" s="2">
        <v>0.20985206511315679</v>
      </c>
      <c r="S73" s="2">
        <v>14.749647574692222</v>
      </c>
      <c r="T73" s="70"/>
      <c r="U73" s="1">
        <v>1.54649865627289</v>
      </c>
      <c r="V73" s="1">
        <v>1.2600179000455101</v>
      </c>
      <c r="W73" s="1">
        <v>2.4443936645984601</v>
      </c>
      <c r="X73" s="1">
        <v>1326.2484079999999</v>
      </c>
      <c r="Y73" s="1">
        <v>443</v>
      </c>
      <c r="Z73" s="70"/>
      <c r="AA73" s="13"/>
      <c r="AB73" s="13"/>
      <c r="AC73" s="13"/>
      <c r="BA73" s="1">
        <v>161.387743</v>
      </c>
      <c r="BC73" s="1">
        <v>144.04416440191639</v>
      </c>
      <c r="BD73" s="1">
        <v>0.64756505703162348</v>
      </c>
      <c r="BE73" s="1">
        <v>0.61670463304668344</v>
      </c>
      <c r="BJ73" s="11"/>
    </row>
    <row r="74" spans="1:62" x14ac:dyDescent="0.2">
      <c r="A74" s="13" t="s">
        <v>178</v>
      </c>
      <c r="B74" s="13" t="s">
        <v>168</v>
      </c>
      <c r="C74" s="8">
        <v>42967</v>
      </c>
      <c r="D74" s="14">
        <v>-11.611253</v>
      </c>
      <c r="E74" s="14">
        <v>27.553985999999998</v>
      </c>
      <c r="F74" s="65" t="s">
        <v>169</v>
      </c>
      <c r="G74" s="70"/>
      <c r="H74" s="2">
        <v>1.273788663867607</v>
      </c>
      <c r="I74" s="2">
        <v>0.779846865845918</v>
      </c>
      <c r="J74" s="2">
        <v>2.7646996698468933</v>
      </c>
      <c r="K74" s="2">
        <v>0.47917509060224334</v>
      </c>
      <c r="L74" s="2">
        <v>0.15271239843553008</v>
      </c>
      <c r="S74" s="2">
        <v>5.4502226885981919</v>
      </c>
      <c r="T74" s="70"/>
      <c r="U74" s="1">
        <v>0.40506157279014599</v>
      </c>
      <c r="V74" s="1">
        <v>0.47769257693718598</v>
      </c>
      <c r="W74" s="1">
        <v>0.85587285459041595</v>
      </c>
      <c r="X74" s="1">
        <v>1279.4487180000001</v>
      </c>
      <c r="Y74" s="1">
        <v>121</v>
      </c>
      <c r="Z74" s="70"/>
      <c r="AA74" s="13" t="s">
        <v>86</v>
      </c>
      <c r="AB74" s="13" t="s">
        <v>87</v>
      </c>
      <c r="AC74" s="13" t="s">
        <v>175</v>
      </c>
      <c r="BA74" s="1">
        <v>240.26833099999999</v>
      </c>
      <c r="BC74" s="1">
        <v>176.44462614166201</v>
      </c>
      <c r="BD74" s="1">
        <v>0.526540349589393</v>
      </c>
      <c r="BE74" s="1">
        <v>0.60950038995885225</v>
      </c>
      <c r="BJ74" s="11"/>
    </row>
    <row r="75" spans="1:62" x14ac:dyDescent="0.2">
      <c r="A75" s="13" t="s">
        <v>179</v>
      </c>
      <c r="B75" s="13" t="s">
        <v>168</v>
      </c>
      <c r="C75" s="8">
        <v>42967</v>
      </c>
      <c r="D75" s="14">
        <v>-11.63472</v>
      </c>
      <c r="E75" s="14">
        <v>27.58222</v>
      </c>
      <c r="F75" s="65" t="s">
        <v>169</v>
      </c>
      <c r="G75" s="70"/>
      <c r="H75" s="2">
        <v>0.85368830887574798</v>
      </c>
      <c r="I75" s="2">
        <v>0.32568497112840405</v>
      </c>
      <c r="J75" s="2">
        <v>3.7070274396338503</v>
      </c>
      <c r="K75" s="2">
        <v>0.42552556125946794</v>
      </c>
      <c r="L75" s="2">
        <v>0.37802932980552717</v>
      </c>
      <c r="M75" s="2">
        <v>2.2801145415787101</v>
      </c>
      <c r="S75" s="2">
        <v>7.9700701522817079</v>
      </c>
      <c r="T75" s="70"/>
      <c r="U75" s="1">
        <v>0.38819962739944502</v>
      </c>
      <c r="V75" s="1">
        <v>0.44494524081046599</v>
      </c>
      <c r="W75" s="1">
        <v>0.88163642585277602</v>
      </c>
      <c r="X75" s="1">
        <v>1271.1735020000001</v>
      </c>
      <c r="Y75" s="1">
        <v>126</v>
      </c>
      <c r="Z75" s="70"/>
      <c r="AA75" s="13"/>
      <c r="AB75" s="13"/>
      <c r="AC75" s="13"/>
      <c r="BA75" s="1">
        <v>393.17277320000005</v>
      </c>
      <c r="BC75" s="1">
        <v>172.82011370535326</v>
      </c>
      <c r="BD75" s="1">
        <v>0.41410323984254965</v>
      </c>
      <c r="BE75" s="1">
        <v>0.74765368735985105</v>
      </c>
      <c r="BJ75" s="11"/>
    </row>
    <row r="76" spans="1:62" x14ac:dyDescent="0.2">
      <c r="A76" s="13" t="s">
        <v>180</v>
      </c>
      <c r="B76" s="13" t="s">
        <v>181</v>
      </c>
      <c r="C76" s="8">
        <v>42353</v>
      </c>
      <c r="D76" s="14">
        <v>22.020885</v>
      </c>
      <c r="E76" s="14">
        <v>80.712671999999998</v>
      </c>
      <c r="F76" s="65" t="s">
        <v>9</v>
      </c>
      <c r="G76" s="70"/>
      <c r="H76" s="2">
        <v>1.25173621764504</v>
      </c>
      <c r="I76" s="2">
        <v>2.9567752233035685</v>
      </c>
      <c r="J76" s="2">
        <v>3.3033419358035503</v>
      </c>
      <c r="K76" s="2">
        <v>0.28686707961279528</v>
      </c>
      <c r="L76" s="2">
        <v>9.7831123844950255E-2</v>
      </c>
      <c r="S76" s="2">
        <v>7.8965515802099047</v>
      </c>
      <c r="T76" s="70"/>
      <c r="U76" s="1">
        <v>0.38353478908538802</v>
      </c>
      <c r="V76" s="1">
        <v>0.43327876223532702</v>
      </c>
      <c r="W76" s="1">
        <v>1.05604084953666</v>
      </c>
      <c r="X76" s="1">
        <v>581.42765269999995</v>
      </c>
      <c r="Y76" s="1">
        <v>179</v>
      </c>
      <c r="Z76" s="70"/>
      <c r="AA76" s="13"/>
      <c r="AB76" s="13" t="s">
        <v>87</v>
      </c>
      <c r="AC76" s="13" t="s">
        <v>88</v>
      </c>
      <c r="BA76" s="1">
        <v>45.103911399999994</v>
      </c>
      <c r="BC76" s="1">
        <v>42.727997929616237</v>
      </c>
      <c r="BD76" s="1">
        <v>1</v>
      </c>
      <c r="BE76" s="1">
        <v>1</v>
      </c>
      <c r="BJ76" s="11"/>
    </row>
    <row r="77" spans="1:62" x14ac:dyDescent="0.2">
      <c r="A77" s="13" t="s">
        <v>182</v>
      </c>
      <c r="B77" s="13" t="s">
        <v>181</v>
      </c>
      <c r="C77" s="8">
        <v>42519</v>
      </c>
      <c r="D77" s="14">
        <v>28.072875</v>
      </c>
      <c r="E77" s="14">
        <v>75.810276999999999</v>
      </c>
      <c r="F77" s="65" t="s">
        <v>9</v>
      </c>
      <c r="G77" s="70"/>
      <c r="H77" s="2">
        <v>8.9170504484992405E-2</v>
      </c>
      <c r="I77" s="2">
        <v>1.4000386345533</v>
      </c>
      <c r="J77" s="2">
        <v>0.4452683839836592</v>
      </c>
      <c r="K77" s="2">
        <v>0.96024523819307583</v>
      </c>
      <c r="L77" s="2">
        <v>8.4241702385842686E-3</v>
      </c>
      <c r="N77" s="2">
        <v>7.5773039250537688E-2</v>
      </c>
      <c r="S77" s="2">
        <v>2.9789199707041494</v>
      </c>
      <c r="T77" s="70"/>
      <c r="U77" s="1">
        <v>0.837474524974823</v>
      </c>
      <c r="V77" s="1">
        <v>0.77029370419869703</v>
      </c>
      <c r="W77" s="1">
        <v>2.7855829671025298</v>
      </c>
      <c r="X77" s="1">
        <v>365.99683540000001</v>
      </c>
      <c r="Y77" s="1">
        <v>427</v>
      </c>
      <c r="Z77" s="70"/>
      <c r="AA77" s="13"/>
      <c r="AB77" s="13"/>
      <c r="AC77" s="13"/>
      <c r="BA77" s="1">
        <v>58.305056199999996</v>
      </c>
      <c r="BC77" s="1">
        <v>79.577749412531645</v>
      </c>
      <c r="BD77" s="1">
        <v>1</v>
      </c>
      <c r="BE77" s="1">
        <v>1</v>
      </c>
      <c r="BJ77" s="11"/>
    </row>
    <row r="78" spans="1:62" x14ac:dyDescent="0.2">
      <c r="A78" s="13" t="s">
        <v>183</v>
      </c>
      <c r="B78" s="13" t="s">
        <v>184</v>
      </c>
      <c r="C78" s="8">
        <v>42858</v>
      </c>
      <c r="D78" s="14">
        <v>-4.0620779999999996</v>
      </c>
      <c r="E78" s="14">
        <v>137.12562800000001</v>
      </c>
      <c r="F78" s="65" t="s">
        <v>85</v>
      </c>
      <c r="G78" s="70"/>
      <c r="H78" s="2">
        <v>5.8005579970615262</v>
      </c>
      <c r="J78" s="2">
        <v>8.2329126798485532</v>
      </c>
      <c r="K78" s="2">
        <v>1.7024391286861797</v>
      </c>
      <c r="R78" s="2">
        <v>197.934528419727</v>
      </c>
      <c r="S78" s="2">
        <v>213.67043822532327</v>
      </c>
      <c r="T78" s="70"/>
      <c r="U78" s="1">
        <v>8.0246343612670898</v>
      </c>
      <c r="V78" s="1">
        <v>10.596815719772099</v>
      </c>
      <c r="W78" s="1">
        <v>24.003730654716499</v>
      </c>
      <c r="X78" s="1">
        <v>3701.188498</v>
      </c>
      <c r="Y78" s="1">
        <v>2824</v>
      </c>
      <c r="Z78" s="70"/>
      <c r="AA78" s="13" t="s">
        <v>86</v>
      </c>
      <c r="AB78" s="13" t="s">
        <v>96</v>
      </c>
      <c r="AC78" s="13" t="s">
        <v>88</v>
      </c>
      <c r="AD78" s="1">
        <v>45</v>
      </c>
      <c r="AE78" s="10">
        <v>1679.8405357142899</v>
      </c>
      <c r="AF78" s="11">
        <v>1.0608791972282232</v>
      </c>
      <c r="AG78" s="11">
        <v>1.1196537557444599</v>
      </c>
      <c r="AH78" s="12">
        <v>3.6021168169044953</v>
      </c>
      <c r="AK78" s="10">
        <v>38321.182176284499</v>
      </c>
      <c r="AL78" s="10">
        <v>15286.8623894763</v>
      </c>
      <c r="AM78" s="10">
        <v>1548.2208500821428</v>
      </c>
      <c r="AN78" s="22">
        <v>3811.4151670835718</v>
      </c>
      <c r="AW78" s="10">
        <f>AE78-(AK78/1000)</f>
        <v>1641.5193535380054</v>
      </c>
      <c r="AX78" s="10">
        <v>4607.9194864285701</v>
      </c>
      <c r="AY78" s="11">
        <v>77.431778449038958</v>
      </c>
      <c r="AZ78" s="10">
        <f>AE78+AX78</f>
        <v>6287.7600221428602</v>
      </c>
      <c r="BA78" s="1">
        <v>67.55821197717043</v>
      </c>
      <c r="BB78" s="1">
        <v>22.519403992390142</v>
      </c>
      <c r="BC78" s="1">
        <v>56.492278693361435</v>
      </c>
      <c r="BD78" s="1">
        <v>0.54550283113551912</v>
      </c>
      <c r="BE78" s="1">
        <v>0.55995492378382694</v>
      </c>
      <c r="BJ78" s="11"/>
    </row>
    <row r="79" spans="1:62" x14ac:dyDescent="0.2">
      <c r="A79" s="13" t="s">
        <v>185</v>
      </c>
      <c r="B79" s="13" t="s">
        <v>184</v>
      </c>
      <c r="C79" s="8">
        <v>42523</v>
      </c>
      <c r="D79" s="14">
        <v>-8.9666669999999993</v>
      </c>
      <c r="E79" s="14">
        <v>116.86666700000001</v>
      </c>
      <c r="F79" s="65" t="s">
        <v>85</v>
      </c>
      <c r="G79" s="70"/>
      <c r="H79" s="2">
        <v>5.0664269041913492</v>
      </c>
      <c r="J79" s="2">
        <v>8.7579418218138478</v>
      </c>
      <c r="K79" s="2">
        <v>0.91444895183441577</v>
      </c>
      <c r="L79" s="2">
        <v>0.68202724345415178</v>
      </c>
      <c r="S79" s="2">
        <v>15.420844921293765</v>
      </c>
      <c r="T79" s="70"/>
      <c r="U79" s="1">
        <v>4.6788365840911901</v>
      </c>
      <c r="V79" s="1">
        <v>4.55185554261449</v>
      </c>
      <c r="W79" s="1">
        <v>8.0274286270141602</v>
      </c>
      <c r="X79" s="1">
        <v>576.8196203</v>
      </c>
      <c r="Y79" s="1">
        <v>1130</v>
      </c>
      <c r="Z79" s="70"/>
      <c r="AA79" s="13" t="s">
        <v>86</v>
      </c>
      <c r="AB79" s="13" t="s">
        <v>87</v>
      </c>
      <c r="AC79" s="13" t="s">
        <v>88</v>
      </c>
      <c r="AD79" s="1">
        <v>18</v>
      </c>
      <c r="AE79" s="10">
        <v>659.34213585882401</v>
      </c>
      <c r="AF79" s="11">
        <v>0.61376700098794901</v>
      </c>
      <c r="AG79" s="11">
        <v>0.44030975006757495</v>
      </c>
      <c r="AK79" s="10">
        <v>13771.833778555399</v>
      </c>
      <c r="AL79" s="10">
        <v>3442.9584446388599</v>
      </c>
      <c r="AM79" s="10">
        <v>235.58380823268001</v>
      </c>
      <c r="AX79" s="10">
        <v>1988.6034420000001</v>
      </c>
      <c r="AY79" s="1">
        <v>100</v>
      </c>
      <c r="AZ79" s="10">
        <f>AE79+AX79</f>
        <v>2647.945577858824</v>
      </c>
      <c r="BA79" s="1">
        <v>59.010368415696654</v>
      </c>
      <c r="BB79" s="1">
        <v>27.858907687716151</v>
      </c>
      <c r="BC79" s="1">
        <v>48.034932627485247</v>
      </c>
      <c r="BD79" s="1">
        <v>0.58723587109112785</v>
      </c>
      <c r="BE79" s="1">
        <v>0.61055085455224545</v>
      </c>
      <c r="BJ79" s="11"/>
    </row>
    <row r="80" spans="1:62" x14ac:dyDescent="0.2">
      <c r="A80" s="13" t="s">
        <v>186</v>
      </c>
      <c r="B80" s="13" t="s">
        <v>184</v>
      </c>
      <c r="C80" s="8">
        <v>42593</v>
      </c>
      <c r="D80" s="14">
        <v>-7.7102079999999997</v>
      </c>
      <c r="E80" s="14">
        <v>126.32767800000001</v>
      </c>
      <c r="F80" s="65" t="s">
        <v>9</v>
      </c>
      <c r="G80" s="70"/>
      <c r="H80" s="2">
        <v>9.7172343375013195E-2</v>
      </c>
      <c r="J80" s="2">
        <v>0.32168869312623499</v>
      </c>
      <c r="K80" s="2">
        <v>4.2841382442884025E-2</v>
      </c>
      <c r="L80" s="2">
        <v>6.4818121900834469E-2</v>
      </c>
      <c r="M80" s="2">
        <v>0.13597881894376979</v>
      </c>
      <c r="S80" s="2">
        <v>0.66249935978873642</v>
      </c>
      <c r="T80" s="70"/>
      <c r="U80" s="1">
        <v>3.9440530538559</v>
      </c>
      <c r="V80" s="1">
        <v>4.37774077197537</v>
      </c>
      <c r="W80" s="1">
        <v>9.5565164089202899</v>
      </c>
      <c r="X80" s="1">
        <v>405.97983870000002</v>
      </c>
      <c r="Y80" s="1">
        <v>1215</v>
      </c>
      <c r="Z80" s="70"/>
      <c r="AA80" s="13" t="s">
        <v>86</v>
      </c>
      <c r="AB80" s="13" t="s">
        <v>87</v>
      </c>
      <c r="AC80" s="13" t="s">
        <v>113</v>
      </c>
      <c r="AD80" s="1">
        <v>3</v>
      </c>
      <c r="AT80" s="18">
        <v>1.400431</v>
      </c>
      <c r="AU80" s="11">
        <v>2.1654821836991611</v>
      </c>
      <c r="AV80" s="10">
        <v>8.5220000000000002</v>
      </c>
      <c r="AX80" s="18">
        <v>1.2603879</v>
      </c>
      <c r="AY80" s="1">
        <v>100</v>
      </c>
      <c r="AZ80" s="18">
        <f>AE80+AT80+AX80</f>
        <v>2.6608188999999998</v>
      </c>
      <c r="BB80" s="1">
        <v>52.978278473684213</v>
      </c>
      <c r="BF80" s="1">
        <v>100.6587291</v>
      </c>
      <c r="BG80" s="1">
        <v>36.539306566535004</v>
      </c>
      <c r="BJ80" s="11"/>
    </row>
    <row r="81" spans="1:62" x14ac:dyDescent="0.2">
      <c r="A81" s="13" t="s">
        <v>187</v>
      </c>
      <c r="B81" s="13" t="s">
        <v>188</v>
      </c>
      <c r="C81" s="8">
        <v>42978</v>
      </c>
      <c r="D81" s="14">
        <v>47.862881000000002</v>
      </c>
      <c r="E81" s="14">
        <v>67.474556000000007</v>
      </c>
      <c r="F81" s="65" t="s">
        <v>103</v>
      </c>
      <c r="G81" s="70"/>
      <c r="H81" s="2">
        <v>9.0568100257498063</v>
      </c>
      <c r="I81" s="2">
        <v>33.274341472012182</v>
      </c>
      <c r="J81" s="2">
        <v>31.838081844621609</v>
      </c>
      <c r="K81" s="2">
        <v>9.3539957065456996</v>
      </c>
      <c r="L81" s="2">
        <v>1.8725969093614132</v>
      </c>
      <c r="N81" s="2">
        <v>0.38588366391384554</v>
      </c>
      <c r="S81" s="2">
        <v>85.781709622204545</v>
      </c>
      <c r="T81" s="70"/>
      <c r="U81" s="1">
        <v>0.281465753912926</v>
      </c>
      <c r="V81" s="1">
        <v>0.270665431841494</v>
      </c>
      <c r="W81" s="1">
        <v>0.54771181941032399</v>
      </c>
      <c r="X81" s="1">
        <v>404.7444089</v>
      </c>
      <c r="Y81" s="1">
        <v>93</v>
      </c>
      <c r="Z81" s="70"/>
      <c r="AA81" s="13"/>
      <c r="AB81" s="13"/>
      <c r="AC81" s="13"/>
      <c r="AT81" s="18"/>
      <c r="AU81" s="11"/>
      <c r="AV81" s="10"/>
      <c r="AX81" s="18"/>
      <c r="AZ81" s="18"/>
      <c r="BA81" s="1">
        <v>50.861208760513016</v>
      </c>
      <c r="BB81" s="1" t="e">
        <v>#REF!</v>
      </c>
      <c r="BC81" s="1">
        <v>42.232105238649233</v>
      </c>
      <c r="BD81" s="1">
        <v>0.88824895329474185</v>
      </c>
      <c r="BE81" s="1">
        <v>0.87489352586305624</v>
      </c>
      <c r="BJ81" s="11"/>
    </row>
    <row r="82" spans="1:62" x14ac:dyDescent="0.2">
      <c r="A82" s="13" t="s">
        <v>189</v>
      </c>
      <c r="B82" s="13" t="s">
        <v>190</v>
      </c>
      <c r="C82" s="8">
        <v>39459</v>
      </c>
      <c r="D82" s="14">
        <v>16.9603</v>
      </c>
      <c r="E82" s="14">
        <v>105.999</v>
      </c>
      <c r="F82" s="65" t="s">
        <v>9</v>
      </c>
      <c r="G82" s="70"/>
      <c r="H82" s="2">
        <v>0.86953747615011057</v>
      </c>
      <c r="I82" s="2">
        <v>0.58115324564566329</v>
      </c>
      <c r="J82" s="2">
        <v>2.4788844849073719</v>
      </c>
      <c r="K82" s="2">
        <v>0.83192364252529016</v>
      </c>
      <c r="L82" s="2">
        <v>0.16662105725450707</v>
      </c>
      <c r="S82" s="2">
        <v>4.9281199064829435</v>
      </c>
      <c r="T82" s="70"/>
      <c r="U82" s="1">
        <v>1.1804219484329199</v>
      </c>
      <c r="V82" s="1">
        <v>1.1480237838776799</v>
      </c>
      <c r="W82" s="1">
        <v>3.34040538966656</v>
      </c>
      <c r="X82" s="1">
        <v>269.00316459999999</v>
      </c>
      <c r="Y82" s="1">
        <v>503</v>
      </c>
      <c r="Z82" s="70"/>
      <c r="AA82" s="13" t="s">
        <v>86</v>
      </c>
      <c r="AB82" s="13" t="s">
        <v>87</v>
      </c>
      <c r="AC82" s="13" t="s">
        <v>175</v>
      </c>
      <c r="AD82" s="1">
        <v>4</v>
      </c>
      <c r="AE82" s="18">
        <v>3.0994100000000002</v>
      </c>
      <c r="AF82" s="11">
        <v>5.6651838382143689</v>
      </c>
      <c r="AL82" s="10">
        <v>153.82400000000001</v>
      </c>
      <c r="AW82" s="18">
        <f>AE82-(AL82/1000)</f>
        <v>2.945586</v>
      </c>
      <c r="AX82" s="18">
        <v>1.2603879</v>
      </c>
      <c r="AY82" s="1">
        <v>100</v>
      </c>
      <c r="AZ82" s="18">
        <f>AE82+AX82</f>
        <v>4.3597979000000002</v>
      </c>
      <c r="BA82" s="1">
        <v>269.52337299999999</v>
      </c>
      <c r="BB82" s="1" t="e">
        <v>#REF!</v>
      </c>
      <c r="BC82" s="1">
        <v>231.95551227285034</v>
      </c>
      <c r="BD82" s="1">
        <v>1</v>
      </c>
      <c r="BE82" s="1">
        <v>1</v>
      </c>
      <c r="BJ82" s="11"/>
    </row>
    <row r="83" spans="1:62" x14ac:dyDescent="0.2">
      <c r="A83" s="13" t="s">
        <v>191</v>
      </c>
      <c r="B83" s="13" t="s">
        <v>190</v>
      </c>
      <c r="C83" s="8">
        <v>41969</v>
      </c>
      <c r="D83" s="14">
        <v>18.922021999999998</v>
      </c>
      <c r="E83" s="14">
        <v>102.906544</v>
      </c>
      <c r="F83" s="65" t="s">
        <v>85</v>
      </c>
      <c r="G83" s="70"/>
      <c r="H83" s="2">
        <v>1.2367689012517442</v>
      </c>
      <c r="I83" s="2">
        <v>1.60127946896756</v>
      </c>
      <c r="J83" s="2">
        <v>3.3683923456055727</v>
      </c>
      <c r="K83" s="2">
        <v>0.31039067742771248</v>
      </c>
      <c r="L83" s="2">
        <v>6.5808925557933606E-2</v>
      </c>
      <c r="S83" s="2">
        <v>6.5826403188105234</v>
      </c>
      <c r="T83" s="70"/>
      <c r="U83" s="1">
        <v>5.4810745716094997</v>
      </c>
      <c r="V83" s="1">
        <v>5.5502368230789196</v>
      </c>
      <c r="W83" s="1">
        <v>9.7445325851440394</v>
      </c>
      <c r="X83" s="1">
        <v>925.38658150000003</v>
      </c>
      <c r="Y83" s="1">
        <v>1355</v>
      </c>
      <c r="Z83" s="70"/>
      <c r="AA83" s="13" t="s">
        <v>86</v>
      </c>
      <c r="AB83" s="13" t="s">
        <v>87</v>
      </c>
      <c r="AC83" s="13" t="s">
        <v>88</v>
      </c>
      <c r="AD83" s="1">
        <v>7</v>
      </c>
      <c r="AE83" s="18">
        <v>95.939391000000001</v>
      </c>
      <c r="AF83" s="11">
        <v>0.60292252240792321</v>
      </c>
      <c r="AG83" s="11">
        <v>0.28974661513121341</v>
      </c>
      <c r="AH83" s="11">
        <v>2.7261970358973819</v>
      </c>
      <c r="AK83" s="10">
        <v>1715.9369999999999</v>
      </c>
      <c r="AL83" s="10">
        <v>405.976</v>
      </c>
      <c r="AM83" s="10">
        <v>11.776263800000001</v>
      </c>
      <c r="AN83" s="10">
        <v>89.2335195</v>
      </c>
      <c r="AW83" s="10">
        <f>AE83-(AK83/1000)</f>
        <v>94.223454000000004</v>
      </c>
      <c r="AX83" s="10">
        <v>143.23165399999999</v>
      </c>
      <c r="AY83" s="1">
        <v>100</v>
      </c>
      <c r="AZ83" s="10">
        <f>AE83+AX83</f>
        <v>239.17104499999999</v>
      </c>
      <c r="BA83" s="1">
        <v>42.453428421543414</v>
      </c>
      <c r="BB83" s="1">
        <v>14.596791205116189</v>
      </c>
      <c r="BC83" s="1">
        <v>29.098053985738996</v>
      </c>
      <c r="BD83" s="1">
        <v>0.6866943185489881</v>
      </c>
      <c r="BE83" s="1">
        <v>0.7729385948948263</v>
      </c>
      <c r="BJ83" s="11"/>
    </row>
    <row r="84" spans="1:62" x14ac:dyDescent="0.2">
      <c r="A84" s="13" t="s">
        <v>192</v>
      </c>
      <c r="B84" s="13" t="s">
        <v>193</v>
      </c>
      <c r="C84" s="8">
        <v>42510</v>
      </c>
      <c r="D84" s="14">
        <v>19.747831000000001</v>
      </c>
      <c r="E84" s="14">
        <v>-14.428241999999999</v>
      </c>
      <c r="F84" s="65" t="s">
        <v>85</v>
      </c>
      <c r="G84" s="70"/>
      <c r="H84" s="2">
        <v>0.74616768091888708</v>
      </c>
      <c r="I84" s="2">
        <v>2.0893890091392633</v>
      </c>
      <c r="J84" s="2">
        <v>3.6104401419938652</v>
      </c>
      <c r="K84" s="2">
        <v>0.45345713348814798</v>
      </c>
      <c r="L84" s="2">
        <v>0.365857760182425</v>
      </c>
      <c r="S84" s="2">
        <v>7.2653117257225883</v>
      </c>
      <c r="T84" s="70"/>
      <c r="U84" s="1">
        <v>0.119286596775055</v>
      </c>
      <c r="V84" s="1">
        <v>0.11770428548129599</v>
      </c>
      <c r="W84" s="1">
        <v>0.12369012460112599</v>
      </c>
      <c r="X84" s="1">
        <v>132.0223642</v>
      </c>
      <c r="Y84" s="1">
        <v>37</v>
      </c>
      <c r="Z84" s="70"/>
      <c r="AA84" s="13" t="s">
        <v>86</v>
      </c>
      <c r="AB84" s="13" t="s">
        <v>87</v>
      </c>
      <c r="AC84" s="13" t="s">
        <v>88</v>
      </c>
      <c r="AD84" s="1">
        <v>11</v>
      </c>
      <c r="AE84" s="18">
        <v>26.530971666666701</v>
      </c>
      <c r="AF84" s="11">
        <v>1.4331014701496985</v>
      </c>
      <c r="AG84" s="26">
        <v>0.94618542612325063</v>
      </c>
      <c r="AK84" s="10">
        <v>855.52167916666701</v>
      </c>
      <c r="AL84" s="10">
        <v>342.20867166666699</v>
      </c>
      <c r="AM84" s="10">
        <v>18.827414048916701</v>
      </c>
      <c r="AW84" s="10">
        <f>AE84-(AK84/1000)</f>
        <v>25.675449987500034</v>
      </c>
      <c r="AX84" s="10">
        <v>125.02468500000001</v>
      </c>
      <c r="AY84" s="1">
        <v>100</v>
      </c>
      <c r="AZ84" s="10">
        <f>AE84+AX84</f>
        <v>151.55565666666672</v>
      </c>
      <c r="BA84" s="1">
        <v>66.005724000000001</v>
      </c>
      <c r="BB84" s="1">
        <v>16.501431</v>
      </c>
      <c r="BC84" s="1">
        <v>80.191060143711098</v>
      </c>
      <c r="BD84" s="1">
        <v>1</v>
      </c>
      <c r="BE84" s="1">
        <v>0.7687958195030159</v>
      </c>
      <c r="BJ84" s="11"/>
    </row>
    <row r="85" spans="1:62" x14ac:dyDescent="0.2">
      <c r="A85" s="13" t="s">
        <v>194</v>
      </c>
      <c r="B85" s="13" t="s">
        <v>195</v>
      </c>
      <c r="C85" s="8">
        <v>42889</v>
      </c>
      <c r="D85" s="14">
        <v>30.95</v>
      </c>
      <c r="E85" s="14">
        <v>-110.31667</v>
      </c>
      <c r="F85" s="65" t="s">
        <v>125</v>
      </c>
      <c r="G85" s="70"/>
      <c r="H85" s="2">
        <v>3.2055876264718499</v>
      </c>
      <c r="I85" s="2">
        <v>17.70900635186868</v>
      </c>
      <c r="J85" s="2">
        <v>27.98565349798389</v>
      </c>
      <c r="K85" s="2">
        <v>3.5440735591566126</v>
      </c>
      <c r="L85" s="2">
        <v>1.7745621699613223</v>
      </c>
      <c r="S85" s="2">
        <v>54.21888320544236</v>
      </c>
      <c r="T85" s="70"/>
      <c r="U85" s="1">
        <v>2.1439989805221602</v>
      </c>
      <c r="V85" s="1">
        <v>2.43065316446974</v>
      </c>
      <c r="W85" s="1">
        <v>8.2203753292560595</v>
      </c>
      <c r="X85" s="1">
        <v>1629.9588610000001</v>
      </c>
      <c r="Y85" s="1">
        <v>1129</v>
      </c>
      <c r="Z85" s="70"/>
      <c r="AA85" s="13"/>
      <c r="AB85" s="13"/>
      <c r="AC85" s="13"/>
      <c r="BA85" s="1">
        <v>34.580828609999998</v>
      </c>
      <c r="BB85" s="1">
        <v>12.651184923129204</v>
      </c>
      <c r="BC85" s="1">
        <v>27.389005357608401</v>
      </c>
      <c r="BD85" s="1">
        <v>0.9432344429296774</v>
      </c>
      <c r="BE85" s="1">
        <v>0.98168803527358928</v>
      </c>
      <c r="BF85" s="1">
        <v>16.11639761</v>
      </c>
      <c r="BG85" s="1">
        <v>4.4794181193787939</v>
      </c>
      <c r="BJ85" s="11"/>
    </row>
    <row r="86" spans="1:62" x14ac:dyDescent="0.2">
      <c r="A86" s="13" t="s">
        <v>196</v>
      </c>
      <c r="B86" s="13" t="s">
        <v>195</v>
      </c>
      <c r="C86" s="8" t="s">
        <v>197</v>
      </c>
      <c r="D86" s="14">
        <v>30.310164</v>
      </c>
      <c r="E86" s="14">
        <v>-109.5604</v>
      </c>
      <c r="F86" s="65" t="s">
        <v>125</v>
      </c>
      <c r="G86" s="70"/>
      <c r="H86" s="2">
        <v>3.2133616752224401</v>
      </c>
      <c r="I86" s="2">
        <v>16.746986913220855</v>
      </c>
      <c r="J86" s="2">
        <v>6.22387973896305</v>
      </c>
      <c r="K86" s="2">
        <v>0.79484497180202873</v>
      </c>
      <c r="L86" s="2">
        <v>0.10044438287573305</v>
      </c>
      <c r="M86" s="2">
        <v>4.6760802034869701E-2</v>
      </c>
      <c r="S86" s="2">
        <v>27.126278484118981</v>
      </c>
      <c r="T86" s="70"/>
      <c r="U86" s="1">
        <v>4.1381773948669398</v>
      </c>
      <c r="V86" s="1">
        <v>4.2516318454018096</v>
      </c>
      <c r="W86" s="1">
        <v>9.4009022712707502</v>
      </c>
      <c r="X86" s="1">
        <v>1415.6012659999999</v>
      </c>
      <c r="Y86" s="1">
        <v>1180</v>
      </c>
      <c r="Z86" s="70"/>
      <c r="AA86" s="13"/>
      <c r="AB86" s="13"/>
      <c r="AC86" s="13"/>
      <c r="BA86" s="1">
        <v>24.742674269999998</v>
      </c>
      <c r="BB86" s="1">
        <v>13.705182948268403</v>
      </c>
      <c r="BC86" s="1">
        <v>21.017446938540097</v>
      </c>
      <c r="BD86" s="1">
        <v>0.78029860714809463</v>
      </c>
      <c r="BE86" s="1">
        <v>0.78889618644098758</v>
      </c>
      <c r="BF86" s="1">
        <v>13.42116388</v>
      </c>
      <c r="BG86" s="1">
        <v>4.5605029403504478</v>
      </c>
      <c r="BJ86" s="11"/>
    </row>
    <row r="87" spans="1:62" x14ac:dyDescent="0.2">
      <c r="A87" s="13" t="s">
        <v>198</v>
      </c>
      <c r="B87" s="13" t="s">
        <v>195</v>
      </c>
      <c r="C87" s="8">
        <v>42485</v>
      </c>
      <c r="D87" s="14">
        <v>31.10886</v>
      </c>
      <c r="E87" s="14">
        <v>-110.42448</v>
      </c>
      <c r="F87" s="65" t="s">
        <v>9</v>
      </c>
      <c r="G87" s="70"/>
      <c r="I87" s="2">
        <v>5.4405344798236999E-2</v>
      </c>
      <c r="J87" s="2">
        <v>1.0149703278705386</v>
      </c>
      <c r="K87" s="2">
        <v>0.53741764927686564</v>
      </c>
      <c r="L87" s="2">
        <v>6.2659752075099232E-2</v>
      </c>
      <c r="M87" s="2">
        <v>0.69271496922913101</v>
      </c>
      <c r="S87" s="2">
        <v>2.3621680432498717</v>
      </c>
      <c r="T87" s="70"/>
      <c r="U87" s="1">
        <v>1.34463822841644</v>
      </c>
      <c r="V87" s="1">
        <v>2.3810029140893101</v>
      </c>
      <c r="W87" s="1">
        <v>9.8031889498233795</v>
      </c>
      <c r="X87" s="1">
        <v>1546.2738850000001</v>
      </c>
      <c r="Y87" s="1">
        <v>1161</v>
      </c>
      <c r="Z87" s="70"/>
      <c r="AA87" s="13"/>
      <c r="AB87" s="13"/>
      <c r="AC87" s="13"/>
      <c r="BF87" s="1">
        <v>68.205914800000002</v>
      </c>
      <c r="BG87" s="1">
        <v>60.179471470945856</v>
      </c>
      <c r="BJ87" s="11"/>
    </row>
    <row r="88" spans="1:62" x14ac:dyDescent="0.2">
      <c r="A88" s="13" t="s">
        <v>199</v>
      </c>
      <c r="B88" s="13" t="s">
        <v>195</v>
      </c>
      <c r="C88" s="8" t="s">
        <v>200</v>
      </c>
      <c r="D88" s="14">
        <v>27.093005999999999</v>
      </c>
      <c r="E88" s="14">
        <v>-107.989344</v>
      </c>
      <c r="F88" s="65" t="s">
        <v>85</v>
      </c>
      <c r="G88" s="70"/>
      <c r="H88" s="2">
        <v>0.11722414578726101</v>
      </c>
      <c r="I88" s="2">
        <v>0.12979576750697092</v>
      </c>
      <c r="J88" s="2">
        <v>9.7810079190922883E-2</v>
      </c>
      <c r="K88" s="2">
        <v>6.1676366150823794E-2</v>
      </c>
      <c r="O88" s="2">
        <v>2.6788685568831802E-3</v>
      </c>
      <c r="S88" s="2">
        <v>0.40918522719286177</v>
      </c>
      <c r="T88" s="70"/>
      <c r="U88" s="1">
        <v>7.7792482376098597</v>
      </c>
      <c r="V88" s="1">
        <v>7.4737860141675698</v>
      </c>
      <c r="W88" s="1">
        <v>13.8918246030807</v>
      </c>
      <c r="X88" s="1">
        <v>1738.5569620000001</v>
      </c>
      <c r="Y88" s="1">
        <v>1823</v>
      </c>
      <c r="Z88" s="70"/>
      <c r="AA88" s="13"/>
      <c r="AB88" s="13"/>
      <c r="AC88" s="13"/>
      <c r="BA88" s="1">
        <v>84.871575532154338</v>
      </c>
      <c r="BC88" s="1">
        <v>68.016517231379297</v>
      </c>
      <c r="BD88" s="1">
        <v>0.74530825077042551</v>
      </c>
      <c r="BE88" s="1">
        <v>0.80487160092971666</v>
      </c>
      <c r="BJ88" s="11"/>
    </row>
    <row r="89" spans="1:62" x14ac:dyDescent="0.2">
      <c r="A89" s="13" t="s">
        <v>201</v>
      </c>
      <c r="B89" s="13" t="s">
        <v>202</v>
      </c>
      <c r="C89" s="8">
        <v>42584</v>
      </c>
      <c r="D89" s="14">
        <v>43.016669999999998</v>
      </c>
      <c r="E89" s="14">
        <v>106.85</v>
      </c>
      <c r="F89" s="65" t="s">
        <v>85</v>
      </c>
      <c r="G89" s="70"/>
      <c r="H89" s="2">
        <v>1.1417990823011301</v>
      </c>
      <c r="I89" s="2">
        <v>4.1935622797191101</v>
      </c>
      <c r="J89" s="2">
        <v>9.1824578686359235</v>
      </c>
      <c r="K89" s="2">
        <v>4.319408247216221</v>
      </c>
      <c r="L89" s="2">
        <v>3.0484787376446859E-2</v>
      </c>
      <c r="S89" s="2">
        <v>18.86771226524883</v>
      </c>
      <c r="T89" s="70"/>
      <c r="U89" s="1">
        <v>0.25358168035745599</v>
      </c>
      <c r="V89" s="1">
        <v>0.27386469617957598</v>
      </c>
      <c r="W89" s="1">
        <v>0.43357413262128802</v>
      </c>
      <c r="X89" s="1">
        <v>1180.886076</v>
      </c>
      <c r="Y89" s="1">
        <v>98</v>
      </c>
      <c r="Z89" s="70"/>
      <c r="AA89" s="13" t="s">
        <v>86</v>
      </c>
      <c r="AB89" s="13" t="s">
        <v>87</v>
      </c>
      <c r="AC89" s="13" t="s">
        <v>88</v>
      </c>
      <c r="AD89" s="1">
        <v>4</v>
      </c>
      <c r="AE89" s="18">
        <v>104.981333333333</v>
      </c>
      <c r="AF89" s="11">
        <v>0.60846956919325335</v>
      </c>
      <c r="AG89" s="11">
        <v>0.63091997307457826</v>
      </c>
      <c r="AH89" s="12">
        <v>1.5910873361613491</v>
      </c>
      <c r="AK89" s="10">
        <v>2135.9499999999998</v>
      </c>
      <c r="AL89" s="10">
        <v>544.72500000000002</v>
      </c>
      <c r="AM89" s="10">
        <v>1574.1</v>
      </c>
      <c r="AN89" s="22">
        <v>3433.3333333333298</v>
      </c>
      <c r="AW89" s="12">
        <f>AE89-(AK89/1000)</f>
        <v>102.845383333333</v>
      </c>
      <c r="AX89" s="10">
        <v>192.287833333333</v>
      </c>
      <c r="AY89" s="1">
        <v>100</v>
      </c>
      <c r="AZ89" s="10">
        <f>AE89+AX89</f>
        <v>297.26916666666602</v>
      </c>
      <c r="BA89" s="1">
        <v>66.810211977170425</v>
      </c>
      <c r="BB89" s="1">
        <v>25.143283728580215</v>
      </c>
      <c r="BC89" s="1">
        <v>54.762318944899675</v>
      </c>
      <c r="BD89" s="1">
        <v>0.55161022258981951</v>
      </c>
      <c r="BE89" s="1">
        <v>0.58805109550764934</v>
      </c>
      <c r="BJ89" s="11"/>
    </row>
    <row r="90" spans="1:62" x14ac:dyDescent="0.2">
      <c r="A90" s="13" t="s">
        <v>203</v>
      </c>
      <c r="B90" s="13" t="s">
        <v>202</v>
      </c>
      <c r="C90" s="8">
        <v>42914</v>
      </c>
      <c r="D90" s="14">
        <v>49.018552999999997</v>
      </c>
      <c r="E90" s="14">
        <v>104.138103</v>
      </c>
      <c r="F90" s="65" t="s">
        <v>125</v>
      </c>
      <c r="G90" s="70"/>
      <c r="H90" s="2">
        <v>3.4280756353394199</v>
      </c>
      <c r="I90" s="2">
        <v>18.358796742686049</v>
      </c>
      <c r="J90" s="2">
        <v>9.5117200706706555</v>
      </c>
      <c r="K90" s="2">
        <v>5.0043420194654198</v>
      </c>
      <c r="L90" s="2">
        <v>1.2040745822855419</v>
      </c>
      <c r="M90" s="2">
        <v>0.65104066251611703</v>
      </c>
      <c r="S90" s="2">
        <v>38.158049712963191</v>
      </c>
      <c r="T90" s="70"/>
      <c r="U90" s="1">
        <v>1.4818939566612199</v>
      </c>
      <c r="V90" s="1">
        <v>1.4773529014786699</v>
      </c>
      <c r="W90" s="1">
        <v>3.65694624185562</v>
      </c>
      <c r="X90" s="1">
        <v>1323.0192930000001</v>
      </c>
      <c r="Y90" s="1">
        <v>332</v>
      </c>
      <c r="Z90" s="70"/>
      <c r="AA90" s="13"/>
      <c r="AB90" s="13" t="s">
        <v>87</v>
      </c>
      <c r="AC90" s="13" t="s">
        <v>88</v>
      </c>
      <c r="BA90" s="1">
        <v>32.957085767845662</v>
      </c>
      <c r="BB90" s="1">
        <v>15.868226480814577</v>
      </c>
      <c r="BC90" s="1">
        <v>27.983730022730644</v>
      </c>
      <c r="BD90" s="1">
        <v>0.90125006832306453</v>
      </c>
      <c r="BE90" s="1">
        <v>0.94802314284286637</v>
      </c>
      <c r="BJ90" s="11"/>
    </row>
    <row r="91" spans="1:62" x14ac:dyDescent="0.2">
      <c r="A91" s="13" t="s">
        <v>204</v>
      </c>
      <c r="B91" s="13" t="s">
        <v>205</v>
      </c>
      <c r="C91" s="8">
        <v>41462</v>
      </c>
      <c r="D91" s="14">
        <v>-5.2109860000000001</v>
      </c>
      <c r="E91" s="14">
        <v>141.14428100000001</v>
      </c>
      <c r="F91" s="65" t="s">
        <v>85</v>
      </c>
      <c r="G91" s="70"/>
      <c r="H91" s="2">
        <v>1.778462197569</v>
      </c>
      <c r="I91" s="2">
        <v>4.55524570958128E-2</v>
      </c>
      <c r="J91" s="2">
        <v>1.9952863355250101</v>
      </c>
      <c r="K91" s="2">
        <v>0.35156975186039879</v>
      </c>
      <c r="L91" s="2">
        <v>4.4799633584945396E-2</v>
      </c>
      <c r="O91" s="2">
        <v>4.80170647064498E-2</v>
      </c>
      <c r="P91" s="2">
        <v>0.67187967017920458</v>
      </c>
      <c r="R91" s="2">
        <v>64.111150980257804</v>
      </c>
      <c r="S91" s="2">
        <v>69.046718090778626</v>
      </c>
      <c r="T91" s="70"/>
      <c r="U91" s="1">
        <v>7.6048030853271502</v>
      </c>
      <c r="V91" s="1">
        <v>6.3744772224669202</v>
      </c>
      <c r="W91" s="1">
        <v>12.8099212050438</v>
      </c>
      <c r="X91" s="1">
        <v>1248.1305729999999</v>
      </c>
      <c r="Y91" s="1">
        <v>2033</v>
      </c>
      <c r="Z91" s="70"/>
      <c r="AA91" s="13" t="s">
        <v>86</v>
      </c>
      <c r="AB91" s="13" t="s">
        <v>87</v>
      </c>
      <c r="AC91" s="13" t="s">
        <v>88</v>
      </c>
      <c r="AD91" s="1">
        <v>30</v>
      </c>
      <c r="AE91" s="10">
        <v>678.10299999999995</v>
      </c>
      <c r="AF91" s="11">
        <v>0.72932213997147832</v>
      </c>
      <c r="AG91" s="11">
        <v>0.82385116489497701</v>
      </c>
      <c r="AH91" s="12">
        <v>1.9361600153963503</v>
      </c>
      <c r="AK91" s="10">
        <v>14584.657499999999</v>
      </c>
      <c r="AL91" s="10">
        <v>4393.2094999999999</v>
      </c>
      <c r="AM91" s="10">
        <v>420.37014749999997</v>
      </c>
      <c r="AN91" s="10">
        <v>862.30170729999998</v>
      </c>
      <c r="AW91" s="10">
        <v>663.51834250000002</v>
      </c>
      <c r="AX91" s="10">
        <v>1029.9224999999999</v>
      </c>
      <c r="AY91" s="1">
        <v>100</v>
      </c>
      <c r="AZ91" s="10">
        <f>AE91+AX91</f>
        <v>1708.0254999999997</v>
      </c>
      <c r="BA91" s="1">
        <v>50.256669103264485</v>
      </c>
      <c r="BB91" s="1">
        <v>13.95920004280585</v>
      </c>
      <c r="BC91" s="1">
        <v>35.640611207203392</v>
      </c>
      <c r="BD91" s="1">
        <v>0.5034594343690092</v>
      </c>
      <c r="BE91" s="1">
        <v>0.5909727952890772</v>
      </c>
      <c r="BJ91" s="11"/>
    </row>
    <row r="92" spans="1:62" x14ac:dyDescent="0.2">
      <c r="A92" s="13" t="s">
        <v>206</v>
      </c>
      <c r="B92" s="13" t="s">
        <v>205</v>
      </c>
      <c r="C92" s="8">
        <v>41340</v>
      </c>
      <c r="D92" s="14">
        <v>-6.3178939999999999</v>
      </c>
      <c r="E92" s="14">
        <v>155.48436100000001</v>
      </c>
      <c r="F92" s="65" t="s">
        <v>207</v>
      </c>
      <c r="G92" s="70"/>
      <c r="H92" s="2">
        <v>3.9080238661116398</v>
      </c>
      <c r="I92" s="2">
        <v>0</v>
      </c>
      <c r="J92" s="2">
        <v>2.4001313789885526</v>
      </c>
      <c r="K92" s="2">
        <v>0.86301271286811199</v>
      </c>
      <c r="L92" s="2">
        <v>2.0326026029306398E-2</v>
      </c>
      <c r="R92" s="2">
        <v>18.536883218735301</v>
      </c>
      <c r="S92" s="2">
        <v>25.728377202732911</v>
      </c>
      <c r="T92" s="70"/>
      <c r="U92" s="1">
        <v>3.3936102390289302</v>
      </c>
      <c r="V92" s="1">
        <v>4.5229311163226802</v>
      </c>
      <c r="W92" s="1">
        <v>9.4535783231258392</v>
      </c>
      <c r="X92" s="1">
        <v>706.41823899999997</v>
      </c>
      <c r="Y92" s="1">
        <v>1239</v>
      </c>
      <c r="Z92" s="70"/>
      <c r="AA92" s="13" t="s">
        <v>86</v>
      </c>
      <c r="AB92" s="13" t="s">
        <v>87</v>
      </c>
      <c r="AC92" s="13" t="s">
        <v>88</v>
      </c>
      <c r="AD92" s="1">
        <v>18</v>
      </c>
      <c r="AE92" s="10">
        <v>675.36740199999997</v>
      </c>
      <c r="AF92" s="11">
        <v>0.51617403075370816</v>
      </c>
      <c r="AG92" s="11">
        <v>0.63202054996429935</v>
      </c>
      <c r="AH92" s="12">
        <v>1.5720045190158587</v>
      </c>
      <c r="AK92" s="10">
        <v>10166.851000000001</v>
      </c>
      <c r="AL92" s="10">
        <v>2987.9920000000002</v>
      </c>
      <c r="AM92" s="10">
        <v>306.20736360000001</v>
      </c>
      <c r="AN92" s="10">
        <v>786.32216570000003</v>
      </c>
      <c r="AW92" s="10">
        <f>AE92-AK92/1000</f>
        <v>665.20055100000002</v>
      </c>
      <c r="AX92" s="10">
        <v>570.00911299999996</v>
      </c>
      <c r="AY92" s="1">
        <v>100</v>
      </c>
      <c r="AZ92" s="10">
        <f>AE92+AX92</f>
        <v>1245.3765149999999</v>
      </c>
      <c r="BJ92" s="11"/>
    </row>
    <row r="93" spans="1:62" x14ac:dyDescent="0.2">
      <c r="A93" s="13" t="s">
        <v>208</v>
      </c>
      <c r="B93" s="13" t="s">
        <v>209</v>
      </c>
      <c r="C93" s="8">
        <v>42428</v>
      </c>
      <c r="D93" s="14">
        <v>-17.038402999999999</v>
      </c>
      <c r="E93" s="14">
        <v>-70.704953000000003</v>
      </c>
      <c r="F93" s="65" t="s">
        <v>125</v>
      </c>
      <c r="G93" s="70"/>
      <c r="H93" s="2">
        <v>4.8230331920495395</v>
      </c>
      <c r="I93" s="2">
        <v>0.26080131723608002</v>
      </c>
      <c r="J93" s="2">
        <v>17.129915673825444</v>
      </c>
      <c r="K93" s="2">
        <v>2.1131041840201146</v>
      </c>
      <c r="L93" s="2">
        <v>0.12536319040831076</v>
      </c>
      <c r="M93" s="2">
        <v>0.56755455596389404</v>
      </c>
      <c r="S93" s="2">
        <v>25.019772113503382</v>
      </c>
      <c r="T93" s="70"/>
      <c r="U93" s="1">
        <v>5.1071009635925302</v>
      </c>
      <c r="V93" s="1">
        <v>5.0045876537159</v>
      </c>
      <c r="W93" s="1">
        <v>8.0006221532821709</v>
      </c>
      <c r="X93" s="1">
        <v>3652.5636939999999</v>
      </c>
      <c r="Y93" s="1">
        <v>1562</v>
      </c>
      <c r="Z93" s="70"/>
      <c r="AA93" s="13"/>
      <c r="AB93" s="13"/>
      <c r="AC93" s="13"/>
      <c r="BA93" s="1">
        <v>42.492837412769063</v>
      </c>
      <c r="BB93" s="1">
        <v>6.8890117925794554</v>
      </c>
      <c r="BC93" s="1">
        <v>35.071839214932112</v>
      </c>
      <c r="BD93" s="1">
        <v>0.86210239302569525</v>
      </c>
      <c r="BE93" s="1">
        <v>0.89884929972893646</v>
      </c>
      <c r="BJ93" s="11"/>
    </row>
    <row r="94" spans="1:62" x14ac:dyDescent="0.2">
      <c r="A94" s="13" t="s">
        <v>210</v>
      </c>
      <c r="B94" s="13" t="s">
        <v>209</v>
      </c>
      <c r="C94" s="8">
        <v>42691</v>
      </c>
      <c r="D94" s="14">
        <v>-17.238778</v>
      </c>
      <c r="E94" s="14">
        <v>-70.615730999999997</v>
      </c>
      <c r="F94" s="65" t="s">
        <v>125</v>
      </c>
      <c r="G94" s="70"/>
      <c r="H94" s="2">
        <v>6.5901822254270606</v>
      </c>
      <c r="J94" s="2">
        <v>13.002015390465719</v>
      </c>
      <c r="K94" s="2">
        <v>1.3688034664090558</v>
      </c>
      <c r="L94" s="2">
        <v>7.4773106211753482E-2</v>
      </c>
      <c r="M94" s="2">
        <v>6.1957373931798179</v>
      </c>
      <c r="S94" s="2">
        <v>27.231511581693407</v>
      </c>
      <c r="T94" s="70"/>
      <c r="U94" s="1">
        <v>5.0391216278076199</v>
      </c>
      <c r="V94" s="1">
        <v>4.6925562833982797</v>
      </c>
      <c r="W94" s="1">
        <v>6.9229955077171299</v>
      </c>
      <c r="X94" s="1">
        <v>3292.425397</v>
      </c>
      <c r="Y94" s="1">
        <v>1434</v>
      </c>
      <c r="Z94" s="70"/>
      <c r="AA94" s="13"/>
      <c r="AB94" s="13" t="s">
        <v>87</v>
      </c>
      <c r="AC94" s="13" t="s">
        <v>88</v>
      </c>
      <c r="BA94" s="1">
        <v>18.222570172455995</v>
      </c>
      <c r="BB94" s="1">
        <v>6.0744310447326528</v>
      </c>
      <c r="BC94" s="1">
        <v>10.439405488892094</v>
      </c>
      <c r="BD94" s="1">
        <v>0.87414943720347149</v>
      </c>
      <c r="BE94" s="1">
        <v>0.84205129983746718</v>
      </c>
      <c r="BF94" s="1">
        <v>8.6907536600000004</v>
      </c>
      <c r="BG94" s="1">
        <v>2.4451054996326227</v>
      </c>
      <c r="BJ94" s="11"/>
    </row>
    <row r="95" spans="1:62" x14ac:dyDescent="0.2">
      <c r="A95" s="13" t="s">
        <v>211</v>
      </c>
      <c r="B95" s="13" t="s">
        <v>209</v>
      </c>
      <c r="C95" s="8">
        <v>42894</v>
      </c>
      <c r="D95" s="14">
        <v>-14.470800000000001</v>
      </c>
      <c r="E95" s="14">
        <v>-71.774500000000003</v>
      </c>
      <c r="F95" s="65" t="s">
        <v>85</v>
      </c>
      <c r="G95" s="70"/>
      <c r="H95" s="2">
        <v>0.90163820874780598</v>
      </c>
      <c r="I95" s="2">
        <v>2.53093603493312</v>
      </c>
      <c r="J95" s="2">
        <v>6.5652142117252152</v>
      </c>
      <c r="K95" s="2">
        <v>0.95676779303561665</v>
      </c>
      <c r="L95" s="2">
        <v>0.27466613479024915</v>
      </c>
      <c r="S95" s="2">
        <v>11.229222383232006</v>
      </c>
      <c r="T95" s="70"/>
      <c r="U95" s="1">
        <v>2.98264372348785</v>
      </c>
      <c r="V95" s="1">
        <v>3.01464761548465</v>
      </c>
      <c r="W95" s="1">
        <v>7.2499588280916196</v>
      </c>
      <c r="X95" s="1">
        <v>4259.241935</v>
      </c>
      <c r="Y95" s="1">
        <v>646</v>
      </c>
      <c r="Z95" s="70"/>
      <c r="AA95" s="13" t="s">
        <v>86</v>
      </c>
      <c r="AB95" s="13" t="s">
        <v>87</v>
      </c>
      <c r="AC95" s="13" t="s">
        <v>88</v>
      </c>
      <c r="AD95" s="1">
        <v>3</v>
      </c>
      <c r="AE95" s="18">
        <v>63.804084000000003</v>
      </c>
      <c r="AF95" s="11">
        <v>0.59491384062499819</v>
      </c>
      <c r="AG95" s="11">
        <v>5.9533480019868322E-2</v>
      </c>
      <c r="AH95" s="11">
        <v>5.0725758514141512</v>
      </c>
      <c r="AK95" s="10">
        <v>1153.607</v>
      </c>
      <c r="AL95" s="10">
        <v>296.33800000000002</v>
      </c>
      <c r="AM95" s="10">
        <v>1.6436972000000001</v>
      </c>
      <c r="AN95" s="10">
        <v>181.4941886</v>
      </c>
      <c r="AW95" s="10">
        <f>AE95-AK95/1000</f>
        <v>62.650477000000002</v>
      </c>
      <c r="AX95" s="10">
        <v>61.369808999999997</v>
      </c>
      <c r="AY95" s="1">
        <v>100</v>
      </c>
      <c r="AZ95" s="10">
        <f>AE95+AX95</f>
        <v>125.17389299999999</v>
      </c>
      <c r="BA95" s="1">
        <v>39.667510454662384</v>
      </c>
      <c r="BC95" s="1">
        <v>27.024530979665428</v>
      </c>
      <c r="BD95" s="1">
        <v>0.85972013391104196</v>
      </c>
      <c r="BE95" s="1">
        <v>0.91632896421732479</v>
      </c>
      <c r="BJ95" s="11"/>
    </row>
    <row r="96" spans="1:62" x14ac:dyDescent="0.2">
      <c r="A96" s="13" t="s">
        <v>212</v>
      </c>
      <c r="B96" s="13" t="s">
        <v>209</v>
      </c>
      <c r="C96" s="8">
        <v>42938</v>
      </c>
      <c r="D96" s="14">
        <v>-10.75305</v>
      </c>
      <c r="E96" s="14">
        <v>-76.269127999999995</v>
      </c>
      <c r="F96" s="65" t="s">
        <v>85</v>
      </c>
      <c r="G96" s="70"/>
      <c r="H96" s="2">
        <v>1.2487202710440521</v>
      </c>
      <c r="I96" s="2">
        <v>2.69163967729253</v>
      </c>
      <c r="J96" s="2">
        <v>4.0286773603094659</v>
      </c>
      <c r="K96" s="2">
        <v>0.50953887980776147</v>
      </c>
      <c r="L96" s="2">
        <v>5.2946987526304452E-2</v>
      </c>
      <c r="S96" s="2">
        <v>8.5315231759801158</v>
      </c>
      <c r="T96" s="70"/>
      <c r="U96" s="1">
        <v>4.7055737972259504</v>
      </c>
      <c r="V96" s="1">
        <v>3.7318942661102601</v>
      </c>
      <c r="W96" s="1">
        <v>5.3679682016372698</v>
      </c>
      <c r="X96" s="1">
        <v>3795.2204470000001</v>
      </c>
      <c r="Y96" s="1">
        <v>1220</v>
      </c>
      <c r="Z96" s="70"/>
      <c r="AA96" s="13" t="s">
        <v>86</v>
      </c>
      <c r="AB96" s="13" t="s">
        <v>91</v>
      </c>
      <c r="AC96" s="13" t="s">
        <v>88</v>
      </c>
      <c r="AD96" s="1">
        <v>11</v>
      </c>
      <c r="AE96" s="18">
        <v>15.690930764799999</v>
      </c>
      <c r="AF96" s="11">
        <v>1.8395675378565033</v>
      </c>
      <c r="AG96" s="11">
        <v>0.44072548618425728</v>
      </c>
      <c r="AH96" s="12">
        <v>21.48345313255825</v>
      </c>
      <c r="AK96" s="10">
        <v>987.05308319170899</v>
      </c>
      <c r="AL96" s="10">
        <v>250.97779439999999</v>
      </c>
      <c r="AM96" s="10">
        <v>2.9642550600000002</v>
      </c>
      <c r="AN96" s="10">
        <v>197.83726976899999</v>
      </c>
      <c r="AW96" s="10">
        <f>AE96-AK96/1000</f>
        <v>14.70387768160829</v>
      </c>
      <c r="AY96" s="1">
        <v>0</v>
      </c>
      <c r="BA96" s="1">
        <v>130.48758283729902</v>
      </c>
      <c r="BC96" s="1">
        <v>103.40178524854697</v>
      </c>
      <c r="BD96" s="1">
        <v>0.80934259110064766</v>
      </c>
      <c r="BE96" s="1">
        <v>0.86898366150814843</v>
      </c>
      <c r="BJ96" s="11"/>
    </row>
    <row r="97" spans="1:62" x14ac:dyDescent="0.2">
      <c r="A97" s="13" t="s">
        <v>213</v>
      </c>
      <c r="B97" s="13" t="s">
        <v>209</v>
      </c>
      <c r="C97" s="8">
        <v>43040</v>
      </c>
      <c r="D97" s="14">
        <v>-6.76</v>
      </c>
      <c r="E97" s="14">
        <v>-78.62</v>
      </c>
      <c r="F97" s="65" t="s">
        <v>105</v>
      </c>
      <c r="G97" s="70"/>
      <c r="H97" s="2">
        <v>0.56602343089745299</v>
      </c>
      <c r="I97" s="2">
        <v>0.9875976922235451</v>
      </c>
      <c r="J97" s="2">
        <v>2.1752460763133104</v>
      </c>
      <c r="K97" s="2">
        <v>0.39896915414141049</v>
      </c>
      <c r="L97" s="2">
        <v>2.4935582307054172E-2</v>
      </c>
      <c r="S97" s="2">
        <v>4.1527719358827726</v>
      </c>
      <c r="T97" s="70"/>
      <c r="U97" s="1">
        <v>5.7101705074310303</v>
      </c>
      <c r="V97" s="1">
        <v>5.1598429234263996</v>
      </c>
      <c r="W97" s="1">
        <v>12.9342693090439</v>
      </c>
      <c r="X97" s="1">
        <v>3465.2108629999998</v>
      </c>
      <c r="Y97" s="1">
        <v>1295</v>
      </c>
      <c r="Z97" s="70"/>
      <c r="AA97" s="13" t="s">
        <v>86</v>
      </c>
      <c r="AB97" s="13" t="s">
        <v>87</v>
      </c>
      <c r="AC97" s="13" t="s">
        <v>88</v>
      </c>
      <c r="AD97" s="1">
        <v>10</v>
      </c>
      <c r="AE97" s="18">
        <v>59.088000000000001</v>
      </c>
      <c r="AF97" s="11">
        <v>0.64263082182507447</v>
      </c>
      <c r="AG97" s="11">
        <v>1.1380447806661251</v>
      </c>
      <c r="AK97" s="10">
        <v>1414.4236370440799</v>
      </c>
      <c r="AL97" s="10">
        <v>316.84617694999997</v>
      </c>
      <c r="AM97" s="10">
        <v>44.886365294999997</v>
      </c>
      <c r="AW97" s="10">
        <f>AE97-AK97/1000</f>
        <v>57.67357636295592</v>
      </c>
      <c r="AX97" s="18">
        <v>60.415999999999997</v>
      </c>
      <c r="AY97" s="1">
        <v>100</v>
      </c>
      <c r="AZ97" s="10">
        <f>AE97+AX97</f>
        <v>119.50399999999999</v>
      </c>
      <c r="BA97" s="1">
        <v>68.615663679742767</v>
      </c>
      <c r="BB97" s="1">
        <v>35.885510778727514</v>
      </c>
      <c r="BC97" s="1">
        <v>52.185155892656333</v>
      </c>
      <c r="BD97" s="1">
        <v>0.41685059745977854</v>
      </c>
      <c r="BE97" s="1">
        <v>0.47191074172618419</v>
      </c>
      <c r="BJ97" s="11"/>
    </row>
    <row r="98" spans="1:62" x14ac:dyDescent="0.2">
      <c r="A98" s="13" t="s">
        <v>214</v>
      </c>
      <c r="B98" s="13" t="s">
        <v>209</v>
      </c>
      <c r="C98" s="8">
        <v>42967</v>
      </c>
      <c r="D98" s="14">
        <v>-16.532775000000001</v>
      </c>
      <c r="E98" s="14">
        <v>-71.596988999999994</v>
      </c>
      <c r="F98" s="65" t="s">
        <v>9</v>
      </c>
      <c r="G98" s="70"/>
      <c r="H98" s="2">
        <v>5.0822690551220697</v>
      </c>
      <c r="I98" s="2">
        <v>3.9806635970287298</v>
      </c>
      <c r="J98" s="2">
        <v>11.439910947494804</v>
      </c>
      <c r="K98" s="2">
        <v>2.4410280229491881</v>
      </c>
      <c r="L98" s="2">
        <v>0.13640881385971143</v>
      </c>
      <c r="M98" s="2">
        <v>3.8394343184866933</v>
      </c>
      <c r="S98" s="2">
        <v>26.9197147549412</v>
      </c>
      <c r="T98" s="70"/>
      <c r="U98" s="1">
        <v>2.0149085521697998</v>
      </c>
      <c r="V98" s="1">
        <v>3.7992140846297602</v>
      </c>
      <c r="W98" s="1">
        <v>9.9666149020195007</v>
      </c>
      <c r="X98" s="1">
        <v>2635.3091479999998</v>
      </c>
      <c r="Y98" s="1">
        <v>892</v>
      </c>
      <c r="Z98" s="70"/>
      <c r="AA98" s="13"/>
      <c r="AB98" s="13"/>
      <c r="AC98" s="13"/>
      <c r="AE98" s="18"/>
      <c r="AF98" s="11"/>
      <c r="AG98" s="11"/>
      <c r="AK98" s="10"/>
      <c r="AL98" s="10"/>
      <c r="AM98" s="10"/>
      <c r="AW98" s="10"/>
      <c r="AX98" s="18"/>
      <c r="AZ98" s="10"/>
      <c r="BA98" s="1">
        <v>22.813606832420092</v>
      </c>
      <c r="BC98" s="1">
        <v>19.372093952523105</v>
      </c>
      <c r="BD98" s="1">
        <v>0.89208887702396955</v>
      </c>
      <c r="BE98" s="1">
        <v>0.90664298612966632</v>
      </c>
      <c r="BF98" s="1">
        <v>24.752146500000002</v>
      </c>
      <c r="BG98" s="1">
        <v>19.776965053500003</v>
      </c>
      <c r="BJ98" s="11"/>
    </row>
    <row r="99" spans="1:62" x14ac:dyDescent="0.2">
      <c r="A99" s="13" t="s">
        <v>215</v>
      </c>
      <c r="B99" s="13" t="s">
        <v>216</v>
      </c>
      <c r="C99" s="8">
        <v>42439</v>
      </c>
      <c r="D99" s="14">
        <v>10.3353</v>
      </c>
      <c r="E99" s="14">
        <v>123.74532000000001</v>
      </c>
      <c r="F99" s="65" t="s">
        <v>85</v>
      </c>
      <c r="G99" s="70"/>
      <c r="H99" s="2">
        <v>3.6071838357543404</v>
      </c>
      <c r="I99" s="2">
        <v>1.116491314298756</v>
      </c>
      <c r="J99" s="2">
        <v>6.7548623368225549</v>
      </c>
      <c r="K99" s="2">
        <v>0.62937260874662204</v>
      </c>
      <c r="L99" s="2">
        <v>3.3661455462593499E-3</v>
      </c>
      <c r="S99" s="2">
        <v>12.111276241168532</v>
      </c>
      <c r="T99" s="70"/>
      <c r="U99" s="1">
        <v>2.7616332769393899</v>
      </c>
      <c r="V99" s="1">
        <v>3.0491585012800799</v>
      </c>
      <c r="W99" s="1">
        <v>6.4922929406166103</v>
      </c>
      <c r="X99" s="1">
        <v>331.11897110000001</v>
      </c>
      <c r="Y99" s="1">
        <v>754</v>
      </c>
      <c r="Z99" s="70"/>
      <c r="AA99" s="13"/>
      <c r="AB99" s="13" t="s">
        <v>87</v>
      </c>
      <c r="AC99" s="13" t="s">
        <v>88</v>
      </c>
      <c r="BA99" s="1">
        <v>19.726878104677063</v>
      </c>
      <c r="BB99" s="1">
        <v>6.1127455272601798</v>
      </c>
      <c r="BC99" s="1">
        <v>16.063414142538978</v>
      </c>
      <c r="BD99" s="1">
        <v>0.83649480229148176</v>
      </c>
      <c r="BE99" s="1">
        <v>0.87952322926909554</v>
      </c>
      <c r="BJ99" s="11"/>
    </row>
    <row r="100" spans="1:62" x14ac:dyDescent="0.2">
      <c r="A100" s="13" t="s">
        <v>217</v>
      </c>
      <c r="B100" s="13" t="s">
        <v>216</v>
      </c>
      <c r="C100" s="8">
        <v>42840</v>
      </c>
      <c r="D100" s="14">
        <v>16.26389</v>
      </c>
      <c r="E100" s="14">
        <v>120.6225</v>
      </c>
      <c r="F100" s="65" t="s">
        <v>85</v>
      </c>
      <c r="G100" s="70"/>
      <c r="H100" s="2">
        <v>1.3065063465873799</v>
      </c>
      <c r="I100" s="2">
        <v>1.6207076133203104</v>
      </c>
      <c r="J100" s="2">
        <v>1.0363733045873051</v>
      </c>
      <c r="K100" s="2">
        <v>0.19410430390951619</v>
      </c>
      <c r="N100" s="2">
        <v>3.0260236197522803E-2</v>
      </c>
      <c r="S100" s="2">
        <v>4.1879518046020348</v>
      </c>
      <c r="T100" s="70"/>
      <c r="U100" s="1">
        <v>8.9495677947997994</v>
      </c>
      <c r="V100" s="1">
        <v>7.4105516687320296</v>
      </c>
      <c r="W100" s="1">
        <v>11.8067874908447</v>
      </c>
      <c r="X100" s="1">
        <v>987.90764330000002</v>
      </c>
      <c r="Y100" s="1">
        <v>1750</v>
      </c>
      <c r="Z100" s="70"/>
      <c r="AA100" s="13"/>
      <c r="AB100" s="13"/>
      <c r="AC100" s="13"/>
      <c r="BA100" s="1">
        <v>27.655206145819932</v>
      </c>
      <c r="BC100" s="1">
        <v>22.890826506706503</v>
      </c>
      <c r="BD100" s="1">
        <v>0.40773436258418039</v>
      </c>
      <c r="BE100" s="1">
        <v>0.40410676285566793</v>
      </c>
      <c r="BJ100" s="11"/>
    </row>
    <row r="101" spans="1:62" x14ac:dyDescent="0.2">
      <c r="A101" s="13" t="s">
        <v>218</v>
      </c>
      <c r="B101" s="13" t="s">
        <v>219</v>
      </c>
      <c r="C101" s="8">
        <v>42971</v>
      </c>
      <c r="D101" s="14">
        <v>51.500763999999997</v>
      </c>
      <c r="E101" s="14">
        <v>16.107417000000002</v>
      </c>
      <c r="F101" s="65" t="s">
        <v>103</v>
      </c>
      <c r="G101" s="70"/>
      <c r="I101" s="2">
        <v>12.4684930212913</v>
      </c>
      <c r="J101" s="2">
        <v>2.9963698201036899</v>
      </c>
      <c r="K101" s="2">
        <v>1.5255679474778909</v>
      </c>
      <c r="L101" s="2">
        <v>3.4938161848746198E-3</v>
      </c>
      <c r="S101" s="2">
        <v>16.993924605057757</v>
      </c>
      <c r="T101" s="70"/>
      <c r="U101" s="1">
        <v>0.42632889747619601</v>
      </c>
      <c r="V101" s="1">
        <v>0.37855257187919999</v>
      </c>
      <c r="W101" s="1">
        <v>0.87599205970764205</v>
      </c>
      <c r="X101" s="1">
        <v>151.64353310000001</v>
      </c>
      <c r="Y101" s="1">
        <v>125</v>
      </c>
      <c r="Z101" s="70"/>
      <c r="AA101" s="13"/>
      <c r="AB101" s="13" t="s">
        <v>91</v>
      </c>
      <c r="AC101" s="13" t="s">
        <v>220</v>
      </c>
      <c r="BA101" s="1">
        <v>109.33755406445009</v>
      </c>
      <c r="BC101" s="1">
        <v>98.418283865774484</v>
      </c>
      <c r="BD101" s="1">
        <v>0.76467094142893377</v>
      </c>
      <c r="BE101" s="1">
        <v>0.75395229404638509</v>
      </c>
      <c r="BJ101" s="11"/>
    </row>
    <row r="102" spans="1:62" x14ac:dyDescent="0.2">
      <c r="A102" s="13" t="s">
        <v>221</v>
      </c>
      <c r="B102" s="13" t="s">
        <v>222</v>
      </c>
      <c r="C102" s="8">
        <v>42586</v>
      </c>
      <c r="D102" s="14">
        <v>-23.989702999999999</v>
      </c>
      <c r="E102" s="14">
        <v>31.128602999999998</v>
      </c>
      <c r="F102" s="65" t="s">
        <v>9</v>
      </c>
      <c r="G102" s="70"/>
      <c r="H102" s="2">
        <v>3.9061416686892603</v>
      </c>
      <c r="I102" s="2">
        <v>17.008263784894186</v>
      </c>
      <c r="J102" s="2">
        <v>20.166802989364641</v>
      </c>
      <c r="K102" s="2">
        <v>4.6208518755973191</v>
      </c>
      <c r="L102" s="2">
        <v>0.68716080016822456</v>
      </c>
      <c r="P102" s="2">
        <v>1.5589765037618801</v>
      </c>
      <c r="Q102" s="2">
        <v>4.3139577057593597</v>
      </c>
      <c r="S102" s="2">
        <v>52.262155328234876</v>
      </c>
      <c r="T102" s="70"/>
      <c r="U102" s="1">
        <v>0.49323244392871901</v>
      </c>
      <c r="V102" s="1">
        <v>0.48263160836466601</v>
      </c>
      <c r="W102" s="1">
        <v>1.1071948409080501</v>
      </c>
      <c r="X102" s="1">
        <v>379.29260449999998</v>
      </c>
      <c r="Y102" s="1">
        <v>196</v>
      </c>
      <c r="Z102" s="70"/>
      <c r="AA102" s="13"/>
      <c r="AB102" s="13" t="s">
        <v>87</v>
      </c>
      <c r="AC102" s="13" t="s">
        <v>220</v>
      </c>
      <c r="BA102" s="1">
        <v>39.085426758842438</v>
      </c>
      <c r="BC102" s="1">
        <v>29.696804775510611</v>
      </c>
      <c r="BD102" s="1">
        <v>0.84437768080742892</v>
      </c>
      <c r="BE102" s="1">
        <v>0.951184809252406</v>
      </c>
      <c r="BJ102" s="11"/>
    </row>
    <row r="103" spans="1:62" x14ac:dyDescent="0.2">
      <c r="A103" s="13" t="s">
        <v>223</v>
      </c>
      <c r="B103" s="13" t="s">
        <v>224</v>
      </c>
      <c r="C103" s="8">
        <v>42942</v>
      </c>
      <c r="D103" s="14">
        <v>37.500768999999998</v>
      </c>
      <c r="E103" s="14">
        <v>-6.0923059999999998</v>
      </c>
      <c r="F103" s="65" t="s">
        <v>9</v>
      </c>
      <c r="G103" s="70"/>
      <c r="H103" s="2">
        <v>1.26364802463661</v>
      </c>
      <c r="I103" s="2">
        <v>0.27365449105449202</v>
      </c>
      <c r="J103" s="2">
        <v>5.5139332779873049</v>
      </c>
      <c r="K103" s="2">
        <v>0.5614729214626214</v>
      </c>
      <c r="L103" s="2">
        <v>8.0947299155279803E-2</v>
      </c>
      <c r="S103" s="2">
        <v>7.693656014296308</v>
      </c>
      <c r="T103" s="70"/>
      <c r="U103" s="1">
        <v>0.33685871958732599</v>
      </c>
      <c r="V103" s="1">
        <v>0.63087286375415597</v>
      </c>
      <c r="W103" s="1">
        <v>1.42751095443964</v>
      </c>
      <c r="X103" s="1">
        <v>67.659235670000001</v>
      </c>
      <c r="Y103" s="1">
        <v>193</v>
      </c>
      <c r="Z103" s="70"/>
      <c r="AA103" s="13" t="s">
        <v>86</v>
      </c>
      <c r="AB103" s="13" t="s">
        <v>87</v>
      </c>
      <c r="AC103" s="13" t="s">
        <v>175</v>
      </c>
      <c r="AD103" s="1">
        <v>9</v>
      </c>
      <c r="AE103" s="18">
        <v>9.0459999999999994</v>
      </c>
      <c r="AF103" s="12">
        <v>5.766615078487729</v>
      </c>
      <c r="AL103" s="10">
        <v>465.48599999999999</v>
      </c>
      <c r="AW103" s="10">
        <f>AE103-AL103/1000</f>
        <v>8.5805139999999991</v>
      </c>
      <c r="AX103" s="10">
        <v>258.44200000000001</v>
      </c>
      <c r="AY103" s="1">
        <v>100</v>
      </c>
      <c r="AZ103" s="10">
        <f>AE103+AX103</f>
        <v>267.488</v>
      </c>
      <c r="BA103" s="1">
        <v>286.02480400000002</v>
      </c>
      <c r="BB103" s="1">
        <v>21.000180441345368</v>
      </c>
      <c r="BC103" s="1">
        <v>256.795269222</v>
      </c>
      <c r="BD103" s="1">
        <v>1</v>
      </c>
      <c r="BE103" s="1">
        <v>1</v>
      </c>
      <c r="BJ103" s="11"/>
    </row>
    <row r="104" spans="1:62" x14ac:dyDescent="0.2">
      <c r="A104" s="13" t="s">
        <v>225</v>
      </c>
      <c r="B104" s="13" t="s">
        <v>226</v>
      </c>
      <c r="C104" s="8">
        <v>40746</v>
      </c>
      <c r="D104" s="14">
        <v>67.066666999999995</v>
      </c>
      <c r="E104" s="14">
        <v>20.95</v>
      </c>
      <c r="F104" s="65" t="s">
        <v>85</v>
      </c>
      <c r="G104" s="70"/>
      <c r="H104" s="2">
        <v>2.7496855131163498</v>
      </c>
      <c r="I104" s="2">
        <v>12.0192552086113</v>
      </c>
      <c r="J104" s="2">
        <v>10.364654250432181</v>
      </c>
      <c r="K104" s="2">
        <v>1.0650901933388679</v>
      </c>
      <c r="L104" s="2">
        <v>1.6574306984527791</v>
      </c>
      <c r="S104" s="2">
        <v>27.856115863951477</v>
      </c>
      <c r="T104" s="70"/>
      <c r="U104" s="1">
        <v>0.47518447041511502</v>
      </c>
      <c r="V104" s="1">
        <v>0.43630947186788399</v>
      </c>
      <c r="W104" s="1">
        <v>1.13930924236774</v>
      </c>
      <c r="X104" s="1">
        <v>350.02215189999998</v>
      </c>
      <c r="Y104" s="1">
        <v>248</v>
      </c>
      <c r="Z104" s="70"/>
      <c r="AA104" s="13"/>
      <c r="AB104" s="13" t="s">
        <v>87</v>
      </c>
      <c r="AC104" s="13" t="s">
        <v>88</v>
      </c>
      <c r="BA104" s="1">
        <v>16.902898806109324</v>
      </c>
      <c r="BB104" s="1">
        <v>8.4514494030546619</v>
      </c>
      <c r="BC104" s="1">
        <v>13.148304851289822</v>
      </c>
      <c r="BD104" s="1">
        <v>0.68337400776635104</v>
      </c>
      <c r="BE104" s="1">
        <v>0.77084945937901672</v>
      </c>
      <c r="BJ104" s="11"/>
    </row>
    <row r="105" spans="1:62" x14ac:dyDescent="0.2">
      <c r="A105" s="13" t="s">
        <v>227</v>
      </c>
      <c r="B105" s="13" t="s">
        <v>228</v>
      </c>
      <c r="C105" s="8">
        <v>42910</v>
      </c>
      <c r="D105" s="14">
        <v>40.522167000000003</v>
      </c>
      <c r="E105" s="14">
        <v>-112.14938600000001</v>
      </c>
      <c r="F105" s="65" t="s">
        <v>229</v>
      </c>
      <c r="G105" s="70"/>
      <c r="H105" s="2">
        <v>12.7468978901935</v>
      </c>
      <c r="I105" s="2">
        <v>31.826937507297298</v>
      </c>
      <c r="J105" s="2">
        <v>19.257739462195321</v>
      </c>
      <c r="K105" s="2">
        <v>1.570379651105632</v>
      </c>
      <c r="L105" s="2">
        <v>0.28309403759797724</v>
      </c>
      <c r="S105" s="2">
        <v>65.68504854838973</v>
      </c>
      <c r="T105" s="70"/>
      <c r="U105" s="1">
        <v>5.0718312263488796</v>
      </c>
      <c r="V105" s="1">
        <v>5.0894831826415201</v>
      </c>
      <c r="W105" s="1">
        <v>9.9876267910003698</v>
      </c>
      <c r="X105" s="1">
        <v>2068.9177220000001</v>
      </c>
      <c r="Y105" s="1">
        <v>1320</v>
      </c>
      <c r="Z105" s="70"/>
      <c r="AA105" s="13" t="s">
        <v>86</v>
      </c>
      <c r="AB105" s="13" t="s">
        <v>87</v>
      </c>
      <c r="AC105" s="13" t="s">
        <v>220</v>
      </c>
      <c r="AD105" s="1">
        <v>112</v>
      </c>
      <c r="AE105" s="10">
        <v>2883.058997224</v>
      </c>
      <c r="AF105" s="11">
        <v>0.71028425978260756</v>
      </c>
      <c r="AG105" s="11">
        <v>0.42723881172928374</v>
      </c>
      <c r="AH105" s="12">
        <v>3.3109765859570044</v>
      </c>
      <c r="AI105" s="2">
        <v>3.5516734815908668E-2</v>
      </c>
      <c r="AJ105" s="1" t="s">
        <v>126</v>
      </c>
      <c r="AK105" s="10">
        <v>22201.7</v>
      </c>
      <c r="AL105" s="10">
        <v>18329.375731200002</v>
      </c>
      <c r="AM105" s="10">
        <v>838.23829999999998</v>
      </c>
      <c r="AN105" s="10">
        <v>7393.7139999999999</v>
      </c>
      <c r="AO105" s="10">
        <v>396.4</v>
      </c>
      <c r="AP105" s="10">
        <v>493.67745439999999</v>
      </c>
      <c r="AW105" s="10">
        <f>AE105-(AK105/1000)-(AO105/1000)</f>
        <v>2860.4608972239998</v>
      </c>
      <c r="AX105" s="10">
        <v>5716.31204935605</v>
      </c>
      <c r="AY105" s="1">
        <v>100</v>
      </c>
      <c r="AZ105" s="10">
        <f>AE105+AX105</f>
        <v>8599.3710465800505</v>
      </c>
      <c r="BA105" s="1">
        <v>29.805279874598071</v>
      </c>
      <c r="BB105" s="1">
        <v>5.0155664534857545</v>
      </c>
      <c r="BC105" s="1">
        <v>22.855405931497803</v>
      </c>
      <c r="BD105" s="1">
        <v>0.55364120281465823</v>
      </c>
      <c r="BE105" s="1">
        <v>0.63567231599373497</v>
      </c>
      <c r="BJ105" s="11"/>
    </row>
    <row r="106" spans="1:62" x14ac:dyDescent="0.2">
      <c r="A106" s="13" t="s">
        <v>230</v>
      </c>
      <c r="B106" s="13" t="s">
        <v>228</v>
      </c>
      <c r="C106" s="8">
        <v>41980</v>
      </c>
      <c r="D106" s="14">
        <v>33.003267000000001</v>
      </c>
      <c r="E106" s="14">
        <v>-110.77864700000001</v>
      </c>
      <c r="F106" s="65" t="s">
        <v>9</v>
      </c>
      <c r="G106" s="70"/>
      <c r="I106" s="2">
        <v>4.0532260312562203</v>
      </c>
      <c r="J106" s="2">
        <v>4.0571801833210985</v>
      </c>
      <c r="K106" s="2">
        <v>2.585686466434991</v>
      </c>
      <c r="L106" s="2">
        <v>4.9304311063748461E-2</v>
      </c>
      <c r="S106" s="2">
        <v>10.745396992076058</v>
      </c>
      <c r="T106" s="70"/>
      <c r="U106" s="1">
        <v>1.95720058679581</v>
      </c>
      <c r="V106" s="1">
        <v>2.7705740334501701</v>
      </c>
      <c r="W106" s="1">
        <v>6.4529137611389196</v>
      </c>
      <c r="X106" s="1">
        <v>759.4522293</v>
      </c>
      <c r="Y106" s="1">
        <v>846</v>
      </c>
      <c r="Z106" s="70"/>
      <c r="AA106" s="13"/>
      <c r="AB106" s="13"/>
      <c r="AC106" s="13"/>
      <c r="BA106" s="1">
        <v>27.502385</v>
      </c>
      <c r="BC106" s="1">
        <v>30.327128896556786</v>
      </c>
      <c r="BD106" s="1">
        <v>1</v>
      </c>
      <c r="BE106" s="1">
        <v>1</v>
      </c>
      <c r="BF106" s="1">
        <v>11.551001699999999</v>
      </c>
      <c r="BG106" s="1">
        <v>9.1342954747642491</v>
      </c>
      <c r="BJ106" s="11"/>
    </row>
    <row r="107" spans="1:62" x14ac:dyDescent="0.2">
      <c r="A107" s="13" t="s">
        <v>231</v>
      </c>
      <c r="B107" s="13" t="s">
        <v>228</v>
      </c>
      <c r="C107" s="8">
        <v>42790</v>
      </c>
      <c r="D107" s="14">
        <v>31.998671999999999</v>
      </c>
      <c r="E107" s="14">
        <v>-111.051456</v>
      </c>
      <c r="F107" s="65" t="s">
        <v>9</v>
      </c>
      <c r="G107" s="70"/>
      <c r="H107" s="2">
        <v>5.2833425374527989</v>
      </c>
      <c r="I107" s="2">
        <v>9.5545201301688891</v>
      </c>
      <c r="J107" s="2">
        <v>28.926156288682773</v>
      </c>
      <c r="K107" s="2">
        <v>1.0766488172021651</v>
      </c>
      <c r="S107" s="2">
        <v>44.840667773506624</v>
      </c>
      <c r="T107" s="70"/>
      <c r="U107" s="1">
        <v>1.1994709968566899</v>
      </c>
      <c r="V107" s="1">
        <v>1.1677024161702501</v>
      </c>
      <c r="W107" s="1">
        <v>2.49136859178543</v>
      </c>
      <c r="X107" s="1">
        <v>944.75</v>
      </c>
      <c r="Y107" s="1">
        <v>363</v>
      </c>
      <c r="Z107" s="70"/>
      <c r="AA107" s="13"/>
      <c r="AB107" s="13"/>
      <c r="AC107" s="13"/>
      <c r="BA107" s="1">
        <v>21.4518603</v>
      </c>
      <c r="BC107" s="1">
        <v>21.174759277420808</v>
      </c>
      <c r="BD107" s="1">
        <v>1</v>
      </c>
      <c r="BE107" s="1">
        <v>1</v>
      </c>
      <c r="BJ107" s="11"/>
    </row>
    <row r="108" spans="1:62" x14ac:dyDescent="0.2">
      <c r="A108" s="13" t="s">
        <v>232</v>
      </c>
      <c r="B108" s="13" t="s">
        <v>228</v>
      </c>
      <c r="C108" s="8">
        <v>42791</v>
      </c>
      <c r="D108" s="14">
        <v>33.410559999999997</v>
      </c>
      <c r="E108" s="14">
        <v>-110.95556000000001</v>
      </c>
      <c r="F108" s="65" t="s">
        <v>125</v>
      </c>
      <c r="G108" s="70"/>
      <c r="H108" s="2">
        <v>2.7804765431213299</v>
      </c>
      <c r="I108" s="2">
        <v>4.7640095027225238</v>
      </c>
      <c r="J108" s="2">
        <v>5.8250980690419176</v>
      </c>
      <c r="K108" s="2">
        <v>0.96418219347560374</v>
      </c>
      <c r="L108" s="2">
        <v>0.19468069767064206</v>
      </c>
      <c r="S108" s="2">
        <v>14.528447006032019</v>
      </c>
      <c r="T108" s="70"/>
      <c r="U108" s="1">
        <v>3.14328229427338</v>
      </c>
      <c r="V108" s="1">
        <v>3.1763841113087499</v>
      </c>
      <c r="W108" s="1">
        <v>6.3945031762123099</v>
      </c>
      <c r="X108" s="1">
        <v>1263.3789810000001</v>
      </c>
      <c r="Y108" s="1">
        <v>845</v>
      </c>
      <c r="Z108" s="70"/>
      <c r="AA108" s="13"/>
      <c r="AB108" s="13"/>
      <c r="AC108" s="13"/>
      <c r="BA108" s="1">
        <v>22.411812600000001</v>
      </c>
      <c r="BB108" s="1">
        <v>13.611065198259915</v>
      </c>
      <c r="BC108" s="1">
        <v>19.140600255160745</v>
      </c>
      <c r="BD108" s="1">
        <v>0.93262481589730939</v>
      </c>
      <c r="BE108" s="1">
        <v>0.97917265795090647</v>
      </c>
      <c r="BJ108" s="11"/>
    </row>
    <row r="109" spans="1:62" x14ac:dyDescent="0.2">
      <c r="A109" s="13" t="s">
        <v>233</v>
      </c>
      <c r="B109" s="13" t="s">
        <v>228</v>
      </c>
      <c r="C109" s="8">
        <v>42175</v>
      </c>
      <c r="D109" s="14">
        <v>39.265914000000002</v>
      </c>
      <c r="E109" s="14">
        <v>-115.010447</v>
      </c>
      <c r="F109" s="65" t="s">
        <v>125</v>
      </c>
      <c r="G109" s="70"/>
      <c r="H109" s="2">
        <v>6.9038690741152093</v>
      </c>
      <c r="I109" s="2">
        <v>6.5875885239810197</v>
      </c>
      <c r="J109" s="2">
        <v>15.886953131201242</v>
      </c>
      <c r="K109" s="2">
        <v>0.69762560950338315</v>
      </c>
      <c r="L109" s="2">
        <v>6.3808171290774679E-2</v>
      </c>
      <c r="S109" s="2">
        <v>30.139844510091628</v>
      </c>
      <c r="T109" s="70"/>
      <c r="U109" s="1">
        <v>1.7342011928558301</v>
      </c>
      <c r="V109" s="1">
        <v>1.92944661584459</v>
      </c>
      <c r="W109" s="1">
        <v>6.2913482785224897</v>
      </c>
      <c r="X109" s="1">
        <v>2173.911392</v>
      </c>
      <c r="Y109" s="1">
        <v>699</v>
      </c>
      <c r="Z109" s="70"/>
      <c r="AA109" s="13"/>
      <c r="AB109" s="13"/>
      <c r="AC109" s="13"/>
      <c r="BA109" s="1">
        <v>35.557194199999998</v>
      </c>
      <c r="BB109" s="1">
        <v>7.1163466652864038</v>
      </c>
      <c r="BC109" s="1">
        <v>27.65882057511573</v>
      </c>
      <c r="BD109" s="1">
        <v>0.71159141685032057</v>
      </c>
      <c r="BE109" s="1">
        <v>0.81687082047449833</v>
      </c>
      <c r="BJ109" s="11"/>
    </row>
    <row r="110" spans="1:62" x14ac:dyDescent="0.2">
      <c r="A110" s="13" t="s">
        <v>234</v>
      </c>
      <c r="B110" s="13" t="s">
        <v>228</v>
      </c>
      <c r="C110" s="8">
        <v>41791</v>
      </c>
      <c r="D110" s="14">
        <v>40.506</v>
      </c>
      <c r="E110" s="14">
        <v>-117.13800000000001</v>
      </c>
      <c r="F110" s="65" t="s">
        <v>105</v>
      </c>
      <c r="G110" s="70"/>
      <c r="H110" s="2">
        <v>2.0155155246494987</v>
      </c>
      <c r="I110" s="2">
        <v>2.9779836863203597</v>
      </c>
      <c r="J110" s="2">
        <v>8.6072352279704685</v>
      </c>
      <c r="K110" s="2">
        <v>0.49506476014341305</v>
      </c>
      <c r="L110" s="2">
        <v>7.0098143156532081E-2</v>
      </c>
      <c r="M110" s="2">
        <v>1.2801422884345042</v>
      </c>
      <c r="S110" s="2">
        <v>15.446039630674774</v>
      </c>
      <c r="T110" s="70"/>
      <c r="U110" s="1">
        <v>2.0757637023925799</v>
      </c>
      <c r="V110" s="1">
        <v>2.1375588192962698</v>
      </c>
      <c r="W110" s="1">
        <v>5.7615893781185203</v>
      </c>
      <c r="X110" s="1">
        <v>1582.4262819999999</v>
      </c>
      <c r="Y110" s="1">
        <v>912</v>
      </c>
      <c r="Z110" s="70"/>
      <c r="AA110" s="13"/>
      <c r="AB110" s="13"/>
      <c r="AC110" s="13"/>
      <c r="BA110" s="1">
        <v>34.621964096296303</v>
      </c>
      <c r="BB110" s="1">
        <v>13.339503129799086</v>
      </c>
      <c r="BC110" s="1">
        <v>29.585173855203795</v>
      </c>
      <c r="BD110" s="1">
        <v>0.22242145993166754</v>
      </c>
      <c r="BE110" s="1">
        <v>0.19399932386747804</v>
      </c>
      <c r="BF110" s="1">
        <v>9.9008585999999994</v>
      </c>
      <c r="BG110" s="1">
        <v>9.1016672649325709</v>
      </c>
      <c r="BJ110" s="11"/>
    </row>
    <row r="111" spans="1:62" x14ac:dyDescent="0.2">
      <c r="A111" s="13" t="s">
        <v>235</v>
      </c>
      <c r="B111" s="13" t="s">
        <v>228</v>
      </c>
      <c r="C111" s="8">
        <v>42846</v>
      </c>
      <c r="D111" s="14">
        <v>32.398069</v>
      </c>
      <c r="E111" s="14">
        <v>-111.50923299999999</v>
      </c>
      <c r="F111" s="65" t="s">
        <v>9</v>
      </c>
      <c r="G111" s="70"/>
      <c r="H111" s="2">
        <v>2.8563546713553314</v>
      </c>
      <c r="I111" s="2">
        <v>2.4292133353898495</v>
      </c>
      <c r="J111" s="2">
        <v>7.3930053495937598</v>
      </c>
      <c r="K111" s="2">
        <v>0.35168026546148001</v>
      </c>
      <c r="L111" s="2">
        <v>8.8797476505537362E-2</v>
      </c>
      <c r="S111" s="2">
        <v>13.119051098305958</v>
      </c>
      <c r="T111" s="70"/>
      <c r="U111" s="1">
        <v>3.5515447854995701</v>
      </c>
      <c r="V111" s="1">
        <v>2.0213615033152701</v>
      </c>
      <c r="W111" s="1">
        <v>5.7971589267253902</v>
      </c>
      <c r="X111" s="1">
        <v>762.17034699999999</v>
      </c>
      <c r="Y111" s="1">
        <v>602</v>
      </c>
      <c r="Z111" s="70"/>
      <c r="AA111" s="13"/>
      <c r="AB111" s="13"/>
      <c r="AC111" s="13"/>
      <c r="BF111" s="1">
        <v>15.401335600000001</v>
      </c>
      <c r="BG111" s="1">
        <v>10.146153693969225</v>
      </c>
      <c r="BJ111" s="11"/>
    </row>
    <row r="112" spans="1:62" x14ac:dyDescent="0.2">
      <c r="A112" s="13" t="s">
        <v>236</v>
      </c>
      <c r="B112" s="13" t="s">
        <v>228</v>
      </c>
      <c r="C112" s="8">
        <v>43023</v>
      </c>
      <c r="D112" s="14">
        <v>39.369169999999997</v>
      </c>
      <c r="E112" s="14">
        <v>-106.17139</v>
      </c>
      <c r="F112" s="65" t="s">
        <v>237</v>
      </c>
      <c r="G112" s="70"/>
      <c r="H112" s="2">
        <v>1.8138000224819391</v>
      </c>
      <c r="I112" s="2">
        <v>5.9617798324450133</v>
      </c>
      <c r="J112" s="2">
        <v>5.1423636123399641</v>
      </c>
      <c r="K112" s="2">
        <v>0.6981983183714805</v>
      </c>
      <c r="L112" s="2">
        <v>0.35742567960677968</v>
      </c>
      <c r="S112" s="2">
        <v>13.973567465245175</v>
      </c>
      <c r="T112" s="70"/>
      <c r="U112" s="1">
        <v>4.08089280128479</v>
      </c>
      <c r="V112" s="1">
        <v>4.3581704153464402</v>
      </c>
      <c r="W112" s="1">
        <v>8.7069456577301008</v>
      </c>
      <c r="X112" s="1">
        <v>3623.7147439999999</v>
      </c>
      <c r="Y112" s="1">
        <v>1156</v>
      </c>
      <c r="Z112" s="70"/>
      <c r="AA112" s="13"/>
      <c r="AB112" s="13"/>
      <c r="AC112" s="13"/>
      <c r="BJ112" s="11"/>
    </row>
    <row r="113" spans="1:62" x14ac:dyDescent="0.2">
      <c r="A113" s="13" t="s">
        <v>238</v>
      </c>
      <c r="B113" s="13" t="s">
        <v>228</v>
      </c>
      <c r="C113" s="8">
        <v>42287</v>
      </c>
      <c r="D113" s="14">
        <v>39.769399999999997</v>
      </c>
      <c r="E113" s="14">
        <v>-105.85105</v>
      </c>
      <c r="F113" s="65" t="s">
        <v>237</v>
      </c>
      <c r="G113" s="70"/>
      <c r="H113" s="2">
        <v>0</v>
      </c>
      <c r="I113" s="2">
        <v>4.8841148263838834</v>
      </c>
      <c r="J113" s="2">
        <v>2.9938044421361742</v>
      </c>
      <c r="K113" s="2">
        <v>0.90926135794144802</v>
      </c>
      <c r="L113" s="2">
        <v>0.40835888704767792</v>
      </c>
      <c r="N113" s="2">
        <v>0.41597821219176001</v>
      </c>
      <c r="S113" s="2">
        <v>9.6115177257009439</v>
      </c>
      <c r="T113" s="70"/>
      <c r="U113" s="1">
        <v>4.5796532630920401</v>
      </c>
      <c r="V113" s="1">
        <v>5.0220671303688498</v>
      </c>
      <c r="W113" s="1">
        <v>11.166942059993699</v>
      </c>
      <c r="X113" s="1">
        <v>3516.7269839999999</v>
      </c>
      <c r="Y113" s="1">
        <v>1094</v>
      </c>
      <c r="Z113" s="70"/>
      <c r="AA113" s="13"/>
      <c r="AB113" s="13"/>
      <c r="AC113" s="13"/>
      <c r="BJ113" s="11"/>
    </row>
    <row r="114" spans="1:62" x14ac:dyDescent="0.2">
      <c r="A114" s="13" t="s">
        <v>239</v>
      </c>
      <c r="B114" s="13" t="s">
        <v>240</v>
      </c>
      <c r="C114" s="8">
        <v>42879</v>
      </c>
      <c r="D114" s="14">
        <v>-12.091666999999999</v>
      </c>
      <c r="E114" s="14">
        <v>26.433333000000001</v>
      </c>
      <c r="F114" s="65" t="s">
        <v>85</v>
      </c>
      <c r="G114" s="70"/>
      <c r="H114" s="2">
        <v>5.7978421855479203</v>
      </c>
      <c r="I114" s="2">
        <v>12.76385586666648</v>
      </c>
      <c r="J114" s="2">
        <v>13.740526915805246</v>
      </c>
      <c r="K114" s="2">
        <v>3.534283039829671</v>
      </c>
      <c r="L114" s="2">
        <v>0.79877250068116767</v>
      </c>
      <c r="S114" s="2">
        <v>36.635280508530485</v>
      </c>
      <c r="T114" s="70"/>
      <c r="U114" s="1">
        <v>0.73839658498764005</v>
      </c>
      <c r="V114" s="1">
        <v>0.60379050417414204</v>
      </c>
      <c r="W114" s="1">
        <v>1.1125172376632699</v>
      </c>
      <c r="X114" s="1">
        <v>1405.234177</v>
      </c>
      <c r="Y114" s="1">
        <v>276</v>
      </c>
      <c r="Z114" s="70"/>
      <c r="AA114" s="13" t="s">
        <v>86</v>
      </c>
      <c r="AB114" s="13" t="s">
        <v>87</v>
      </c>
      <c r="AC114" s="13" t="s">
        <v>241</v>
      </c>
      <c r="AD114" s="1">
        <v>13</v>
      </c>
      <c r="AE114" s="20">
        <v>251.36199999999999</v>
      </c>
      <c r="AF114" s="16">
        <v>1.2729318671875622</v>
      </c>
      <c r="AG114" s="27">
        <v>0.2216823900722199</v>
      </c>
      <c r="AK114" s="10">
        <v>10285.92</v>
      </c>
      <c r="AL114" s="10">
        <v>2571.48</v>
      </c>
      <c r="AM114" s="19">
        <v>41.791896700000002</v>
      </c>
      <c r="AW114" s="10">
        <f>AE114-(AK114/1000)</f>
        <v>241.07607999999999</v>
      </c>
      <c r="AX114" s="10">
        <v>584.21400000000006</v>
      </c>
      <c r="AY114" s="1">
        <v>100</v>
      </c>
      <c r="AZ114" s="10">
        <f>AE114+AX114</f>
        <v>835.57600000000002</v>
      </c>
      <c r="BA114" s="1">
        <v>69.103414484024569</v>
      </c>
      <c r="BB114" s="1">
        <v>18.595344719527944</v>
      </c>
      <c r="BC114" s="1">
        <v>53.966283198847925</v>
      </c>
      <c r="BD114" s="1">
        <v>0.88258142991444688</v>
      </c>
      <c r="BE114" s="1">
        <v>0.88723481168539098</v>
      </c>
      <c r="BJ114" s="11"/>
    </row>
    <row r="115" spans="1:62" x14ac:dyDescent="0.2">
      <c r="A115" s="13" t="s">
        <v>242</v>
      </c>
      <c r="B115" s="13" t="s">
        <v>240</v>
      </c>
      <c r="C115" s="8">
        <v>41906</v>
      </c>
      <c r="D115" s="14">
        <v>-12.234235999999999</v>
      </c>
      <c r="E115" s="14">
        <v>25.831441999999999</v>
      </c>
      <c r="F115" s="65" t="s">
        <v>9</v>
      </c>
      <c r="G115" s="70"/>
      <c r="H115" s="2">
        <v>4.5470878408770483</v>
      </c>
      <c r="I115" s="2">
        <v>10.973651533373999</v>
      </c>
      <c r="J115" s="2">
        <v>23.835190032837733</v>
      </c>
      <c r="K115" s="2">
        <v>3.4853129659062745</v>
      </c>
      <c r="L115" s="2">
        <v>11.391672142904012</v>
      </c>
      <c r="S115" s="2">
        <v>54.232914515899076</v>
      </c>
      <c r="T115" s="70"/>
      <c r="U115" s="1">
        <v>0.707036912441254</v>
      </c>
      <c r="V115" s="1">
        <v>0.61410370149447002</v>
      </c>
      <c r="W115" s="1">
        <v>1.04900050163269</v>
      </c>
      <c r="X115" s="1">
        <v>1353.7350160000001</v>
      </c>
      <c r="Y115" s="1">
        <v>161</v>
      </c>
      <c r="Z115" s="70"/>
      <c r="AA115" s="13" t="s">
        <v>86</v>
      </c>
      <c r="AB115" s="13" t="s">
        <v>87</v>
      </c>
      <c r="AC115" s="13" t="s">
        <v>88</v>
      </c>
      <c r="AD115" s="1">
        <v>7</v>
      </c>
      <c r="AE115" s="10">
        <v>113.375112708982</v>
      </c>
      <c r="AF115" s="11">
        <v>0.683501760165656</v>
      </c>
      <c r="AK115" s="10">
        <v>2774.738289939</v>
      </c>
      <c r="AL115" s="10">
        <v>693.68457248474999</v>
      </c>
      <c r="AW115" s="10">
        <f>AE115-(AK115/1000)</f>
        <v>110.60037441904301</v>
      </c>
      <c r="AX115" s="10">
        <v>477.28751667544901</v>
      </c>
      <c r="AY115" s="1">
        <v>100</v>
      </c>
      <c r="AZ115" s="10">
        <f>AE115+AX115</f>
        <v>590.66262938443106</v>
      </c>
      <c r="BA115" s="1">
        <v>35.753100500000002</v>
      </c>
      <c r="BB115" s="1">
        <v>11.280133452190654</v>
      </c>
      <c r="BC115" s="1">
        <v>33.10211723372781</v>
      </c>
      <c r="BD115" s="1">
        <v>1</v>
      </c>
      <c r="BE115" s="1">
        <v>1</v>
      </c>
      <c r="BJ115" s="11"/>
    </row>
    <row r="116" spans="1:62" x14ac:dyDescent="0.2">
      <c r="A116" s="13" t="s">
        <v>243</v>
      </c>
      <c r="B116" s="13" t="s">
        <v>240</v>
      </c>
      <c r="C116" s="8">
        <v>42948</v>
      </c>
      <c r="D116" s="14">
        <v>-12.520003000000001</v>
      </c>
      <c r="E116" s="14">
        <v>27.859580999999999</v>
      </c>
      <c r="F116" s="65" t="s">
        <v>169</v>
      </c>
      <c r="G116" s="70"/>
      <c r="H116" s="2">
        <v>8.6385083588727269</v>
      </c>
      <c r="I116" s="2">
        <v>15.214867866945458</v>
      </c>
      <c r="J116" s="2">
        <v>26.197572602697718</v>
      </c>
      <c r="K116" s="2">
        <v>4.8154354273912627</v>
      </c>
      <c r="L116" s="2">
        <v>8.021533183191859E-2</v>
      </c>
      <c r="S116" s="2">
        <v>54.94659958773908</v>
      </c>
      <c r="T116" s="70"/>
      <c r="U116" s="1">
        <v>0.63819015026092496</v>
      </c>
      <c r="V116" s="1">
        <v>0.58579332964679298</v>
      </c>
      <c r="W116" s="1">
        <v>1.0537791997194299</v>
      </c>
      <c r="X116" s="1">
        <v>1321.5527159999999</v>
      </c>
      <c r="Y116" s="1">
        <v>158</v>
      </c>
      <c r="Z116" s="70"/>
      <c r="AA116" s="13"/>
      <c r="AB116" s="13"/>
      <c r="AC116" s="13"/>
      <c r="BA116" s="1">
        <v>88.616983439999998</v>
      </c>
      <c r="BC116" s="1">
        <v>87.199725951706114</v>
      </c>
      <c r="BD116" s="1">
        <v>0.80070603337612323</v>
      </c>
      <c r="BE116" s="1">
        <v>0.89873345387701631</v>
      </c>
      <c r="BJ116" s="11"/>
    </row>
    <row r="117" spans="1:62" x14ac:dyDescent="0.2">
      <c r="A117" s="13" t="s">
        <v>244</v>
      </c>
      <c r="B117" s="13" t="s">
        <v>240</v>
      </c>
      <c r="C117" s="8">
        <v>41923</v>
      </c>
      <c r="D117" s="14">
        <v>-12.25</v>
      </c>
      <c r="E117" s="14">
        <v>25.33333</v>
      </c>
      <c r="F117" s="65" t="s">
        <v>9</v>
      </c>
      <c r="G117" s="70"/>
      <c r="H117" s="2">
        <v>0.44786421781778801</v>
      </c>
      <c r="I117" s="2">
        <v>10.6624206221286</v>
      </c>
      <c r="J117" s="2">
        <v>12.394686334641802</v>
      </c>
      <c r="K117" s="2">
        <v>1.9910574720698579</v>
      </c>
      <c r="L117" s="2">
        <v>0.54275357323319384</v>
      </c>
      <c r="S117" s="2">
        <v>26.038782219891246</v>
      </c>
      <c r="T117" s="70"/>
      <c r="U117" s="1">
        <v>0.42623609304428101</v>
      </c>
      <c r="V117" s="1">
        <v>0.55343213196419505</v>
      </c>
      <c r="W117" s="1">
        <v>0.96099688112735704</v>
      </c>
      <c r="X117" s="1">
        <v>1244.5063290000001</v>
      </c>
      <c r="Y117" s="1">
        <v>186</v>
      </c>
      <c r="Z117" s="70"/>
      <c r="AA117" s="13"/>
      <c r="AB117" s="13" t="s">
        <v>87</v>
      </c>
      <c r="AC117" s="13" t="s">
        <v>88</v>
      </c>
      <c r="BA117" s="1">
        <v>30.802671200000002</v>
      </c>
      <c r="BB117" s="1">
        <v>4.0708665100103731</v>
      </c>
      <c r="BC117" s="1">
        <v>12.709806375148924</v>
      </c>
      <c r="BD117" s="1">
        <v>1</v>
      </c>
      <c r="BE117" s="1">
        <v>1</v>
      </c>
      <c r="BJ117" s="11"/>
    </row>
    <row r="118" spans="1:62" x14ac:dyDescent="0.2">
      <c r="A118" s="13" t="s">
        <v>245</v>
      </c>
      <c r="B118" s="13" t="s">
        <v>240</v>
      </c>
      <c r="C118" s="8">
        <v>42966</v>
      </c>
      <c r="D118" s="14">
        <v>-12.91306</v>
      </c>
      <c r="E118" s="14">
        <v>28.080279999999998</v>
      </c>
      <c r="F118" s="65" t="s">
        <v>9</v>
      </c>
      <c r="G118" s="70"/>
      <c r="I118" s="2">
        <v>0.2607658077800134</v>
      </c>
      <c r="J118" s="2">
        <v>0.3128798352188592</v>
      </c>
      <c r="K118" s="2">
        <v>0.14051168829393981</v>
      </c>
      <c r="L118" s="2">
        <v>6.2417670978521852E-3</v>
      </c>
      <c r="S118" s="2">
        <v>0.72039909839066452</v>
      </c>
      <c r="T118" s="70"/>
      <c r="U118" s="1">
        <v>0.397073984146118</v>
      </c>
      <c r="V118" s="1">
        <v>0.45856574595354199</v>
      </c>
      <c r="W118" s="1">
        <v>0.65435403585434004</v>
      </c>
      <c r="X118" s="1">
        <v>1242.8152869999999</v>
      </c>
      <c r="Y118" s="1">
        <v>116</v>
      </c>
      <c r="Z118" s="70"/>
      <c r="AA118" s="13" t="s">
        <v>86</v>
      </c>
      <c r="AB118" s="13" t="s">
        <v>91</v>
      </c>
      <c r="AC118" s="13" t="s">
        <v>175</v>
      </c>
      <c r="AD118" s="1">
        <v>11</v>
      </c>
      <c r="AE118" s="18">
        <v>5.7033974084752499</v>
      </c>
      <c r="AF118" s="11">
        <v>3.16052908110558</v>
      </c>
      <c r="AL118" s="10">
        <v>156.84200000000001</v>
      </c>
      <c r="AW118" s="12">
        <f>AE118-AL118/1000</f>
        <v>5.5465554084752497</v>
      </c>
      <c r="AY118" s="1">
        <v>0</v>
      </c>
      <c r="BA118" s="1">
        <v>159.51383299999998</v>
      </c>
      <c r="BC118" s="1">
        <v>135.65711298837209</v>
      </c>
      <c r="BD118" s="1">
        <v>1</v>
      </c>
      <c r="BE118" s="1">
        <v>1</v>
      </c>
      <c r="BJ118" s="11"/>
    </row>
    <row r="119" spans="1:62" x14ac:dyDescent="0.2">
      <c r="A119" s="13" t="s">
        <v>246</v>
      </c>
      <c r="B119" s="13" t="s">
        <v>90</v>
      </c>
      <c r="C119" s="8">
        <v>42312</v>
      </c>
      <c r="D119" s="14">
        <v>-42.066260999999997</v>
      </c>
      <c r="E119" s="14">
        <v>145.56894399999999</v>
      </c>
      <c r="F119" s="65" t="s">
        <v>85</v>
      </c>
      <c r="G119" s="70"/>
      <c r="H119" s="2">
        <v>0.59427723231561436</v>
      </c>
      <c r="I119" s="2">
        <v>1.8006688361496299</v>
      </c>
      <c r="J119" s="2">
        <v>1.4357718845415317</v>
      </c>
      <c r="K119" s="2">
        <v>0.3871476676496598</v>
      </c>
      <c r="S119" s="2">
        <v>4.2178656206564362</v>
      </c>
      <c r="T119" s="70"/>
      <c r="U119" s="1">
        <v>2.85048496723175</v>
      </c>
      <c r="V119" s="1">
        <v>3.5310875612157799</v>
      </c>
      <c r="W119" s="1">
        <v>8.5240303575992602</v>
      </c>
      <c r="X119" s="1">
        <v>410.22468350000003</v>
      </c>
      <c r="Y119" s="1">
        <v>1087</v>
      </c>
      <c r="Z119" s="70"/>
      <c r="AA119" s="1" t="s">
        <v>86</v>
      </c>
      <c r="AB119" s="1" t="s">
        <v>101</v>
      </c>
      <c r="AC119" s="1" t="s">
        <v>88</v>
      </c>
      <c r="AD119" s="1">
        <v>123</v>
      </c>
      <c r="AE119" s="10">
        <v>155.64944986062801</v>
      </c>
      <c r="AF119" s="11">
        <v>1.1966515117304062</v>
      </c>
      <c r="AG119" s="11">
        <v>0.31472453413825519</v>
      </c>
      <c r="AH119" s="11">
        <v>4.5623001776220917</v>
      </c>
      <c r="AL119" s="10">
        <v>1715.5320924472201</v>
      </c>
      <c r="AM119" s="22">
        <v>42.450327101399999</v>
      </c>
      <c r="AN119" s="10">
        <v>675.621832167511</v>
      </c>
      <c r="AW119" s="10">
        <f>AE119-(AL119*4/1000)</f>
        <v>148.78732149083913</v>
      </c>
      <c r="AX119" s="18">
        <v>44.514059856000003</v>
      </c>
      <c r="AY119" s="11">
        <v>40.550140626578809</v>
      </c>
      <c r="AZ119" s="10">
        <f>AE119+AX119</f>
        <v>200.16350971662803</v>
      </c>
      <c r="BJ119" s="11"/>
    </row>
    <row r="120" spans="1:62" x14ac:dyDescent="0.2">
      <c r="A120" s="1" t="s">
        <v>247</v>
      </c>
      <c r="B120" s="1" t="s">
        <v>90</v>
      </c>
      <c r="C120" s="8">
        <v>42334</v>
      </c>
      <c r="D120" s="9">
        <v>-21.659849999999999</v>
      </c>
      <c r="E120" s="9">
        <v>121.572914</v>
      </c>
      <c r="F120" s="65" t="s">
        <v>9</v>
      </c>
      <c r="G120" s="70"/>
      <c r="H120" s="2">
        <v>0.73126544604469801</v>
      </c>
      <c r="I120" s="2">
        <v>0.95510125020437497</v>
      </c>
      <c r="J120" s="2">
        <v>2.7954922248552667</v>
      </c>
      <c r="K120" s="2">
        <v>0.98331081545639776</v>
      </c>
      <c r="L120" s="2">
        <v>0.13337682926072808</v>
      </c>
      <c r="M120" s="2">
        <v>1.0828523044803589</v>
      </c>
      <c r="S120" s="2">
        <v>6.681398870301825</v>
      </c>
      <c r="T120" s="70"/>
      <c r="U120" s="1">
        <v>0.123993188142776</v>
      </c>
      <c r="V120" s="1">
        <v>0.220984591626459</v>
      </c>
      <c r="W120" s="1">
        <v>0.968978092074394</v>
      </c>
      <c r="X120" s="1">
        <v>303.98095239999998</v>
      </c>
      <c r="Y120" s="1">
        <v>110</v>
      </c>
      <c r="Z120" s="70"/>
      <c r="AA120" s="1" t="s">
        <v>86</v>
      </c>
      <c r="AB120" s="1" t="s">
        <v>101</v>
      </c>
      <c r="AC120" s="1" t="s">
        <v>110</v>
      </c>
      <c r="AD120" s="1">
        <v>22</v>
      </c>
      <c r="AE120" s="18">
        <v>16.819215</v>
      </c>
      <c r="AF120" s="11">
        <v>2.5282304126560007</v>
      </c>
      <c r="AL120" s="10">
        <f>601.092-214.2135</f>
        <v>386.87849999999997</v>
      </c>
      <c r="AT120" s="18">
        <v>16.293552895052695</v>
      </c>
      <c r="AU120" s="11">
        <v>1.8735539557070247</v>
      </c>
      <c r="AV120" s="10">
        <v>214.21349777051293</v>
      </c>
      <c r="AW120" s="10">
        <f>AE120-(AL120*4/1000)</f>
        <v>15.271701</v>
      </c>
      <c r="AX120" s="19">
        <v>69.774911125000003</v>
      </c>
      <c r="AY120" s="11">
        <v>49.206505317506519</v>
      </c>
      <c r="AZ120" s="10">
        <f>AE120+AX120</f>
        <v>86.594126125000003</v>
      </c>
      <c r="BJ120" s="11"/>
    </row>
    <row r="121" spans="1:62" x14ac:dyDescent="0.2">
      <c r="A121" s="28" t="s">
        <v>250</v>
      </c>
      <c r="B121" s="28" t="s">
        <v>250</v>
      </c>
      <c r="C121" s="28" t="s">
        <v>250</v>
      </c>
      <c r="D121" s="28" t="s">
        <v>250</v>
      </c>
      <c r="E121" s="28" t="s">
        <v>250</v>
      </c>
      <c r="F121" s="28" t="s">
        <v>250</v>
      </c>
      <c r="G121" s="69"/>
      <c r="H121" s="28" t="s">
        <v>250</v>
      </c>
      <c r="I121" s="28" t="s">
        <v>250</v>
      </c>
      <c r="J121" s="28" t="s">
        <v>250</v>
      </c>
      <c r="K121" s="28" t="s">
        <v>250</v>
      </c>
      <c r="L121" s="28" t="s">
        <v>250</v>
      </c>
      <c r="M121" s="28" t="s">
        <v>250</v>
      </c>
      <c r="N121" s="28" t="s">
        <v>250</v>
      </c>
      <c r="O121" s="28" t="s">
        <v>250</v>
      </c>
      <c r="P121" s="28" t="s">
        <v>250</v>
      </c>
      <c r="Q121" s="28" t="s">
        <v>250</v>
      </c>
      <c r="R121" s="28" t="s">
        <v>250</v>
      </c>
      <c r="S121" s="28" t="s">
        <v>250</v>
      </c>
      <c r="T121" s="69"/>
      <c r="Z121" s="69"/>
      <c r="AA121" s="28" t="s">
        <v>250</v>
      </c>
      <c r="AB121" s="28" t="s">
        <v>250</v>
      </c>
      <c r="AC121" s="28" t="s">
        <v>250</v>
      </c>
      <c r="AD121" s="28" t="s">
        <v>250</v>
      </c>
      <c r="AE121" s="28" t="s">
        <v>250</v>
      </c>
      <c r="AF121" s="28" t="s">
        <v>250</v>
      </c>
      <c r="AG121" s="28" t="s">
        <v>250</v>
      </c>
      <c r="AH121" s="28" t="s">
        <v>250</v>
      </c>
      <c r="AI121" s="28" t="s">
        <v>250</v>
      </c>
      <c r="AJ121" s="28" t="s">
        <v>250</v>
      </c>
      <c r="AK121" s="28" t="s">
        <v>250</v>
      </c>
      <c r="AL121" s="28" t="s">
        <v>250</v>
      </c>
      <c r="AM121" s="28" t="s">
        <v>250</v>
      </c>
      <c r="AN121" s="28" t="s">
        <v>250</v>
      </c>
      <c r="AO121" s="28" t="s">
        <v>250</v>
      </c>
      <c r="AP121" s="28" t="s">
        <v>250</v>
      </c>
      <c r="AQ121" s="28" t="s">
        <v>250</v>
      </c>
      <c r="AR121" s="28" t="s">
        <v>250</v>
      </c>
      <c r="AS121" s="28" t="s">
        <v>250</v>
      </c>
      <c r="AT121" s="28" t="s">
        <v>250</v>
      </c>
      <c r="AU121" s="28" t="s">
        <v>250</v>
      </c>
      <c r="AV121" s="28" t="s">
        <v>250</v>
      </c>
      <c r="AW121" s="28" t="s">
        <v>250</v>
      </c>
      <c r="AX121" s="28" t="s">
        <v>250</v>
      </c>
      <c r="AY121" s="28" t="s">
        <v>250</v>
      </c>
      <c r="AZ121" s="28" t="s">
        <v>250</v>
      </c>
    </row>
    <row r="122" spans="1:62" s="4" customFormat="1" x14ac:dyDescent="0.2">
      <c r="A122" s="4" t="s">
        <v>11</v>
      </c>
      <c r="B122" s="4" t="s">
        <v>12</v>
      </c>
      <c r="C122" s="4" t="s">
        <v>13</v>
      </c>
      <c r="D122" s="4" t="s">
        <v>14</v>
      </c>
      <c r="E122" s="4" t="s">
        <v>15</v>
      </c>
      <c r="F122" s="63" t="s">
        <v>515</v>
      </c>
      <c r="G122" s="68"/>
      <c r="H122" s="4" t="s">
        <v>21</v>
      </c>
      <c r="I122" s="4" t="s">
        <v>22</v>
      </c>
      <c r="J122" s="4" t="s">
        <v>23</v>
      </c>
      <c r="K122" s="4" t="s">
        <v>24</v>
      </c>
      <c r="L122" s="4" t="s">
        <v>25</v>
      </c>
      <c r="M122" s="4" t="s">
        <v>26</v>
      </c>
      <c r="N122" s="4" t="s">
        <v>27</v>
      </c>
      <c r="O122" s="4" t="s">
        <v>28</v>
      </c>
      <c r="P122" s="4" t="s">
        <v>29</v>
      </c>
      <c r="Q122" s="4" t="s">
        <v>30</v>
      </c>
      <c r="R122" s="4" t="s">
        <v>31</v>
      </c>
      <c r="S122" s="4" t="s">
        <v>20</v>
      </c>
      <c r="T122" s="68"/>
      <c r="Z122" s="68"/>
      <c r="AA122" s="4" t="s">
        <v>16</v>
      </c>
      <c r="AB122" s="4" t="s">
        <v>17</v>
      </c>
      <c r="AC122" s="4" t="s">
        <v>17</v>
      </c>
      <c r="AD122" s="4" t="s">
        <v>18</v>
      </c>
      <c r="AE122" s="4" t="s">
        <v>19</v>
      </c>
      <c r="AF122" s="4" t="s">
        <v>19</v>
      </c>
      <c r="AG122" s="4" t="s">
        <v>19</v>
      </c>
      <c r="AH122" s="4" t="s">
        <v>19</v>
      </c>
      <c r="AI122" s="4" t="s">
        <v>19</v>
      </c>
      <c r="AJ122" s="4" t="s">
        <v>19</v>
      </c>
      <c r="AK122" s="4" t="s">
        <v>19</v>
      </c>
      <c r="AL122" s="4" t="s">
        <v>19</v>
      </c>
      <c r="AM122" s="4" t="s">
        <v>19</v>
      </c>
      <c r="AN122" s="4" t="s">
        <v>19</v>
      </c>
      <c r="AO122" s="4" t="s">
        <v>19</v>
      </c>
      <c r="AP122" s="4" t="s">
        <v>19</v>
      </c>
      <c r="AQ122" s="4" t="s">
        <v>19</v>
      </c>
      <c r="AR122" s="4" t="s">
        <v>19</v>
      </c>
      <c r="AS122" s="4" t="s">
        <v>19</v>
      </c>
      <c r="AT122" s="4" t="s">
        <v>19</v>
      </c>
      <c r="AU122" s="4" t="s">
        <v>19</v>
      </c>
      <c r="AV122" s="4" t="s">
        <v>19</v>
      </c>
      <c r="AW122" s="4" t="s">
        <v>19</v>
      </c>
      <c r="AX122" s="4" t="s">
        <v>19</v>
      </c>
      <c r="AY122" s="4" t="s">
        <v>19</v>
      </c>
      <c r="AZ122" s="4" t="s">
        <v>20</v>
      </c>
    </row>
    <row r="123" spans="1:62" s="4" customFormat="1" ht="13.5" x14ac:dyDescent="0.2">
      <c r="A123" s="4" t="s">
        <v>11</v>
      </c>
      <c r="B123" s="4" t="s">
        <v>12</v>
      </c>
      <c r="C123" s="4" t="s">
        <v>33</v>
      </c>
      <c r="D123" s="4" t="s">
        <v>14</v>
      </c>
      <c r="E123" s="4" t="s">
        <v>15</v>
      </c>
      <c r="F123" s="63" t="s">
        <v>516</v>
      </c>
      <c r="G123" s="68"/>
      <c r="H123" s="4" t="s">
        <v>514</v>
      </c>
      <c r="I123" s="4" t="s">
        <v>514</v>
      </c>
      <c r="J123" s="4" t="s">
        <v>514</v>
      </c>
      <c r="K123" s="4" t="s">
        <v>514</v>
      </c>
      <c r="L123" s="4" t="s">
        <v>514</v>
      </c>
      <c r="M123" s="4" t="s">
        <v>514</v>
      </c>
      <c r="N123" s="4" t="s">
        <v>514</v>
      </c>
      <c r="O123" s="4" t="s">
        <v>514</v>
      </c>
      <c r="P123" s="4" t="s">
        <v>514</v>
      </c>
      <c r="Q123" s="4" t="s">
        <v>514</v>
      </c>
      <c r="R123" s="4" t="s">
        <v>514</v>
      </c>
      <c r="S123" s="4" t="s">
        <v>514</v>
      </c>
      <c r="T123" s="68"/>
      <c r="Z123" s="68"/>
      <c r="AA123" s="4" t="s">
        <v>34</v>
      </c>
      <c r="AB123" s="4" t="s">
        <v>35</v>
      </c>
      <c r="AC123" s="4" t="s">
        <v>35</v>
      </c>
      <c r="AD123" s="4" t="s">
        <v>36</v>
      </c>
      <c r="AE123" s="4" t="s">
        <v>37</v>
      </c>
      <c r="AF123" s="4" t="s">
        <v>37</v>
      </c>
      <c r="AG123" s="4" t="s">
        <v>37</v>
      </c>
      <c r="AH123" s="4" t="s">
        <v>37</v>
      </c>
      <c r="AI123" s="4" t="s">
        <v>37</v>
      </c>
      <c r="AJ123" s="4" t="s">
        <v>37</v>
      </c>
      <c r="AK123" s="4" t="s">
        <v>37</v>
      </c>
      <c r="AL123" s="4" t="s">
        <v>37</v>
      </c>
      <c r="AM123" s="4" t="s">
        <v>37</v>
      </c>
      <c r="AN123" s="4" t="s">
        <v>37</v>
      </c>
      <c r="AO123" s="4" t="s">
        <v>37</v>
      </c>
      <c r="AP123" s="4" t="s">
        <v>37</v>
      </c>
      <c r="AQ123" s="4" t="s">
        <v>37</v>
      </c>
      <c r="AR123" s="4" t="s">
        <v>37</v>
      </c>
      <c r="AS123" s="4" t="s">
        <v>37</v>
      </c>
      <c r="AT123" s="4" t="s">
        <v>37</v>
      </c>
      <c r="AU123" s="4" t="s">
        <v>37</v>
      </c>
      <c r="AV123" s="4" t="s">
        <v>37</v>
      </c>
      <c r="AW123" s="4" t="s">
        <v>37</v>
      </c>
      <c r="AX123" s="4" t="s">
        <v>37</v>
      </c>
      <c r="AY123" s="4" t="s">
        <v>37</v>
      </c>
      <c r="AZ123" s="4" t="s">
        <v>38</v>
      </c>
    </row>
    <row r="124" spans="1:62" s="4" customFormat="1" x14ac:dyDescent="0.2">
      <c r="A124" s="4" t="s">
        <v>11</v>
      </c>
      <c r="B124" s="4" t="s">
        <v>12</v>
      </c>
      <c r="C124" s="4" t="s">
        <v>45</v>
      </c>
      <c r="D124" s="4" t="s">
        <v>14</v>
      </c>
      <c r="E124" s="4" t="s">
        <v>15</v>
      </c>
      <c r="G124" s="69"/>
      <c r="T124" s="69"/>
      <c r="Z124" s="69"/>
      <c r="AA124" s="4" t="s">
        <v>46</v>
      </c>
      <c r="AB124" s="4" t="s">
        <v>11</v>
      </c>
      <c r="AC124" s="4" t="s">
        <v>47</v>
      </c>
      <c r="AD124" s="4" t="s">
        <v>48</v>
      </c>
      <c r="AE124" s="4" t="s">
        <v>42</v>
      </c>
      <c r="AF124" s="4" t="s">
        <v>251</v>
      </c>
      <c r="AG124" s="4" t="s">
        <v>252</v>
      </c>
      <c r="AH124" s="4" t="s">
        <v>51</v>
      </c>
      <c r="AI124" s="4" t="s">
        <v>44</v>
      </c>
      <c r="AJ124" s="4" t="s">
        <v>50</v>
      </c>
      <c r="AK124" s="4" t="s">
        <v>253</v>
      </c>
      <c r="AL124" s="4" t="s">
        <v>254</v>
      </c>
      <c r="AM124" s="4" t="s">
        <v>255</v>
      </c>
      <c r="AN124" s="4" t="s">
        <v>256</v>
      </c>
      <c r="AO124" s="4" t="s">
        <v>56</v>
      </c>
      <c r="AP124" s="4" t="s">
        <v>54</v>
      </c>
      <c r="AQ124" s="4" t="s">
        <v>43</v>
      </c>
      <c r="AR124" s="4" t="s">
        <v>55</v>
      </c>
      <c r="AS124" s="4" t="s">
        <v>60</v>
      </c>
      <c r="AW124" s="4" t="s">
        <v>64</v>
      </c>
      <c r="AX124" s="4" t="s">
        <v>65</v>
      </c>
      <c r="AY124" s="4" t="s">
        <v>66</v>
      </c>
      <c r="AZ124" s="4" t="s">
        <v>67</v>
      </c>
    </row>
    <row r="125" spans="1:62" x14ac:dyDescent="0.2">
      <c r="A125" s="1" t="s">
        <v>257</v>
      </c>
      <c r="B125" s="1" t="s">
        <v>228</v>
      </c>
      <c r="C125" s="29">
        <v>40059</v>
      </c>
      <c r="D125" s="9">
        <v>68.070279999999997</v>
      </c>
      <c r="E125" s="9">
        <v>-162.83778000000001</v>
      </c>
      <c r="F125" s="65" t="s">
        <v>250</v>
      </c>
      <c r="G125" s="70"/>
      <c r="H125" s="2">
        <v>0.79078784103844302</v>
      </c>
      <c r="I125" s="2">
        <v>2.1312986455514102</v>
      </c>
      <c r="J125" s="2">
        <v>2.3860326647768177</v>
      </c>
      <c r="K125" s="2">
        <v>0.78359579369966215</v>
      </c>
      <c r="S125" s="2">
        <v>6.0917149450663342</v>
      </c>
      <c r="T125" s="70"/>
      <c r="U125" s="1">
        <v>0.90568315982818604</v>
      </c>
      <c r="V125" s="1">
        <v>1.5203291157754499</v>
      </c>
      <c r="W125" s="1">
        <v>4.6008085012435904</v>
      </c>
      <c r="X125" s="1">
        <v>349.08945690000002</v>
      </c>
      <c r="Y125" s="1">
        <v>614</v>
      </c>
      <c r="Z125" s="70"/>
      <c r="AA125" s="1" t="s">
        <v>86</v>
      </c>
      <c r="AB125" s="1" t="s">
        <v>87</v>
      </c>
      <c r="AC125" s="1" t="s">
        <v>88</v>
      </c>
      <c r="AD125" s="1">
        <v>21</v>
      </c>
      <c r="AE125" s="11">
        <v>49.937689173333297</v>
      </c>
      <c r="AF125" s="12">
        <v>5.6924989774349957</v>
      </c>
      <c r="AG125" s="12">
        <v>20.665687839511634</v>
      </c>
      <c r="AH125" s="21">
        <v>98.287231859378707</v>
      </c>
      <c r="AL125" s="10">
        <v>1573.49809084971</v>
      </c>
      <c r="AN125" s="10">
        <v>8447.13315682965</v>
      </c>
      <c r="AO125" s="22">
        <v>3062.1282352266699</v>
      </c>
      <c r="AS125" s="10">
        <v>18238.957833600001</v>
      </c>
      <c r="AV125" s="11"/>
      <c r="AW125" s="11">
        <f>AE125-AS125/1000</f>
        <v>31.698731339733296</v>
      </c>
      <c r="AX125" s="11">
        <v>47.290531843976702</v>
      </c>
      <c r="AY125" s="1">
        <v>100</v>
      </c>
      <c r="AZ125" s="10">
        <f>AE125+AX125</f>
        <v>97.228221017310005</v>
      </c>
      <c r="BA125" s="1">
        <v>440.93138345037255</v>
      </c>
      <c r="BC125" s="1">
        <v>350.30615022354698</v>
      </c>
    </row>
    <row r="126" spans="1:62" x14ac:dyDescent="0.2">
      <c r="A126" s="1" t="s">
        <v>258</v>
      </c>
      <c r="B126" s="1" t="s">
        <v>90</v>
      </c>
      <c r="C126" s="29">
        <v>42329</v>
      </c>
      <c r="D126" s="9">
        <v>-18.738056965479501</v>
      </c>
      <c r="E126" s="9">
        <v>138.62502119253099</v>
      </c>
      <c r="F126" s="65" t="s">
        <v>250</v>
      </c>
      <c r="G126" s="70"/>
      <c r="H126" s="2">
        <v>2.2568938325344998</v>
      </c>
      <c r="I126" s="2">
        <v>3.7295176952593718</v>
      </c>
      <c r="J126" s="2">
        <v>18.911514537444091</v>
      </c>
      <c r="K126" s="2">
        <v>1.1652034729489442</v>
      </c>
      <c r="L126" s="2">
        <v>4.3168365542142789E-2</v>
      </c>
      <c r="S126" s="2">
        <v>26.10629790372905</v>
      </c>
      <c r="T126" s="70"/>
      <c r="U126" s="1">
        <v>0.49084442853927601</v>
      </c>
      <c r="V126" s="1">
        <v>0.54348713224813106</v>
      </c>
      <c r="W126" s="1">
        <v>1.2855872921645599</v>
      </c>
      <c r="X126" s="1">
        <v>164.92675159999999</v>
      </c>
      <c r="Y126" s="1">
        <v>184</v>
      </c>
      <c r="Z126" s="70"/>
      <c r="AA126" s="1" t="s">
        <v>86</v>
      </c>
      <c r="AB126" s="1" t="s">
        <v>87</v>
      </c>
      <c r="AC126" s="1" t="s">
        <v>88</v>
      </c>
      <c r="AD126" s="1">
        <v>16</v>
      </c>
      <c r="AE126" s="18">
        <v>86.320108807861331</v>
      </c>
      <c r="AF126" s="12">
        <v>1.604486186037108</v>
      </c>
      <c r="AG126" s="12">
        <v>11.13478467848385</v>
      </c>
      <c r="AH126" s="21">
        <v>39.360832366805987</v>
      </c>
      <c r="AL126" s="10">
        <v>824.3995435850768</v>
      </c>
      <c r="AN126" s="10">
        <v>7468.449120597179</v>
      </c>
      <c r="AO126" s="22">
        <v>1833.9556599926402</v>
      </c>
      <c r="AW126" s="11">
        <f>AE126-((AL126+AN126)*2/1000)</f>
        <v>69.734411479496814</v>
      </c>
      <c r="AY126" s="1">
        <v>100</v>
      </c>
      <c r="BA126" s="1">
        <v>198.404224452352</v>
      </c>
      <c r="BC126" s="1">
        <v>138.09688058226612</v>
      </c>
    </row>
    <row r="127" spans="1:62" x14ac:dyDescent="0.2">
      <c r="A127" s="1" t="s">
        <v>259</v>
      </c>
      <c r="B127" s="1" t="s">
        <v>90</v>
      </c>
      <c r="C127" s="29">
        <v>42892</v>
      </c>
      <c r="D127" s="9">
        <v>-26.517943576997901</v>
      </c>
      <c r="E127" s="9">
        <v>119.941925620917</v>
      </c>
      <c r="F127" s="65" t="s">
        <v>250</v>
      </c>
      <c r="G127" s="70"/>
      <c r="H127" s="2">
        <v>0.22529161911036003</v>
      </c>
      <c r="I127" s="2">
        <v>0.79078570228394396</v>
      </c>
      <c r="J127" s="2">
        <v>1.5075679614866841</v>
      </c>
      <c r="K127" s="2">
        <v>0.115943236551523</v>
      </c>
      <c r="L127" s="2">
        <v>1.1817657468855299E-2</v>
      </c>
      <c r="S127" s="2">
        <v>2.6514061769013666</v>
      </c>
      <c r="T127" s="70"/>
      <c r="U127" s="1">
        <v>0.32463255524635298</v>
      </c>
      <c r="V127" s="1">
        <v>0.25326993750437898</v>
      </c>
      <c r="W127" s="1">
        <v>0.70120178163051605</v>
      </c>
      <c r="X127" s="1">
        <v>528.28253970000003</v>
      </c>
      <c r="Y127" s="1">
        <v>67</v>
      </c>
      <c r="Z127" s="70"/>
      <c r="AA127" s="1" t="s">
        <v>86</v>
      </c>
      <c r="AB127" s="1" t="s">
        <v>87</v>
      </c>
      <c r="AC127" s="1" t="s">
        <v>88</v>
      </c>
      <c r="AD127" s="1">
        <v>8</v>
      </c>
      <c r="AE127" s="18">
        <v>5.6769579999999999</v>
      </c>
      <c r="AF127" s="12">
        <v>7.1528761264405025</v>
      </c>
      <c r="AH127" s="1">
        <v>2</v>
      </c>
      <c r="AL127" s="10">
        <v>302.91500000000002</v>
      </c>
      <c r="AW127" s="11">
        <f>AE127-((AL127+AN127)*2/1000)</f>
        <v>5.0711279999999999</v>
      </c>
      <c r="AY127" s="1">
        <v>100</v>
      </c>
      <c r="BA127" s="1">
        <v>135.1191934905705</v>
      </c>
      <c r="BC127" s="1">
        <v>103.26336098130842</v>
      </c>
    </row>
    <row r="128" spans="1:62" x14ac:dyDescent="0.2">
      <c r="A128" s="1" t="s">
        <v>260</v>
      </c>
      <c r="B128" s="1" t="s">
        <v>261</v>
      </c>
      <c r="C128" s="29">
        <v>42408</v>
      </c>
      <c r="D128" s="9">
        <v>-27.817820000000001</v>
      </c>
      <c r="E128" s="9">
        <v>16.600300000000001</v>
      </c>
      <c r="F128" s="65" t="s">
        <v>250</v>
      </c>
      <c r="G128" s="70"/>
      <c r="H128" s="2">
        <v>1.01168955803401</v>
      </c>
      <c r="I128" s="2">
        <v>0.32092971632617301</v>
      </c>
      <c r="J128" s="2">
        <v>4.0459394600131384</v>
      </c>
      <c r="K128" s="2">
        <v>1.0812885676645625</v>
      </c>
      <c r="L128" s="2">
        <v>0.19291876882339662</v>
      </c>
      <c r="S128" s="2">
        <v>6.652766070861281</v>
      </c>
      <c r="T128" s="70"/>
      <c r="U128" s="1">
        <v>1.00910228490829</v>
      </c>
      <c r="V128" s="1">
        <v>1.3203314884314501</v>
      </c>
      <c r="W128" s="1">
        <v>4.3760295808315304</v>
      </c>
      <c r="X128" s="1">
        <v>708.20952380000006</v>
      </c>
      <c r="Y128" s="1">
        <v>468</v>
      </c>
      <c r="Z128" s="70"/>
      <c r="AA128" s="1" t="s">
        <v>86</v>
      </c>
      <c r="AB128" s="1" t="s">
        <v>87</v>
      </c>
      <c r="AC128" s="1" t="s">
        <v>262</v>
      </c>
      <c r="AD128" s="1">
        <v>13</v>
      </c>
      <c r="AE128" s="18">
        <v>17.073474000000001</v>
      </c>
      <c r="AG128" s="12">
        <v>10.706628271434392</v>
      </c>
      <c r="AN128" s="10">
        <v>1612.9380000000001</v>
      </c>
      <c r="AW128" s="11">
        <f>AE128-AN128/1000</f>
        <v>15.460536000000001</v>
      </c>
      <c r="AY128" s="1">
        <v>100</v>
      </c>
      <c r="BA128" s="1">
        <v>173.81066399999997</v>
      </c>
      <c r="BC128" s="1">
        <v>127.61893752282839</v>
      </c>
    </row>
    <row r="129" spans="1:57" x14ac:dyDescent="0.2">
      <c r="A129" s="1" t="s">
        <v>263</v>
      </c>
      <c r="B129" s="1" t="s">
        <v>264</v>
      </c>
      <c r="C129" s="29">
        <v>42444</v>
      </c>
      <c r="D129" s="9">
        <v>52.75</v>
      </c>
      <c r="E129" s="9">
        <v>-7.6833299999999998</v>
      </c>
      <c r="F129" s="65" t="s">
        <v>250</v>
      </c>
      <c r="G129" s="70"/>
      <c r="I129" s="2">
        <v>0.70903885602225303</v>
      </c>
      <c r="J129" s="2">
        <v>1.7272852279303523</v>
      </c>
      <c r="K129" s="2">
        <v>0.19496612755359641</v>
      </c>
      <c r="L129" s="2">
        <v>2.0966798491805723E-2</v>
      </c>
      <c r="S129" s="2">
        <v>2.6522570099980078</v>
      </c>
      <c r="T129" s="70"/>
      <c r="U129" s="1">
        <v>0.113489102572203</v>
      </c>
      <c r="V129" s="1">
        <v>0.100935074612734</v>
      </c>
      <c r="W129" s="1">
        <v>0.15497118607163399</v>
      </c>
      <c r="X129" s="1">
        <v>137.721519</v>
      </c>
      <c r="Y129" s="1">
        <v>40</v>
      </c>
      <c r="Z129" s="70"/>
      <c r="AA129" s="1" t="s">
        <v>86</v>
      </c>
      <c r="AB129" s="1" t="s">
        <v>91</v>
      </c>
      <c r="AC129" s="1" t="s">
        <v>88</v>
      </c>
      <c r="AD129" s="1">
        <v>17</v>
      </c>
      <c r="AE129" s="18">
        <v>21.867052063714688</v>
      </c>
      <c r="AF129" s="12">
        <v>2.0748497621826516</v>
      </c>
      <c r="AG129" s="12">
        <v>12.094579411522375</v>
      </c>
      <c r="AL129" s="10">
        <v>322.9338064516129</v>
      </c>
      <c r="AN129" s="10">
        <v>2361.6823870967742</v>
      </c>
      <c r="AW129" s="11">
        <f>AE129-((AL129+AN129)*2/1000)</f>
        <v>16.497819676617915</v>
      </c>
      <c r="AY129" s="1">
        <v>0</v>
      </c>
      <c r="BA129" s="1">
        <v>205.73018556</v>
      </c>
      <c r="BC129" s="1">
        <v>204.97245575351144</v>
      </c>
    </row>
    <row r="130" spans="1:57" x14ac:dyDescent="0.2">
      <c r="A130" s="1" t="s">
        <v>265</v>
      </c>
      <c r="B130" s="1" t="s">
        <v>90</v>
      </c>
      <c r="C130" s="29">
        <v>42906</v>
      </c>
      <c r="D130" s="9">
        <v>-21.869241356621199</v>
      </c>
      <c r="E130" s="9">
        <v>140.91945234610901</v>
      </c>
      <c r="F130" s="65" t="s">
        <v>250</v>
      </c>
      <c r="G130" s="70"/>
      <c r="I130" s="2">
        <v>1.3705560524507747</v>
      </c>
      <c r="J130" s="2">
        <v>0.82589409165511718</v>
      </c>
      <c r="K130" s="2">
        <v>1.0920736484414253</v>
      </c>
      <c r="L130" s="2">
        <v>0.34942043283216284</v>
      </c>
      <c r="S130" s="2">
        <v>3.63794422537948</v>
      </c>
      <c r="T130" s="70"/>
      <c r="U130" s="1">
        <v>9.84008833765984E-2</v>
      </c>
      <c r="V130" s="1">
        <v>0.18512205889887501</v>
      </c>
      <c r="W130" s="1">
        <v>0.58159239683300301</v>
      </c>
      <c r="X130" s="1">
        <v>260.32802550000002</v>
      </c>
      <c r="Y130" s="1">
        <v>60</v>
      </c>
      <c r="Z130" s="70"/>
      <c r="AA130" s="1" t="s">
        <v>86</v>
      </c>
      <c r="AB130" s="1" t="s">
        <v>91</v>
      </c>
      <c r="AC130" s="1" t="s">
        <v>88</v>
      </c>
      <c r="AD130" s="1">
        <v>20</v>
      </c>
      <c r="AE130" s="18">
        <v>52.342528999999999</v>
      </c>
      <c r="AF130" s="12">
        <v>9.4367422978358579</v>
      </c>
      <c r="AG130" s="12">
        <v>3.5868848427251194</v>
      </c>
      <c r="AH130" s="21">
        <v>422.25652768898499</v>
      </c>
      <c r="AK130" s="10">
        <v>8440.4740000000002</v>
      </c>
      <c r="AL130" s="10">
        <v>4220.2370000000001</v>
      </c>
      <c r="AM130" s="10">
        <v>2355.4769999999999</v>
      </c>
      <c r="AN130" s="10">
        <v>1177.7384999999999</v>
      </c>
      <c r="AO130" s="22">
        <v>18907.54045</v>
      </c>
      <c r="AW130" s="11">
        <f>AE130-((AK130+AM130)/1000)</f>
        <v>41.546577999999997</v>
      </c>
      <c r="AY130" s="1">
        <v>0</v>
      </c>
      <c r="BA130" s="1">
        <v>315.56618667454484</v>
      </c>
      <c r="BC130" s="1">
        <v>251.34170443100402</v>
      </c>
    </row>
    <row r="131" spans="1:57" x14ac:dyDescent="0.2">
      <c r="A131" s="1" t="s">
        <v>266</v>
      </c>
      <c r="B131" s="1" t="s">
        <v>90</v>
      </c>
      <c r="C131" s="29">
        <v>42347</v>
      </c>
      <c r="D131" s="9">
        <v>-31.9665</v>
      </c>
      <c r="E131" s="9">
        <v>141.465</v>
      </c>
      <c r="F131" s="65" t="s">
        <v>250</v>
      </c>
      <c r="G131" s="70"/>
      <c r="H131" s="2">
        <v>0.4882384323682048</v>
      </c>
      <c r="I131" s="2">
        <v>1.3927564091281155</v>
      </c>
      <c r="J131" s="2">
        <v>4.6831481568162436</v>
      </c>
      <c r="K131" s="2">
        <v>0.89873489431445985</v>
      </c>
      <c r="L131" s="2">
        <v>0.2314846456940203</v>
      </c>
      <c r="S131" s="2">
        <v>7.6943625383210437</v>
      </c>
      <c r="T131" s="70"/>
      <c r="U131" s="1">
        <v>0.42782025039195998</v>
      </c>
      <c r="V131" s="1">
        <v>0.39465640798684098</v>
      </c>
      <c r="W131" s="1">
        <v>1.01183940842748</v>
      </c>
      <c r="X131" s="1">
        <v>295.91111110000003</v>
      </c>
      <c r="Y131" s="1">
        <v>103</v>
      </c>
      <c r="Z131" s="70"/>
      <c r="AA131" s="1" t="s">
        <v>86</v>
      </c>
      <c r="AB131" s="1" t="s">
        <v>101</v>
      </c>
      <c r="AC131" s="1" t="s">
        <v>88</v>
      </c>
      <c r="AD131" s="1">
        <v>133</v>
      </c>
      <c r="AE131" s="12">
        <v>219.89048752240001</v>
      </c>
      <c r="AF131" s="12">
        <v>10.001198683789749</v>
      </c>
      <c r="AG131" s="12">
        <v>9.8004900714879195</v>
      </c>
      <c r="AH131" s="21">
        <v>151.37006703280213</v>
      </c>
      <c r="AL131" s="10">
        <v>20602.688695750501</v>
      </c>
      <c r="AN131" s="10">
        <v>19717.402323646402</v>
      </c>
      <c r="AO131" s="22">
        <v>30626.221409730428</v>
      </c>
      <c r="AQ131" s="10">
        <v>264.72921600000001</v>
      </c>
      <c r="AR131" s="10">
        <v>38.312247939999999</v>
      </c>
      <c r="AW131" s="12">
        <f>AE131-((AL131+AN131)*2/1000)</f>
        <v>139.25030548360621</v>
      </c>
      <c r="AX131" s="30">
        <v>6.5</v>
      </c>
      <c r="AY131" s="1">
        <v>5</v>
      </c>
      <c r="AZ131" s="10">
        <f>AE131+AX131</f>
        <v>226.39048752240001</v>
      </c>
      <c r="BA131" s="1">
        <v>265.45788703151123</v>
      </c>
      <c r="BC131" s="1">
        <v>231.01058376818523</v>
      </c>
      <c r="BD131" s="1">
        <v>5.1801785412266398E-2</v>
      </c>
      <c r="BE131" s="1">
        <v>5.9526244536912916E-2</v>
      </c>
    </row>
    <row r="132" spans="1:57" x14ac:dyDescent="0.2">
      <c r="A132" s="1" t="s">
        <v>267</v>
      </c>
      <c r="B132" s="1" t="s">
        <v>90</v>
      </c>
      <c r="C132" s="29">
        <v>42767</v>
      </c>
      <c r="D132" s="9">
        <v>-16.43221389</v>
      </c>
      <c r="E132" s="9">
        <v>136.09301110999999</v>
      </c>
      <c r="F132" s="65" t="s">
        <v>250</v>
      </c>
      <c r="G132" s="70"/>
      <c r="H132" s="2">
        <v>1.1449193288764299</v>
      </c>
      <c r="I132" s="2">
        <v>2.18014825750575</v>
      </c>
      <c r="J132" s="2">
        <v>6.9235893267952271</v>
      </c>
      <c r="K132" s="2">
        <v>1.8077821245607637</v>
      </c>
      <c r="L132" s="2">
        <v>0.76235051416867194</v>
      </c>
      <c r="S132" s="2">
        <v>12.818789551906843</v>
      </c>
      <c r="T132" s="70"/>
      <c r="U132" s="1">
        <v>0.30753213167190602</v>
      </c>
      <c r="V132" s="1">
        <v>0.48061717625954198</v>
      </c>
      <c r="W132" s="1">
        <v>0.99197908490896203</v>
      </c>
      <c r="X132" s="1">
        <v>62.075709779999997</v>
      </c>
      <c r="Y132" s="1">
        <v>127</v>
      </c>
      <c r="Z132" s="70"/>
      <c r="AA132" s="1" t="s">
        <v>86</v>
      </c>
      <c r="AB132" s="1" t="s">
        <v>96</v>
      </c>
      <c r="AC132" s="1" t="s">
        <v>88</v>
      </c>
      <c r="AD132" s="1">
        <v>22</v>
      </c>
      <c r="AE132" s="12">
        <v>39.9338688896771</v>
      </c>
      <c r="AF132" s="12">
        <v>4.9594407024902578</v>
      </c>
      <c r="AG132" s="12">
        <v>11.646727005042049</v>
      </c>
      <c r="AH132" s="21">
        <v>49.697322822639023</v>
      </c>
      <c r="AL132" s="10">
        <v>791.87485714285697</v>
      </c>
      <c r="AM132" s="10">
        <v>7813.1286772486801</v>
      </c>
      <c r="AN132" s="10">
        <v>3515.9079047619002</v>
      </c>
      <c r="AO132" s="22">
        <v>928.61940105857195</v>
      </c>
      <c r="AQ132" s="10"/>
      <c r="AR132" s="10"/>
      <c r="AW132" s="11">
        <f>AE132-(AM132/1000)</f>
        <v>32.120740212428423</v>
      </c>
      <c r="AX132" s="30"/>
      <c r="AY132" s="12">
        <v>65.942549169283012</v>
      </c>
      <c r="AZ132" s="10">
        <v>203.40863859999999</v>
      </c>
      <c r="BA132" s="1">
        <v>303.60565365916398</v>
      </c>
      <c r="BC132" s="1">
        <v>179.4666591769768</v>
      </c>
    </row>
    <row r="133" spans="1:57" x14ac:dyDescent="0.2">
      <c r="A133" s="1" t="s">
        <v>268</v>
      </c>
      <c r="B133" s="1" t="s">
        <v>90</v>
      </c>
      <c r="C133" s="29">
        <v>42735</v>
      </c>
      <c r="D133" s="9">
        <v>-31.1629208968453</v>
      </c>
      <c r="E133" s="9">
        <v>145.653795727637</v>
      </c>
      <c r="F133" s="65" t="s">
        <v>250</v>
      </c>
      <c r="G133" s="70"/>
      <c r="I133" s="2">
        <v>1.6553160450028099</v>
      </c>
      <c r="J133" s="2">
        <v>1.159092995055107</v>
      </c>
      <c r="K133" s="2">
        <v>0.241699517253845</v>
      </c>
      <c r="L133" s="2">
        <v>0.13326725169268983</v>
      </c>
      <c r="R133" s="31"/>
      <c r="S133" s="2">
        <v>3.1893758090044519</v>
      </c>
      <c r="T133" s="70"/>
      <c r="U133" s="1">
        <v>0.17139679193496701</v>
      </c>
      <c r="V133" s="1">
        <v>0.20185096071551001</v>
      </c>
      <c r="W133" s="1">
        <v>0.41658601537346801</v>
      </c>
      <c r="X133" s="1">
        <v>209.84984030000001</v>
      </c>
      <c r="Y133" s="1">
        <v>54</v>
      </c>
      <c r="Z133" s="70"/>
      <c r="AA133" s="1" t="s">
        <v>86</v>
      </c>
      <c r="AB133" s="1" t="s">
        <v>91</v>
      </c>
      <c r="AC133" s="1" t="s">
        <v>88</v>
      </c>
      <c r="AD133" s="1">
        <v>34</v>
      </c>
      <c r="AE133" s="18">
        <v>30.8073361328</v>
      </c>
      <c r="AF133" s="12">
        <v>5.1750994227562206</v>
      </c>
      <c r="AG133" s="12">
        <v>8.0748187769505311</v>
      </c>
      <c r="AH133" s="12">
        <v>95.332325594669243</v>
      </c>
      <c r="AL133" s="10">
        <v>1153.97010711094</v>
      </c>
      <c r="AN133" s="10">
        <v>1980.8120860158101</v>
      </c>
      <c r="AO133" s="22">
        <v>1479.4377827264</v>
      </c>
      <c r="AQ133" s="10">
        <v>3.1628137999999999</v>
      </c>
      <c r="AR133" s="11">
        <v>2.8000000000000001E-2</v>
      </c>
      <c r="AW133" s="11">
        <f>AE133-((AL133+AN133)*2/1000)</f>
        <v>24.5377717465465</v>
      </c>
      <c r="AY133" s="1">
        <v>0</v>
      </c>
      <c r="BA133" s="1">
        <v>256.87581115343914</v>
      </c>
      <c r="BC133" s="1">
        <v>189.31398458414128</v>
      </c>
    </row>
    <row r="134" spans="1:57" x14ac:dyDescent="0.2">
      <c r="A134" s="1" t="s">
        <v>269</v>
      </c>
      <c r="B134" s="1" t="s">
        <v>264</v>
      </c>
      <c r="C134" s="29">
        <v>42862</v>
      </c>
      <c r="D134" s="9">
        <v>53.656300000000002</v>
      </c>
      <c r="E134" s="9">
        <v>-6.7156500000000001</v>
      </c>
      <c r="F134" s="65" t="s">
        <v>250</v>
      </c>
      <c r="G134" s="70"/>
      <c r="I134" s="2">
        <v>1.41232970602917</v>
      </c>
      <c r="J134" s="2">
        <v>3.8856156762916361</v>
      </c>
      <c r="K134" s="2">
        <v>0.31779119295103808</v>
      </c>
      <c r="L134" s="2">
        <v>3.2706393040907514E-2</v>
      </c>
      <c r="S134" s="2">
        <v>5.6484429683127528</v>
      </c>
      <c r="T134" s="70"/>
      <c r="U134" s="1">
        <v>0.18413731455802901</v>
      </c>
      <c r="V134" s="1">
        <v>0.23302372282701</v>
      </c>
      <c r="W134" s="1">
        <v>0.80987441726028897</v>
      </c>
      <c r="X134" s="1">
        <v>62.927215189999998</v>
      </c>
      <c r="Y134" s="1">
        <v>92</v>
      </c>
      <c r="Z134" s="70"/>
      <c r="AA134" s="1" t="s">
        <v>86</v>
      </c>
      <c r="AB134" s="1" t="s">
        <v>91</v>
      </c>
      <c r="AC134" s="1" t="s">
        <v>88</v>
      </c>
      <c r="AD134" s="1">
        <v>40</v>
      </c>
      <c r="AE134" s="18">
        <v>90.902000000000001</v>
      </c>
      <c r="AF134" s="12">
        <v>1.8531704472948891</v>
      </c>
      <c r="AG134" s="12">
        <v>7.7713262634485494</v>
      </c>
      <c r="AH134" s="30">
        <v>1</v>
      </c>
      <c r="AK134" s="10">
        <f>AL134/0.5589</f>
        <v>2094.6126319556274</v>
      </c>
      <c r="AL134" s="10">
        <v>1170.6790000000001</v>
      </c>
      <c r="AM134" s="10">
        <f>AN134/0.5454</f>
        <v>12092.981298129813</v>
      </c>
      <c r="AN134" s="10">
        <v>6595.5119999999997</v>
      </c>
      <c r="AO134" s="22">
        <v>67.712999999999994</v>
      </c>
      <c r="AW134" s="11">
        <f>AE134-(AK134/1000)-(AM134/1000)</f>
        <v>76.71440606991456</v>
      </c>
      <c r="AY134" s="1">
        <v>0</v>
      </c>
      <c r="BA134" s="1">
        <v>147.20363977120334</v>
      </c>
      <c r="BC134" s="1">
        <v>131.02154634542572</v>
      </c>
    </row>
    <row r="135" spans="1:57" x14ac:dyDescent="0.2">
      <c r="A135" s="13" t="s">
        <v>270</v>
      </c>
      <c r="B135" s="13" t="s">
        <v>181</v>
      </c>
      <c r="C135" s="8">
        <v>42764</v>
      </c>
      <c r="D135" s="14">
        <v>24.363</v>
      </c>
      <c r="E135" s="14">
        <v>73.718999999999994</v>
      </c>
      <c r="F135" s="65" t="s">
        <v>250</v>
      </c>
      <c r="G135" s="70"/>
      <c r="I135" s="2">
        <v>0.63073102280102511</v>
      </c>
      <c r="J135" s="2">
        <v>0.56406304231872728</v>
      </c>
      <c r="K135" s="2">
        <v>0.24252801981438668</v>
      </c>
      <c r="N135" s="2">
        <v>8.4777272001087589E-2</v>
      </c>
      <c r="S135" s="2">
        <v>1.5220993569352266</v>
      </c>
      <c r="T135" s="70"/>
      <c r="U135" s="1">
        <v>1.0362843275070199</v>
      </c>
      <c r="V135" s="1">
        <v>1.49480063745227</v>
      </c>
      <c r="W135" s="1">
        <v>3.7324430048465702</v>
      </c>
      <c r="X135" s="1">
        <v>474.17307690000001</v>
      </c>
      <c r="Y135" s="1">
        <v>561</v>
      </c>
      <c r="Z135" s="70"/>
      <c r="AA135" s="13" t="s">
        <v>271</v>
      </c>
      <c r="AB135" s="13" t="s">
        <v>91</v>
      </c>
      <c r="AC135" s="13" t="s">
        <v>88</v>
      </c>
      <c r="BA135" s="1">
        <v>91.574674799999997</v>
      </c>
      <c r="BC135" s="1">
        <v>80.585271247916424</v>
      </c>
    </row>
    <row r="136" spans="1:57" x14ac:dyDescent="0.2">
      <c r="A136" s="32" t="s">
        <v>272</v>
      </c>
      <c r="B136" s="32" t="s">
        <v>272</v>
      </c>
      <c r="C136" s="32" t="s">
        <v>272</v>
      </c>
      <c r="D136" s="32" t="s">
        <v>272</v>
      </c>
      <c r="E136" s="32" t="s">
        <v>272</v>
      </c>
      <c r="F136" s="32" t="s">
        <v>272</v>
      </c>
      <c r="G136" s="71"/>
      <c r="H136" s="32" t="s">
        <v>272</v>
      </c>
      <c r="I136" s="32" t="s">
        <v>272</v>
      </c>
      <c r="J136" s="32" t="s">
        <v>272</v>
      </c>
      <c r="K136" s="32" t="s">
        <v>272</v>
      </c>
      <c r="L136" s="32" t="s">
        <v>272</v>
      </c>
      <c r="M136" s="32" t="s">
        <v>272</v>
      </c>
      <c r="N136" s="32" t="s">
        <v>272</v>
      </c>
      <c r="O136" s="32" t="s">
        <v>272</v>
      </c>
      <c r="P136" s="32" t="s">
        <v>272</v>
      </c>
      <c r="Q136" s="32" t="s">
        <v>272</v>
      </c>
      <c r="R136" s="32" t="s">
        <v>272</v>
      </c>
      <c r="S136" s="32" t="s">
        <v>272</v>
      </c>
      <c r="T136" s="71"/>
      <c r="Z136" s="71"/>
      <c r="AA136" s="32" t="s">
        <v>272</v>
      </c>
      <c r="AB136" s="32" t="s">
        <v>272</v>
      </c>
      <c r="AC136" s="32" t="s">
        <v>272</v>
      </c>
      <c r="AD136" s="32" t="s">
        <v>272</v>
      </c>
      <c r="AE136" s="32" t="s">
        <v>272</v>
      </c>
      <c r="AF136" s="32" t="s">
        <v>272</v>
      </c>
      <c r="AG136" s="32" t="s">
        <v>272</v>
      </c>
      <c r="AH136" s="32" t="s">
        <v>272</v>
      </c>
      <c r="AI136" s="32" t="s">
        <v>272</v>
      </c>
      <c r="AJ136" s="32" t="s">
        <v>272</v>
      </c>
      <c r="AK136" s="32" t="s">
        <v>272</v>
      </c>
      <c r="AL136" s="32" t="s">
        <v>272</v>
      </c>
      <c r="AM136" s="32" t="s">
        <v>272</v>
      </c>
      <c r="AN136" s="32" t="s">
        <v>272</v>
      </c>
      <c r="AO136" s="32" t="s">
        <v>272</v>
      </c>
      <c r="AP136" s="32" t="s">
        <v>272</v>
      </c>
      <c r="AQ136" s="32" t="s">
        <v>272</v>
      </c>
      <c r="AR136" s="32" t="s">
        <v>272</v>
      </c>
      <c r="AS136" s="32" t="s">
        <v>272</v>
      </c>
      <c r="AT136" s="32" t="s">
        <v>272</v>
      </c>
      <c r="AU136" s="32" t="s">
        <v>272</v>
      </c>
      <c r="AV136" s="32" t="s">
        <v>272</v>
      </c>
      <c r="AW136" s="32" t="s">
        <v>272</v>
      </c>
      <c r="AX136" s="32" t="s">
        <v>272</v>
      </c>
      <c r="AY136" s="32" t="s">
        <v>272</v>
      </c>
      <c r="AZ136" s="32" t="s">
        <v>272</v>
      </c>
    </row>
    <row r="137" spans="1:57" s="4" customFormat="1" x14ac:dyDescent="0.2">
      <c r="A137" s="4" t="s">
        <v>11</v>
      </c>
      <c r="B137" s="4" t="s">
        <v>12</v>
      </c>
      <c r="C137" s="4" t="s">
        <v>13</v>
      </c>
      <c r="D137" s="4" t="s">
        <v>14</v>
      </c>
      <c r="E137" s="4" t="s">
        <v>15</v>
      </c>
      <c r="F137" s="63" t="s">
        <v>515</v>
      </c>
      <c r="G137" s="68"/>
      <c r="H137" s="4" t="s">
        <v>21</v>
      </c>
      <c r="I137" s="4" t="s">
        <v>22</v>
      </c>
      <c r="J137" s="4" t="s">
        <v>23</v>
      </c>
      <c r="K137" s="4" t="s">
        <v>24</v>
      </c>
      <c r="L137" s="4" t="s">
        <v>25</v>
      </c>
      <c r="M137" s="4" t="s">
        <v>26</v>
      </c>
      <c r="N137" s="4" t="s">
        <v>27</v>
      </c>
      <c r="O137" s="4" t="s">
        <v>28</v>
      </c>
      <c r="P137" s="4" t="s">
        <v>29</v>
      </c>
      <c r="Q137" s="4" t="s">
        <v>30</v>
      </c>
      <c r="R137" s="4" t="s">
        <v>31</v>
      </c>
      <c r="S137" s="4" t="s">
        <v>20</v>
      </c>
      <c r="T137" s="68"/>
      <c r="Z137" s="68"/>
      <c r="AA137" s="4" t="s">
        <v>16</v>
      </c>
      <c r="AB137" s="4" t="s">
        <v>17</v>
      </c>
      <c r="AC137" s="4" t="s">
        <v>17</v>
      </c>
      <c r="AD137" s="4" t="s">
        <v>18</v>
      </c>
      <c r="AE137" s="4" t="s">
        <v>19</v>
      </c>
      <c r="AF137" s="4" t="s">
        <v>19</v>
      </c>
      <c r="AG137" s="4" t="s">
        <v>19</v>
      </c>
      <c r="AH137" s="4" t="s">
        <v>19</v>
      </c>
      <c r="AI137" s="4" t="s">
        <v>19</v>
      </c>
      <c r="AJ137" s="4" t="s">
        <v>19</v>
      </c>
      <c r="AK137" s="4" t="s">
        <v>19</v>
      </c>
      <c r="AL137" s="4" t="s">
        <v>19</v>
      </c>
      <c r="AM137" s="4" t="s">
        <v>19</v>
      </c>
      <c r="AN137" s="4" t="s">
        <v>19</v>
      </c>
      <c r="AO137" s="4" t="s">
        <v>19</v>
      </c>
      <c r="AP137" s="4" t="s">
        <v>19</v>
      </c>
      <c r="AQ137" s="4" t="s">
        <v>19</v>
      </c>
      <c r="AR137" s="4" t="s">
        <v>19</v>
      </c>
      <c r="AS137" s="4" t="s">
        <v>19</v>
      </c>
      <c r="AT137" s="4" t="s">
        <v>19</v>
      </c>
      <c r="AU137" s="4" t="s">
        <v>19</v>
      </c>
      <c r="AV137" s="4" t="s">
        <v>19</v>
      </c>
      <c r="AW137" s="4" t="s">
        <v>19</v>
      </c>
      <c r="AX137" s="4" t="s">
        <v>19</v>
      </c>
      <c r="AY137" s="4" t="s">
        <v>19</v>
      </c>
      <c r="AZ137" s="4" t="s">
        <v>20</v>
      </c>
    </row>
    <row r="138" spans="1:57" s="4" customFormat="1" ht="13.5" x14ac:dyDescent="0.2">
      <c r="A138" s="4" t="s">
        <v>11</v>
      </c>
      <c r="B138" s="4" t="s">
        <v>12</v>
      </c>
      <c r="C138" s="4" t="s">
        <v>33</v>
      </c>
      <c r="D138" s="4" t="s">
        <v>14</v>
      </c>
      <c r="E138" s="4" t="s">
        <v>15</v>
      </c>
      <c r="F138" s="63" t="s">
        <v>516</v>
      </c>
      <c r="G138" s="68"/>
      <c r="H138" s="4" t="s">
        <v>514</v>
      </c>
      <c r="I138" s="4" t="s">
        <v>514</v>
      </c>
      <c r="J138" s="4" t="s">
        <v>514</v>
      </c>
      <c r="K138" s="4" t="s">
        <v>514</v>
      </c>
      <c r="L138" s="4" t="s">
        <v>514</v>
      </c>
      <c r="M138" s="4" t="s">
        <v>514</v>
      </c>
      <c r="N138" s="4" t="s">
        <v>514</v>
      </c>
      <c r="O138" s="4" t="s">
        <v>514</v>
      </c>
      <c r="P138" s="4" t="s">
        <v>514</v>
      </c>
      <c r="Q138" s="4" t="s">
        <v>514</v>
      </c>
      <c r="R138" s="4" t="s">
        <v>514</v>
      </c>
      <c r="S138" s="4" t="s">
        <v>514</v>
      </c>
      <c r="T138" s="68"/>
      <c r="Z138" s="68"/>
      <c r="AA138" s="4" t="s">
        <v>34</v>
      </c>
      <c r="AB138" s="4" t="s">
        <v>35</v>
      </c>
      <c r="AC138" s="4" t="s">
        <v>35</v>
      </c>
      <c r="AD138" s="4" t="s">
        <v>36</v>
      </c>
      <c r="AE138" s="4" t="s">
        <v>37</v>
      </c>
      <c r="AF138" s="4" t="s">
        <v>37</v>
      </c>
      <c r="AG138" s="4" t="s">
        <v>37</v>
      </c>
      <c r="AH138" s="4" t="s">
        <v>37</v>
      </c>
      <c r="AI138" s="4" t="s">
        <v>37</v>
      </c>
      <c r="AJ138" s="4" t="s">
        <v>37</v>
      </c>
      <c r="AK138" s="4" t="s">
        <v>37</v>
      </c>
      <c r="AL138" s="4" t="s">
        <v>37</v>
      </c>
      <c r="AM138" s="4" t="s">
        <v>37</v>
      </c>
      <c r="AN138" s="4" t="s">
        <v>37</v>
      </c>
      <c r="AO138" s="4" t="s">
        <v>37</v>
      </c>
      <c r="AP138" s="4" t="s">
        <v>37</v>
      </c>
      <c r="AQ138" s="4" t="s">
        <v>37</v>
      </c>
      <c r="AR138" s="4" t="s">
        <v>37</v>
      </c>
      <c r="AS138" s="4" t="s">
        <v>37</v>
      </c>
      <c r="AT138" s="4" t="s">
        <v>37</v>
      </c>
      <c r="AU138" s="4" t="s">
        <v>37</v>
      </c>
      <c r="AV138" s="4" t="s">
        <v>37</v>
      </c>
      <c r="AW138" s="4" t="s">
        <v>37</v>
      </c>
      <c r="AX138" s="4" t="s">
        <v>37</v>
      </c>
      <c r="AY138" s="4" t="s">
        <v>37</v>
      </c>
      <c r="AZ138" s="4" t="s">
        <v>38</v>
      </c>
    </row>
    <row r="139" spans="1:57" s="4" customFormat="1" x14ac:dyDescent="0.2">
      <c r="A139" s="4" t="s">
        <v>11</v>
      </c>
      <c r="B139" s="4" t="s">
        <v>12</v>
      </c>
      <c r="C139" s="4" t="s">
        <v>45</v>
      </c>
      <c r="D139" s="4" t="s">
        <v>14</v>
      </c>
      <c r="E139" s="4" t="s">
        <v>15</v>
      </c>
      <c r="G139" s="69"/>
      <c r="T139" s="69"/>
      <c r="Z139" s="69"/>
      <c r="AA139" s="4" t="s">
        <v>46</v>
      </c>
      <c r="AB139" s="4" t="s">
        <v>11</v>
      </c>
      <c r="AC139" s="4" t="s">
        <v>47</v>
      </c>
      <c r="AD139" s="4" t="s">
        <v>48</v>
      </c>
      <c r="AE139" s="4" t="s">
        <v>42</v>
      </c>
      <c r="AF139" s="4" t="s">
        <v>251</v>
      </c>
      <c r="AG139" s="4" t="s">
        <v>252</v>
      </c>
      <c r="AH139" s="4" t="s">
        <v>51</v>
      </c>
      <c r="AI139" s="4" t="s">
        <v>44</v>
      </c>
      <c r="AJ139" s="4" t="s">
        <v>50</v>
      </c>
      <c r="AK139" s="4" t="s">
        <v>52</v>
      </c>
      <c r="AL139" s="4" t="s">
        <v>53</v>
      </c>
      <c r="AM139" s="4" t="s">
        <v>253</v>
      </c>
      <c r="AN139" s="4" t="s">
        <v>254</v>
      </c>
      <c r="AO139" s="4" t="s">
        <v>255</v>
      </c>
      <c r="AP139" s="4" t="s">
        <v>256</v>
      </c>
      <c r="AQ139" s="4" t="s">
        <v>56</v>
      </c>
      <c r="AR139" s="4" t="s">
        <v>54</v>
      </c>
      <c r="AS139" s="4" t="s">
        <v>43</v>
      </c>
      <c r="AT139" s="4" t="s">
        <v>55</v>
      </c>
      <c r="AU139" s="4" t="s">
        <v>53</v>
      </c>
      <c r="AV139" s="4" t="s">
        <v>53</v>
      </c>
      <c r="AW139" s="4" t="s">
        <v>64</v>
      </c>
      <c r="AX139" s="4" t="s">
        <v>65</v>
      </c>
      <c r="AY139" s="4" t="s">
        <v>66</v>
      </c>
      <c r="AZ139" s="4" t="s">
        <v>67</v>
      </c>
    </row>
    <row r="140" spans="1:57" x14ac:dyDescent="0.2">
      <c r="A140" s="1" t="s">
        <v>273</v>
      </c>
      <c r="B140" s="1" t="s">
        <v>90</v>
      </c>
      <c r="C140" s="29">
        <v>38756</v>
      </c>
      <c r="D140" s="9">
        <v>-28.762899999999998</v>
      </c>
      <c r="E140" s="9">
        <v>116.98480000000001</v>
      </c>
      <c r="F140" s="65" t="s">
        <v>272</v>
      </c>
      <c r="G140" s="70"/>
      <c r="I140" s="2">
        <v>0.54076399064675906</v>
      </c>
      <c r="J140" s="2">
        <v>0.30768426808119193</v>
      </c>
      <c r="K140" s="2">
        <v>0.50644249959701648</v>
      </c>
      <c r="L140" s="2">
        <v>7.3229744189359222E-2</v>
      </c>
      <c r="S140" s="2">
        <v>1.4281205025143267</v>
      </c>
      <c r="T140" s="70"/>
      <c r="U140" s="1">
        <v>0.42690843343734702</v>
      </c>
      <c r="V140" s="1">
        <v>0.36712076056462101</v>
      </c>
      <c r="W140" s="1">
        <v>0.87601333856582597</v>
      </c>
      <c r="X140" s="1">
        <v>362.30769229999999</v>
      </c>
      <c r="Y140" s="1">
        <v>129</v>
      </c>
      <c r="Z140" s="70"/>
      <c r="AA140" s="1" t="s">
        <v>86</v>
      </c>
      <c r="AB140" s="1" t="s">
        <v>101</v>
      </c>
      <c r="AC140" s="1" t="s">
        <v>88</v>
      </c>
      <c r="AE140" s="18">
        <v>16.838059951999998</v>
      </c>
      <c r="AF140" s="11">
        <v>0.59191673532532862</v>
      </c>
      <c r="AG140" s="11">
        <v>10.954470812827594</v>
      </c>
      <c r="AH140" s="12">
        <v>34.994474151400745</v>
      </c>
      <c r="AI140" s="11">
        <v>2.1709345114676473</v>
      </c>
      <c r="AJ140" s="11">
        <v>0.75513021905411015</v>
      </c>
      <c r="AN140" s="10">
        <v>24.200059999999997</v>
      </c>
      <c r="AP140" s="10">
        <v>1297.1327879637188</v>
      </c>
      <c r="AQ140" s="22">
        <v>538.23643770000001</v>
      </c>
      <c r="AS140" s="10">
        <v>180.28953793650794</v>
      </c>
      <c r="AT140" s="10">
        <v>6.7024116000000014</v>
      </c>
      <c r="AW140" s="26">
        <f>AE140-((AN140+AP140)*2/1000)-(AS140*4/1000)</f>
        <v>13.474236104326529</v>
      </c>
      <c r="BA140" s="1">
        <v>236.1747486799527</v>
      </c>
      <c r="BC140" s="1">
        <v>177.12620826672804</v>
      </c>
    </row>
    <row r="141" spans="1:57" x14ac:dyDescent="0.2">
      <c r="A141" s="1" t="s">
        <v>274</v>
      </c>
      <c r="B141" s="1" t="s">
        <v>90</v>
      </c>
      <c r="C141" s="29">
        <v>42328</v>
      </c>
      <c r="D141" s="9">
        <v>-28.483899999999998</v>
      </c>
      <c r="E141" s="9">
        <v>121.17</v>
      </c>
      <c r="F141" s="65" t="s">
        <v>272</v>
      </c>
      <c r="G141" s="70"/>
      <c r="H141" s="2">
        <v>0.199181742109868</v>
      </c>
      <c r="I141" s="2">
        <v>0.61484997016747545</v>
      </c>
      <c r="J141" s="2">
        <v>1.3097992360499306</v>
      </c>
      <c r="K141" s="2">
        <v>0.20596859616782126</v>
      </c>
      <c r="L141" s="2">
        <v>3.6409096233844698E-3</v>
      </c>
      <c r="S141" s="2">
        <v>2.3334404541184801</v>
      </c>
      <c r="T141" s="70"/>
      <c r="U141" s="1">
        <v>0.183140143752098</v>
      </c>
      <c r="V141" s="1">
        <v>0.210819612310571</v>
      </c>
      <c r="W141" s="1">
        <v>0.48867677524685899</v>
      </c>
      <c r="X141" s="1">
        <v>449.35987260000002</v>
      </c>
      <c r="Y141" s="1">
        <v>84</v>
      </c>
      <c r="Z141" s="70"/>
      <c r="AA141" s="1" t="s">
        <v>86</v>
      </c>
      <c r="AB141" s="1" t="s">
        <v>91</v>
      </c>
      <c r="AC141" s="1" t="s">
        <v>88</v>
      </c>
      <c r="AE141" s="18">
        <v>2.4361470000000001</v>
      </c>
      <c r="AG141" s="11">
        <v>8.7415623646684697</v>
      </c>
      <c r="AH141" s="12">
        <v>77.312768912070311</v>
      </c>
      <c r="AI141" s="11">
        <v>2.4185857708914935</v>
      </c>
      <c r="AP141" s="10">
        <v>163.71088900000001</v>
      </c>
      <c r="AQ141" s="22">
        <v>141.21432580158</v>
      </c>
      <c r="AS141" s="10">
        <v>47.859517999999994</v>
      </c>
      <c r="AW141" s="26">
        <f>AE141-((AN141+AP141)*2/1000)-(AS141*4/1000)</f>
        <v>1.9172871499999999</v>
      </c>
      <c r="AY141" s="1">
        <v>0</v>
      </c>
      <c r="BA141" s="1">
        <v>342.69352009829197</v>
      </c>
      <c r="BC141" s="1">
        <v>274.17804666551081</v>
      </c>
    </row>
    <row r="142" spans="1:57" x14ac:dyDescent="0.2">
      <c r="A142" s="1" t="s">
        <v>275</v>
      </c>
      <c r="B142" s="1" t="s">
        <v>90</v>
      </c>
      <c r="C142" s="29">
        <v>42638</v>
      </c>
      <c r="D142" s="9">
        <v>-17.686202999999999</v>
      </c>
      <c r="E142" s="9">
        <v>145.110806</v>
      </c>
      <c r="F142" s="65" t="s">
        <v>272</v>
      </c>
      <c r="G142" s="70"/>
      <c r="H142" s="2">
        <v>4.8198149475749505E-2</v>
      </c>
      <c r="I142" s="2">
        <v>0.239475763202808</v>
      </c>
      <c r="J142" s="2">
        <v>0.52759481856857493</v>
      </c>
      <c r="K142" s="2">
        <v>7.4841855448260899E-2</v>
      </c>
      <c r="L142" s="2">
        <v>0.43529371563449581</v>
      </c>
      <c r="S142" s="2">
        <v>1.3254043023298889</v>
      </c>
      <c r="T142" s="70"/>
      <c r="U142" s="1">
        <v>0.78131240606307995</v>
      </c>
      <c r="V142" s="1">
        <v>0.72359553836763701</v>
      </c>
      <c r="W142" s="1">
        <v>1.7036991044879</v>
      </c>
      <c r="X142" s="1">
        <v>685.45192310000004</v>
      </c>
      <c r="Y142" s="1">
        <v>233</v>
      </c>
      <c r="Z142" s="70"/>
      <c r="AA142" s="1" t="s">
        <v>86</v>
      </c>
      <c r="AB142" s="1" t="s">
        <v>101</v>
      </c>
      <c r="AC142" s="1" t="s">
        <v>88</v>
      </c>
      <c r="BA142" s="1">
        <v>214.16727742970426</v>
      </c>
      <c r="BC142" s="1">
        <v>157.77773490321985</v>
      </c>
    </row>
    <row r="143" spans="1:57" x14ac:dyDescent="0.2">
      <c r="A143" s="1" t="s">
        <v>276</v>
      </c>
      <c r="B143" s="1" t="s">
        <v>90</v>
      </c>
      <c r="C143" s="29">
        <v>42912</v>
      </c>
      <c r="D143" s="9">
        <v>-20.717632999999999</v>
      </c>
      <c r="E143" s="9">
        <v>139.47554700000001</v>
      </c>
      <c r="F143" s="65" t="s">
        <v>272</v>
      </c>
      <c r="G143" s="70"/>
      <c r="H143" s="2">
        <v>1.199089945767509</v>
      </c>
      <c r="I143" s="2">
        <v>10.134966644933716</v>
      </c>
      <c r="J143" s="2">
        <v>5.6644912593814993</v>
      </c>
      <c r="K143" s="2">
        <v>3.4118186403552273</v>
      </c>
      <c r="L143" s="2">
        <v>0.64791992512890217</v>
      </c>
      <c r="S143" s="2">
        <v>21.058286415566858</v>
      </c>
      <c r="T143" s="70"/>
      <c r="U143" s="1">
        <v>0.53464698791503895</v>
      </c>
      <c r="V143" s="1">
        <v>0.55583433552256101</v>
      </c>
      <c r="W143" s="1">
        <v>1.3018176257610301</v>
      </c>
      <c r="X143" s="1">
        <v>384.585443</v>
      </c>
      <c r="Y143" s="1">
        <v>201</v>
      </c>
      <c r="Z143" s="70"/>
      <c r="AA143" s="1" t="s">
        <v>86</v>
      </c>
      <c r="AB143" s="1" t="s">
        <v>101</v>
      </c>
      <c r="AC143" s="1" t="s">
        <v>137</v>
      </c>
      <c r="AE143" s="10">
        <v>517.35091248335186</v>
      </c>
      <c r="AF143" s="11">
        <v>5.3146203829797569</v>
      </c>
      <c r="AG143" s="11">
        <v>6.6467543693736495</v>
      </c>
      <c r="AH143" s="12">
        <v>124.70566540731647</v>
      </c>
      <c r="AI143" s="11">
        <v>3.1232277422385812</v>
      </c>
      <c r="AN143" s="10">
        <v>9118.7999588000002</v>
      </c>
      <c r="AP143" s="10">
        <v>10574.906868800001</v>
      </c>
      <c r="AQ143" s="22">
        <v>342382.89419177995</v>
      </c>
      <c r="AS143" s="10">
        <v>8358.4873655007905</v>
      </c>
      <c r="AW143" s="24">
        <f>AE143-((AN143+AP143)*2/1000)-(AS143*4/1000)</f>
        <v>444.52954936614867</v>
      </c>
      <c r="AX143" s="33">
        <v>12.189252503857</v>
      </c>
      <c r="AY143" s="12">
        <v>9.1802426350849835</v>
      </c>
      <c r="AZ143" s="10">
        <f>AE143+AX143</f>
        <v>529.54016498720887</v>
      </c>
      <c r="BA143" s="1">
        <v>125.89065689753117</v>
      </c>
      <c r="BC143" s="1">
        <v>117.0977266837815</v>
      </c>
      <c r="BD143" s="1">
        <v>0.96857111421585829</v>
      </c>
      <c r="BE143" s="1">
        <v>0.97465832692289733</v>
      </c>
    </row>
    <row r="144" spans="1:57" x14ac:dyDescent="0.2">
      <c r="A144" s="1" t="s">
        <v>277</v>
      </c>
      <c r="B144" s="1" t="s">
        <v>90</v>
      </c>
      <c r="C144" s="29">
        <v>42735</v>
      </c>
      <c r="D144" s="9">
        <v>-32.575499999999998</v>
      </c>
      <c r="E144" s="9">
        <v>146.9871</v>
      </c>
      <c r="F144" s="65" t="s">
        <v>272</v>
      </c>
      <c r="G144" s="70"/>
      <c r="H144" s="2">
        <v>7.8158549368052596E-2</v>
      </c>
      <c r="I144" s="2">
        <v>0.24168591598002798</v>
      </c>
      <c r="J144" s="2">
        <v>0.16498050393650751</v>
      </c>
      <c r="K144" s="2">
        <v>5.2232205852251017E-2</v>
      </c>
      <c r="L144" s="2">
        <v>0.10022708441495132</v>
      </c>
      <c r="R144" s="31"/>
      <c r="S144" s="2">
        <v>0.63728425955179047</v>
      </c>
      <c r="T144" s="70"/>
      <c r="U144" s="1">
        <v>0.486540466547012</v>
      </c>
      <c r="V144" s="1">
        <v>0.51386142353089903</v>
      </c>
      <c r="W144" s="1">
        <v>1.4412258565425899</v>
      </c>
      <c r="X144" s="1">
        <v>309.54313100000002</v>
      </c>
      <c r="Y144" s="1">
        <v>229</v>
      </c>
      <c r="Z144" s="70"/>
      <c r="AA144" s="1" t="s">
        <v>86</v>
      </c>
      <c r="AB144" s="1" t="s">
        <v>101</v>
      </c>
      <c r="AC144" s="1" t="s">
        <v>88</v>
      </c>
      <c r="BA144" s="1">
        <v>70.072843634196246</v>
      </c>
      <c r="BC144" s="1">
        <v>77.497408652835702</v>
      </c>
    </row>
    <row r="145" spans="1:57" x14ac:dyDescent="0.2">
      <c r="A145" s="1" t="s">
        <v>278</v>
      </c>
      <c r="B145" s="1" t="s">
        <v>90</v>
      </c>
      <c r="C145" s="29">
        <v>42362</v>
      </c>
      <c r="D145" s="9">
        <v>-41.773246999999998</v>
      </c>
      <c r="E145" s="9">
        <v>145.543531</v>
      </c>
      <c r="F145" s="65" t="s">
        <v>272</v>
      </c>
      <c r="G145" s="70"/>
      <c r="H145" s="2">
        <v>8.50572890075771E-2</v>
      </c>
      <c r="I145" s="2">
        <v>0.5472675113317802</v>
      </c>
      <c r="J145" s="2">
        <v>1.3691542434202129</v>
      </c>
      <c r="K145" s="2">
        <v>0.15701224915321138</v>
      </c>
      <c r="L145" s="2">
        <v>0.32347804846450734</v>
      </c>
      <c r="S145" s="2">
        <v>2.4819693413772885</v>
      </c>
      <c r="T145" s="70"/>
      <c r="U145" s="1">
        <v>4.1978049278259304</v>
      </c>
      <c r="V145" s="1">
        <v>3.6172317140486001</v>
      </c>
      <c r="W145" s="1">
        <v>9.2707415819168109</v>
      </c>
      <c r="X145" s="1">
        <v>379.06309149999998</v>
      </c>
      <c r="Y145" s="1">
        <v>1195</v>
      </c>
      <c r="Z145" s="70"/>
      <c r="AA145" s="1" t="s">
        <v>86</v>
      </c>
      <c r="AB145" s="1" t="s">
        <v>91</v>
      </c>
      <c r="AC145" s="1" t="s">
        <v>88</v>
      </c>
      <c r="AE145" s="11">
        <v>36.355359268000001</v>
      </c>
      <c r="AF145" s="11">
        <v>4.396992227634275</v>
      </c>
      <c r="AG145" s="11">
        <v>13.023957767176936</v>
      </c>
      <c r="AH145" s="21">
        <v>143.45296299335152</v>
      </c>
      <c r="AI145" s="11">
        <v>0.47891547960288816</v>
      </c>
      <c r="AJ145" s="12">
        <v>2.3008539734725062</v>
      </c>
      <c r="AN145" s="10">
        <v>1312.4419695706999</v>
      </c>
      <c r="AP145" s="10">
        <v>4.2417755825408401</v>
      </c>
      <c r="AQ145" s="22">
        <v>4238.5661997563002</v>
      </c>
      <c r="AS145" s="10">
        <v>124.96716408639999</v>
      </c>
      <c r="AT145" s="10">
        <v>62.863117722125992</v>
      </c>
      <c r="AW145" s="26">
        <f>AE145-((AN145+AP145)*2/1000)-(AS145*5/1000)</f>
        <v>33.097155957261521</v>
      </c>
      <c r="AY145" s="12">
        <v>0.9810233112210508</v>
      </c>
      <c r="BA145" s="1">
        <v>413.24421249261991</v>
      </c>
      <c r="BC145" s="1">
        <v>335.35401648992342</v>
      </c>
    </row>
    <row r="146" spans="1:57" x14ac:dyDescent="0.2">
      <c r="A146" s="1" t="s">
        <v>279</v>
      </c>
      <c r="B146" s="1" t="s">
        <v>124</v>
      </c>
      <c r="C146" s="29">
        <v>41047</v>
      </c>
      <c r="D146" s="9">
        <v>48.634169999999997</v>
      </c>
      <c r="E146" s="9">
        <v>-56.487780000000001</v>
      </c>
      <c r="F146" s="65" t="s">
        <v>272</v>
      </c>
      <c r="G146" s="70"/>
      <c r="I146" s="2">
        <v>0.92662930449844894</v>
      </c>
      <c r="J146" s="2">
        <v>6.994817404843115E-2</v>
      </c>
      <c r="K146" s="2">
        <v>0.14481337203527231</v>
      </c>
      <c r="L146" s="2">
        <v>0.11555119505551086</v>
      </c>
      <c r="S146" s="2">
        <v>1.2569420456376632</v>
      </c>
      <c r="T146" s="70"/>
      <c r="U146" s="1">
        <v>0.59784334897994995</v>
      </c>
      <c r="V146" s="1">
        <v>0.65590024385645895</v>
      </c>
      <c r="W146" s="1">
        <v>2.0906788376160002</v>
      </c>
      <c r="X146" s="1">
        <v>237.74121410000001</v>
      </c>
      <c r="Y146" s="1">
        <v>156</v>
      </c>
      <c r="Z146" s="70"/>
      <c r="AA146" s="1" t="s">
        <v>86</v>
      </c>
      <c r="AB146" s="1" t="s">
        <v>91</v>
      </c>
      <c r="AC146" s="1" t="s">
        <v>88</v>
      </c>
      <c r="BA146" s="1">
        <v>238.95108249999998</v>
      </c>
      <c r="BC146" s="1">
        <v>151.84360290322581</v>
      </c>
    </row>
    <row r="147" spans="1:57" x14ac:dyDescent="0.2">
      <c r="A147" s="1" t="s">
        <v>280</v>
      </c>
      <c r="B147" s="1" t="s">
        <v>124</v>
      </c>
      <c r="C147" s="1" t="s">
        <v>281</v>
      </c>
      <c r="D147" s="9">
        <v>54.772424999999998</v>
      </c>
      <c r="E147" s="9">
        <v>-101.902231</v>
      </c>
      <c r="F147" s="65" t="s">
        <v>272</v>
      </c>
      <c r="G147" s="70"/>
      <c r="I147" s="2">
        <v>4.6812893435502216</v>
      </c>
      <c r="J147" s="2">
        <v>2.4397474180439613</v>
      </c>
      <c r="K147" s="2">
        <v>0.83757769465657594</v>
      </c>
      <c r="L147" s="2">
        <v>7.798881928992997E-2</v>
      </c>
      <c r="S147" s="2">
        <v>8.0366032755406902</v>
      </c>
      <c r="T147" s="70"/>
      <c r="U147" s="1">
        <v>0.158086687326431</v>
      </c>
      <c r="V147" s="1">
        <v>0.107190225377922</v>
      </c>
      <c r="W147" s="1">
        <v>0.23233508598059399</v>
      </c>
      <c r="X147" s="1">
        <v>314.64012739999998</v>
      </c>
      <c r="Y147" s="1">
        <v>37</v>
      </c>
      <c r="Z147" s="70"/>
      <c r="AA147" s="1" t="s">
        <v>86</v>
      </c>
      <c r="AB147" s="1" t="s">
        <v>101</v>
      </c>
      <c r="AC147" s="1" t="s">
        <v>220</v>
      </c>
      <c r="BA147" s="1">
        <v>204.18452959646075</v>
      </c>
      <c r="BB147" s="1">
        <v>0.35738500275981555</v>
      </c>
      <c r="BC147" s="1">
        <v>0.42639784071375558</v>
      </c>
    </row>
    <row r="148" spans="1:57" x14ac:dyDescent="0.2">
      <c r="A148" s="1" t="s">
        <v>282</v>
      </c>
      <c r="B148" s="1" t="s">
        <v>124</v>
      </c>
      <c r="C148" s="1" t="s">
        <v>283</v>
      </c>
      <c r="D148" s="9">
        <v>48.683059999999998</v>
      </c>
      <c r="E148" s="9">
        <v>-81.366669999999999</v>
      </c>
      <c r="F148" s="65" t="s">
        <v>272</v>
      </c>
      <c r="G148" s="70"/>
      <c r="H148" s="2">
        <v>0.269984786915129</v>
      </c>
      <c r="I148" s="2">
        <v>12.5975916283251</v>
      </c>
      <c r="J148" s="2">
        <v>2.7279211048308234</v>
      </c>
      <c r="K148" s="2">
        <v>0.54974193693036499</v>
      </c>
      <c r="L148" s="2">
        <v>0.26596321740204731</v>
      </c>
      <c r="S148" s="2">
        <v>16.411202674403466</v>
      </c>
      <c r="T148" s="70"/>
      <c r="U148" s="1">
        <v>0.14769314229488401</v>
      </c>
      <c r="V148" s="1">
        <v>0.12437338692643</v>
      </c>
      <c r="W148" s="1">
        <v>0.56395308487117302</v>
      </c>
      <c r="X148" s="1">
        <v>287.9018987</v>
      </c>
      <c r="Y148" s="1">
        <v>162</v>
      </c>
      <c r="Z148" s="70"/>
      <c r="AA148" s="1" t="s">
        <v>86</v>
      </c>
      <c r="AB148" s="1" t="s">
        <v>91</v>
      </c>
      <c r="AC148" s="1" t="s">
        <v>220</v>
      </c>
      <c r="BA148" s="1">
        <v>217.82025845916399</v>
      </c>
      <c r="BC148" s="1">
        <v>167.74001314124129</v>
      </c>
    </row>
    <row r="149" spans="1:57" x14ac:dyDescent="0.2">
      <c r="A149" s="1" t="s">
        <v>284</v>
      </c>
      <c r="B149" s="1" t="s">
        <v>124</v>
      </c>
      <c r="C149" s="29">
        <v>42263</v>
      </c>
      <c r="D149" s="9">
        <v>48.249505999999997</v>
      </c>
      <c r="E149" s="9">
        <v>-78.442282000000006</v>
      </c>
      <c r="F149" s="65" t="s">
        <v>272</v>
      </c>
      <c r="G149" s="70"/>
      <c r="I149" s="2">
        <v>2.1066743105495034</v>
      </c>
      <c r="J149" s="2">
        <v>3.2011583935543437</v>
      </c>
      <c r="K149" s="2">
        <v>0.41207765063187424</v>
      </c>
      <c r="L149" s="2">
        <v>0.14396516874297877</v>
      </c>
      <c r="S149" s="2">
        <v>5.8638755234786997</v>
      </c>
      <c r="T149" s="70"/>
      <c r="U149" s="1">
        <v>0.30190026760101302</v>
      </c>
      <c r="V149" s="1">
        <v>0.29111761096449701</v>
      </c>
      <c r="W149" s="1">
        <v>1.15916098561138</v>
      </c>
      <c r="X149" s="1">
        <v>318.29936309999999</v>
      </c>
      <c r="Y149" s="1">
        <v>73</v>
      </c>
      <c r="Z149" s="70"/>
      <c r="AA149" s="1" t="s">
        <v>86</v>
      </c>
      <c r="BA149" s="1">
        <v>175.37952731273313</v>
      </c>
      <c r="BC149" s="1">
        <v>160.58127988573335</v>
      </c>
    </row>
    <row r="150" spans="1:57" x14ac:dyDescent="0.2">
      <c r="A150" s="1" t="s">
        <v>285</v>
      </c>
      <c r="B150" s="1" t="s">
        <v>124</v>
      </c>
      <c r="C150" s="29">
        <v>41861</v>
      </c>
      <c r="D150" s="9">
        <v>49.245640000000002</v>
      </c>
      <c r="E150" s="9">
        <v>-76.673580000000001</v>
      </c>
      <c r="F150" s="65" t="s">
        <v>272</v>
      </c>
      <c r="G150" s="70"/>
      <c r="I150" s="2">
        <v>1.7556621538814801</v>
      </c>
      <c r="J150" s="2">
        <v>0.2405321457034981</v>
      </c>
      <c r="K150" s="2">
        <v>0.25639781848038701</v>
      </c>
      <c r="L150" s="2">
        <v>1.463114634566E-2</v>
      </c>
      <c r="S150" s="2">
        <v>2.2672232644110251</v>
      </c>
      <c r="T150" s="70"/>
      <c r="U150" s="1">
        <v>0.21661327779293099</v>
      </c>
      <c r="V150" s="1">
        <v>0.170932825248784</v>
      </c>
      <c r="W150" s="1">
        <v>0.45025437651202099</v>
      </c>
      <c r="X150" s="1">
        <v>317.63141030000003</v>
      </c>
      <c r="Y150" s="1">
        <v>62</v>
      </c>
      <c r="Z150" s="70"/>
      <c r="AA150" s="1" t="s">
        <v>86</v>
      </c>
      <c r="BA150" s="1">
        <v>220.78228272308678</v>
      </c>
      <c r="BC150" s="1">
        <v>197.47358657534247</v>
      </c>
    </row>
    <row r="151" spans="1:57" x14ac:dyDescent="0.2">
      <c r="A151" s="1" t="s">
        <v>286</v>
      </c>
      <c r="B151" s="1" t="s">
        <v>124</v>
      </c>
      <c r="C151" s="29">
        <v>42600</v>
      </c>
      <c r="D151" s="9">
        <v>49.573059999999998</v>
      </c>
      <c r="E151" s="9">
        <v>-125.59028000000001</v>
      </c>
      <c r="F151" s="65" t="s">
        <v>272</v>
      </c>
      <c r="G151" s="70"/>
      <c r="I151" s="2">
        <v>0.37717511378122437</v>
      </c>
      <c r="J151" s="2">
        <v>0.9050711168596417</v>
      </c>
      <c r="K151" s="2">
        <v>0.19167821313357808</v>
      </c>
      <c r="L151" s="2">
        <v>4.8198836771577484E-2</v>
      </c>
      <c r="S151" s="2">
        <v>1.5221232805460216</v>
      </c>
      <c r="T151" s="70"/>
      <c r="U151" s="1">
        <v>8.6912727355956996</v>
      </c>
      <c r="V151" s="1">
        <v>7.9601833111123197</v>
      </c>
      <c r="W151" s="1">
        <v>16.247513413429299</v>
      </c>
      <c r="X151" s="1">
        <v>878.38607590000004</v>
      </c>
      <c r="Y151" s="1">
        <v>1452</v>
      </c>
      <c r="Z151" s="70"/>
      <c r="AA151" s="1" t="s">
        <v>86</v>
      </c>
      <c r="AB151" s="1" t="s">
        <v>91</v>
      </c>
      <c r="AC151" s="1" t="s">
        <v>88</v>
      </c>
      <c r="BA151" s="1">
        <v>252.41850326514466</v>
      </c>
      <c r="BC151" s="1">
        <v>199.83432965517238</v>
      </c>
    </row>
    <row r="152" spans="1:57" x14ac:dyDescent="0.2">
      <c r="A152" s="1" t="s">
        <v>287</v>
      </c>
      <c r="B152" s="1" t="s">
        <v>165</v>
      </c>
      <c r="C152" s="29">
        <v>41198</v>
      </c>
      <c r="D152" s="9">
        <v>48.283059999999999</v>
      </c>
      <c r="E152" s="9">
        <v>86.34</v>
      </c>
      <c r="F152" s="65" t="s">
        <v>272</v>
      </c>
      <c r="G152" s="70"/>
      <c r="I152" s="2">
        <v>0.78135332906435007</v>
      </c>
      <c r="J152" s="2">
        <v>1.4735654953416792</v>
      </c>
      <c r="K152" s="2">
        <v>0.612085517515917</v>
      </c>
      <c r="L152" s="2">
        <v>2.5057188106886977E-3</v>
      </c>
      <c r="S152" s="2">
        <v>2.8695100607326354</v>
      </c>
      <c r="T152" s="70"/>
      <c r="U152" s="1">
        <v>1.1842026710510301</v>
      </c>
      <c r="V152" s="1">
        <v>1.56413308211735</v>
      </c>
      <c r="W152" s="1">
        <v>3.85458123683929</v>
      </c>
      <c r="X152" s="1">
        <v>932.85714289999999</v>
      </c>
      <c r="Y152" s="1">
        <v>719</v>
      </c>
      <c r="Z152" s="70"/>
      <c r="BA152" s="1">
        <v>159.79183798005474</v>
      </c>
      <c r="BC152" s="1">
        <v>121.05244119316174</v>
      </c>
    </row>
    <row r="153" spans="1:57" x14ac:dyDescent="0.2">
      <c r="A153" s="1" t="s">
        <v>288</v>
      </c>
      <c r="B153" s="1" t="s">
        <v>165</v>
      </c>
      <c r="C153" s="29">
        <v>42195</v>
      </c>
      <c r="D153" s="9">
        <v>41.127580999999999</v>
      </c>
      <c r="E153" s="9">
        <v>107.08826000000001</v>
      </c>
      <c r="F153" s="65" t="s">
        <v>272</v>
      </c>
      <c r="G153" s="70"/>
      <c r="I153" s="2">
        <v>0.79260209144145</v>
      </c>
      <c r="J153" s="2">
        <v>0.3465709299198183</v>
      </c>
      <c r="K153" s="2">
        <v>0.87879682681099769</v>
      </c>
      <c r="L153" s="2">
        <v>9.4415297525673961E-3</v>
      </c>
      <c r="S153" s="2">
        <v>2.0274113779248331</v>
      </c>
      <c r="T153" s="70"/>
      <c r="U153" s="1">
        <v>2.4954481124877899</v>
      </c>
      <c r="V153" s="1">
        <v>2.0954012854066399</v>
      </c>
      <c r="W153" s="1">
        <v>4.98357021808624</v>
      </c>
      <c r="X153" s="1">
        <v>1244.507987</v>
      </c>
      <c r="Y153" s="1">
        <v>826</v>
      </c>
      <c r="Z153" s="70"/>
      <c r="BA153" s="1">
        <v>72.206641104067103</v>
      </c>
      <c r="BC153" s="1">
        <v>59.630497689508402</v>
      </c>
      <c r="BD153" s="1">
        <v>9.5103790794402759E-2</v>
      </c>
      <c r="BE153" s="1">
        <v>8.614172254024649E-2</v>
      </c>
    </row>
    <row r="154" spans="1:57" x14ac:dyDescent="0.2">
      <c r="A154" s="1" t="s">
        <v>289</v>
      </c>
      <c r="B154" s="1" t="s">
        <v>290</v>
      </c>
      <c r="C154" s="29">
        <v>42240</v>
      </c>
      <c r="D154" s="9">
        <v>63.659439999999996</v>
      </c>
      <c r="E154" s="9">
        <v>26.046109999999999</v>
      </c>
      <c r="F154" s="65" t="s">
        <v>272</v>
      </c>
      <c r="G154" s="70"/>
      <c r="H154" s="2">
        <v>0.12980148929849999</v>
      </c>
      <c r="I154" s="2">
        <v>1.4365660680483516</v>
      </c>
      <c r="J154" s="2">
        <v>0.39003810619153939</v>
      </c>
      <c r="K154" s="2">
        <v>0.163297894100733</v>
      </c>
      <c r="S154" s="2">
        <v>2.1197035576391237</v>
      </c>
      <c r="T154" s="70"/>
      <c r="U154" s="1">
        <v>0.297718524932861</v>
      </c>
      <c r="V154" s="1">
        <v>0.30647991472087499</v>
      </c>
      <c r="W154" s="1">
        <v>1.0182752273976801</v>
      </c>
      <c r="X154" s="1">
        <v>160.8690096</v>
      </c>
      <c r="Y154" s="1">
        <v>96</v>
      </c>
      <c r="Z154" s="70"/>
      <c r="AA154" s="1" t="s">
        <v>86</v>
      </c>
      <c r="AB154" s="1" t="s">
        <v>91</v>
      </c>
      <c r="AC154" s="1" t="s">
        <v>88</v>
      </c>
      <c r="AE154" s="18">
        <v>18.863</v>
      </c>
      <c r="AG154" s="11">
        <v>2.4485447701850185</v>
      </c>
      <c r="AI154" s="11">
        <v>1.0751524147802576</v>
      </c>
      <c r="AP154" s="10">
        <v>193.60400000000001</v>
      </c>
      <c r="AS154" s="10">
        <v>423.072</v>
      </c>
      <c r="AW154" s="26">
        <f>AE154-((AN154+AP154)*2/1000)-(AS154*5/1000)</f>
        <v>16.360431999999999</v>
      </c>
      <c r="AY154" s="1">
        <v>0</v>
      </c>
      <c r="BA154" s="1">
        <v>97.293395556913197</v>
      </c>
      <c r="BC154" s="1">
        <v>85.400640316310103</v>
      </c>
    </row>
    <row r="155" spans="1:57" x14ac:dyDescent="0.2">
      <c r="A155" s="1" t="s">
        <v>291</v>
      </c>
      <c r="B155" s="1" t="s">
        <v>188</v>
      </c>
      <c r="C155" s="29">
        <v>41056</v>
      </c>
      <c r="D155" s="9">
        <v>50.593468999999999</v>
      </c>
      <c r="E155" s="9">
        <v>81.781852000000001</v>
      </c>
      <c r="F155" s="65" t="s">
        <v>272</v>
      </c>
      <c r="G155" s="70"/>
      <c r="H155" s="2">
        <v>0.21343905199423399</v>
      </c>
      <c r="J155" s="2">
        <v>0.65037873589695716</v>
      </c>
      <c r="K155" s="2">
        <v>0.14717860318035239</v>
      </c>
      <c r="L155" s="2">
        <v>5.2326152765910891E-2</v>
      </c>
      <c r="S155" s="2">
        <v>1.0633225438374545</v>
      </c>
      <c r="T155" s="70"/>
      <c r="U155" s="1">
        <v>0.80542173981666598</v>
      </c>
      <c r="V155" s="1">
        <v>0.76538648768930395</v>
      </c>
      <c r="W155" s="1">
        <v>1.3853742033243199</v>
      </c>
      <c r="X155" s="1">
        <v>354.70031549999999</v>
      </c>
      <c r="Y155" s="1">
        <v>236</v>
      </c>
      <c r="Z155" s="70"/>
      <c r="BA155" s="1">
        <v>214.07292179092124</v>
      </c>
      <c r="BB155" s="1">
        <v>0.49997524719712738</v>
      </c>
      <c r="BC155" s="1">
        <v>0.68189103606945622</v>
      </c>
    </row>
    <row r="156" spans="1:57" x14ac:dyDescent="0.2">
      <c r="A156" s="1" t="s">
        <v>292</v>
      </c>
      <c r="B156" s="1" t="s">
        <v>188</v>
      </c>
      <c r="C156" s="29">
        <v>42125</v>
      </c>
      <c r="D156" s="9">
        <v>50.933526999999998</v>
      </c>
      <c r="E156" s="9">
        <v>81.362213999999994</v>
      </c>
      <c r="F156" s="65" t="s">
        <v>272</v>
      </c>
      <c r="G156" s="70"/>
      <c r="I156" s="2">
        <v>1.575258087845318</v>
      </c>
      <c r="J156" s="2">
        <v>3.9031057922315004</v>
      </c>
      <c r="K156" s="2">
        <v>1.1464667176418601</v>
      </c>
      <c r="L156" s="2">
        <v>0.12531863575913749</v>
      </c>
      <c r="S156" s="2">
        <v>6.7501492334778161</v>
      </c>
      <c r="T156" s="70"/>
      <c r="U156" s="1">
        <v>0.147591322660446</v>
      </c>
      <c r="V156" s="1">
        <v>0.13996437307637</v>
      </c>
      <c r="W156" s="1">
        <v>0.28959431312978301</v>
      </c>
      <c r="X156" s="1">
        <v>273.42038220000001</v>
      </c>
      <c r="Y156" s="1">
        <v>70</v>
      </c>
      <c r="Z156" s="70"/>
      <c r="BA156" s="1">
        <v>454.25980857517067</v>
      </c>
      <c r="BB156" s="1">
        <v>0.55313884214828923</v>
      </c>
      <c r="BC156" s="1">
        <v>0.73195394535023606</v>
      </c>
    </row>
    <row r="157" spans="1:57" x14ac:dyDescent="0.2">
      <c r="A157" s="1" t="s">
        <v>293</v>
      </c>
      <c r="B157" s="1" t="s">
        <v>195</v>
      </c>
      <c r="C157" s="29">
        <v>39260</v>
      </c>
      <c r="D157" s="9">
        <v>31.235499999999998</v>
      </c>
      <c r="E157" s="9">
        <v>-107.59162000000001</v>
      </c>
      <c r="F157" s="65" t="s">
        <v>272</v>
      </c>
      <c r="G157" s="70"/>
      <c r="I157" s="2">
        <v>0.28568912441809102</v>
      </c>
      <c r="J157" s="2">
        <v>1.122711975294749</v>
      </c>
      <c r="K157" s="2">
        <v>0.42418354948975007</v>
      </c>
      <c r="L157" s="2">
        <v>3.9617571828565151E-2</v>
      </c>
      <c r="M157" s="2">
        <v>3.9270872430781218</v>
      </c>
      <c r="S157" s="2">
        <v>5.7992894641092771</v>
      </c>
      <c r="T157" s="70"/>
      <c r="U157" s="1">
        <v>0.93545663356780995</v>
      </c>
      <c r="V157" s="1">
        <v>1.5455626472830799</v>
      </c>
      <c r="W157" s="1">
        <v>5.5380109548568699</v>
      </c>
      <c r="X157" s="1">
        <v>1320.037975</v>
      </c>
      <c r="Y157" s="1">
        <v>656</v>
      </c>
      <c r="Z157" s="70"/>
      <c r="BA157" s="1">
        <v>153.14925650327973</v>
      </c>
      <c r="BC157" s="1">
        <v>123.87397357897522</v>
      </c>
    </row>
    <row r="158" spans="1:57" x14ac:dyDescent="0.2">
      <c r="A158" s="1" t="s">
        <v>294</v>
      </c>
      <c r="B158" s="1" t="s">
        <v>195</v>
      </c>
      <c r="C158" s="29">
        <v>42844</v>
      </c>
      <c r="D158" s="9">
        <v>18.197991999999999</v>
      </c>
      <c r="E158" s="9">
        <v>-100.153417</v>
      </c>
      <c r="F158" s="65" t="s">
        <v>272</v>
      </c>
      <c r="G158" s="70"/>
      <c r="I158" s="2">
        <v>0.1112173358847051</v>
      </c>
      <c r="J158" s="2">
        <v>0.56911331098399198</v>
      </c>
      <c r="K158" s="2">
        <v>0.1359311961494942</v>
      </c>
      <c r="L158" s="2">
        <v>2.45420423314347E-3</v>
      </c>
      <c r="S158" s="2">
        <v>0.81871604725133462</v>
      </c>
      <c r="T158" s="70"/>
      <c r="U158" s="1">
        <v>5.1559514999389604</v>
      </c>
      <c r="V158" s="1">
        <v>5.3214031159877804</v>
      </c>
      <c r="W158" s="1">
        <v>10.12661921978</v>
      </c>
      <c r="X158" s="1">
        <v>1025.7019230000001</v>
      </c>
      <c r="Y158" s="1">
        <v>1258</v>
      </c>
      <c r="Z158" s="70"/>
      <c r="BA158" s="1">
        <v>242.10831909948553</v>
      </c>
      <c r="BC158" s="1">
        <v>115.41661764705881</v>
      </c>
    </row>
    <row r="159" spans="1:57" x14ac:dyDescent="0.2">
      <c r="A159" s="1" t="s">
        <v>295</v>
      </c>
      <c r="B159" s="1" t="s">
        <v>195</v>
      </c>
      <c r="C159" s="29">
        <v>42740</v>
      </c>
      <c r="D159" s="9">
        <v>24.402270000000001</v>
      </c>
      <c r="E159" s="9">
        <v>-106.607449</v>
      </c>
      <c r="F159" s="65" t="s">
        <v>272</v>
      </c>
      <c r="G159" s="70"/>
      <c r="I159" s="2">
        <v>0.16588532057934602</v>
      </c>
      <c r="J159" s="2">
        <v>0.1611715852205472</v>
      </c>
      <c r="K159" s="2">
        <v>9.1212305136329608E-2</v>
      </c>
      <c r="S159" s="2">
        <v>0.41826921093622282</v>
      </c>
      <c r="T159" s="70"/>
      <c r="U159" s="1">
        <v>2.39775562286377</v>
      </c>
      <c r="V159" s="1">
        <v>2.5461691580241199</v>
      </c>
      <c r="W159" s="1">
        <v>6.8824445605277997</v>
      </c>
      <c r="X159" s="1">
        <v>520.43987340000001</v>
      </c>
      <c r="Y159" s="1">
        <v>742</v>
      </c>
      <c r="Z159" s="70"/>
      <c r="BA159" s="1">
        <v>85.179980719537724</v>
      </c>
      <c r="BC159" s="1">
        <v>73.63742590507124</v>
      </c>
    </row>
    <row r="160" spans="1:57" x14ac:dyDescent="0.2">
      <c r="A160" s="1" t="s">
        <v>296</v>
      </c>
      <c r="B160" s="1" t="s">
        <v>195</v>
      </c>
      <c r="C160" s="29">
        <v>42413</v>
      </c>
      <c r="D160" s="9">
        <v>22.798894000000001</v>
      </c>
      <c r="E160" s="9">
        <v>-102.584219</v>
      </c>
      <c r="F160" s="65" t="s">
        <v>272</v>
      </c>
      <c r="G160" s="70"/>
      <c r="I160" s="2">
        <v>0.29757597625086046</v>
      </c>
      <c r="J160" s="2">
        <v>0.70081854520639264</v>
      </c>
      <c r="K160" s="2">
        <v>0.39642429868749385</v>
      </c>
      <c r="L160" s="2">
        <v>3.565926444379975E-2</v>
      </c>
      <c r="S160" s="2">
        <v>1.4304780845885467</v>
      </c>
      <c r="T160" s="70"/>
      <c r="U160" s="1">
        <v>1.82565605640411</v>
      </c>
      <c r="V160" s="1">
        <v>1.7564072342788599</v>
      </c>
      <c r="W160" s="1">
        <v>4.1160336732864398</v>
      </c>
      <c r="X160" s="1">
        <v>2401.5408809999999</v>
      </c>
      <c r="Y160" s="1">
        <v>468</v>
      </c>
      <c r="Z160" s="70"/>
      <c r="BA160" s="1">
        <v>131.31949685093247</v>
      </c>
      <c r="BC160" s="1">
        <v>106.56766575893525</v>
      </c>
    </row>
    <row r="161" spans="1:57" x14ac:dyDescent="0.2">
      <c r="A161" s="1" t="s">
        <v>297</v>
      </c>
      <c r="B161" s="1" t="s">
        <v>195</v>
      </c>
      <c r="C161" s="29">
        <v>42310</v>
      </c>
      <c r="D161" s="9">
        <v>22.82179</v>
      </c>
      <c r="E161" s="9">
        <v>-102.7307</v>
      </c>
      <c r="F161" s="65" t="s">
        <v>272</v>
      </c>
      <c r="G161" s="70"/>
      <c r="I161" s="2">
        <v>0.47658898335397304</v>
      </c>
      <c r="J161" s="2">
        <v>0.77831293560073977</v>
      </c>
      <c r="K161" s="2">
        <v>0.48959042829769406</v>
      </c>
      <c r="L161" s="2">
        <v>0.23048023821735142</v>
      </c>
      <c r="S161" s="2">
        <v>1.9749725854697584</v>
      </c>
      <c r="T161" s="70"/>
      <c r="U161" s="1">
        <v>1.0516981482505801</v>
      </c>
      <c r="V161" s="1">
        <v>0.80785304017531601</v>
      </c>
      <c r="W161" s="1">
        <v>1.4501848816871601</v>
      </c>
      <c r="X161" s="1">
        <v>2261.4632590000001</v>
      </c>
      <c r="Y161" s="1">
        <v>262</v>
      </c>
      <c r="Z161" s="70"/>
      <c r="BA161" s="1">
        <v>66.481503875562709</v>
      </c>
      <c r="BC161" s="1">
        <v>54.082649133291888</v>
      </c>
    </row>
    <row r="162" spans="1:57" x14ac:dyDescent="0.2">
      <c r="A162" s="1" t="s">
        <v>298</v>
      </c>
      <c r="B162" s="1" t="s">
        <v>195</v>
      </c>
      <c r="C162" s="29">
        <v>41189</v>
      </c>
      <c r="D162" s="9">
        <v>23.65203</v>
      </c>
      <c r="E162" s="9">
        <v>-103.75245</v>
      </c>
      <c r="F162" s="65" t="s">
        <v>272</v>
      </c>
      <c r="G162" s="70"/>
      <c r="I162" s="2">
        <v>0.21402205044058872</v>
      </c>
      <c r="J162" s="2">
        <v>0.61801189093746189</v>
      </c>
      <c r="K162" s="2">
        <v>0.25224345228143757</v>
      </c>
      <c r="L162" s="2">
        <v>1.198858954250066E-2</v>
      </c>
      <c r="S162" s="2">
        <v>1.096265983201989</v>
      </c>
      <c r="T162" s="70"/>
      <c r="U162" s="1">
        <v>3.6437821388244598</v>
      </c>
      <c r="V162" s="1">
        <v>3.3432692523244101</v>
      </c>
      <c r="W162" s="1">
        <v>5.0904291868209803</v>
      </c>
      <c r="X162" s="1">
        <v>2473.338608</v>
      </c>
      <c r="Y162" s="1">
        <v>932</v>
      </c>
      <c r="Z162" s="70"/>
      <c r="BA162" s="1">
        <v>122.2788026459807</v>
      </c>
      <c r="BC162" s="1">
        <v>104.70205502064793</v>
      </c>
    </row>
    <row r="163" spans="1:57" x14ac:dyDescent="0.2">
      <c r="A163" s="1" t="s">
        <v>299</v>
      </c>
      <c r="B163" s="1" t="s">
        <v>195</v>
      </c>
      <c r="C163" s="29">
        <v>42814</v>
      </c>
      <c r="D163" s="9">
        <v>19.037430000000001</v>
      </c>
      <c r="E163" s="9">
        <v>-100.23334</v>
      </c>
      <c r="F163" s="65" t="s">
        <v>272</v>
      </c>
      <c r="G163" s="70"/>
      <c r="I163" s="2">
        <v>0.376394376048857</v>
      </c>
      <c r="J163" s="2">
        <v>0.95791073241034153</v>
      </c>
      <c r="K163" s="2">
        <v>0.19482894662984446</v>
      </c>
      <c r="L163" s="2">
        <v>1.5331889796565731E-2</v>
      </c>
      <c r="S163" s="2">
        <v>1.5444659448856084</v>
      </c>
      <c r="T163" s="70"/>
      <c r="U163" s="1">
        <v>3.55162525177002</v>
      </c>
      <c r="V163" s="1">
        <v>4.5424735364623601</v>
      </c>
      <c r="W163" s="1">
        <v>10.858569920062999</v>
      </c>
      <c r="X163" s="1">
        <v>1493.666667</v>
      </c>
      <c r="Y163" s="1">
        <v>1587</v>
      </c>
      <c r="Z163" s="70"/>
      <c r="BA163" s="1">
        <v>337.20151398649517</v>
      </c>
      <c r="BC163" s="1">
        <v>259.70017541550374</v>
      </c>
    </row>
    <row r="164" spans="1:57" x14ac:dyDescent="0.2">
      <c r="A164" s="1" t="s">
        <v>300</v>
      </c>
      <c r="B164" s="1" t="s">
        <v>195</v>
      </c>
      <c r="C164" s="29">
        <v>42804</v>
      </c>
      <c r="D164" s="9">
        <v>25.06063</v>
      </c>
      <c r="E164" s="9">
        <v>-103.73475999999999</v>
      </c>
      <c r="F164" s="65" t="s">
        <v>272</v>
      </c>
      <c r="G164" s="70"/>
      <c r="I164" s="2">
        <v>0.53719417271161918</v>
      </c>
      <c r="J164" s="2">
        <v>1.1353278741915125</v>
      </c>
      <c r="K164" s="2">
        <v>1.0908047837415713</v>
      </c>
      <c r="L164" s="2">
        <v>2.8096248964849812E-2</v>
      </c>
      <c r="S164" s="2">
        <v>2.7914230796095527</v>
      </c>
      <c r="T164" s="70"/>
      <c r="U164" s="1">
        <v>3.13918840885162</v>
      </c>
      <c r="V164" s="1">
        <v>2.7933030280319899</v>
      </c>
      <c r="W164" s="1">
        <v>8.9220841228961891</v>
      </c>
      <c r="X164" s="1">
        <v>1528.212025</v>
      </c>
      <c r="Y164" s="1">
        <v>995</v>
      </c>
      <c r="Z164" s="70"/>
      <c r="BA164" s="1">
        <v>93.261285573493439</v>
      </c>
      <c r="BB164" s="1">
        <v>0.10374508614559109</v>
      </c>
      <c r="BC164" s="1">
        <v>5.4267926807489431E-2</v>
      </c>
    </row>
    <row r="165" spans="1:57" x14ac:dyDescent="0.2">
      <c r="A165" s="1" t="s">
        <v>301</v>
      </c>
      <c r="B165" s="1" t="s">
        <v>209</v>
      </c>
      <c r="C165" s="29">
        <v>42626</v>
      </c>
      <c r="D165" s="9">
        <v>-11.2225</v>
      </c>
      <c r="E165" s="9">
        <v>-76.460560000000001</v>
      </c>
      <c r="F165" s="65" t="s">
        <v>272</v>
      </c>
      <c r="G165" s="70"/>
      <c r="H165" s="2">
        <v>0.63135950791782802</v>
      </c>
      <c r="I165" s="2">
        <v>0.453918507595375</v>
      </c>
      <c r="J165" s="2">
        <v>1.6294407579845391</v>
      </c>
      <c r="K165" s="2">
        <v>0.19122051600107395</v>
      </c>
      <c r="L165" s="2">
        <v>0.14244099704541383</v>
      </c>
      <c r="S165" s="2">
        <v>3.04838028654423</v>
      </c>
      <c r="T165" s="70"/>
      <c r="U165" s="1">
        <v>3.86509108543396</v>
      </c>
      <c r="V165" s="1">
        <v>4.8239253476735096</v>
      </c>
      <c r="W165" s="1">
        <v>17.7789063602686</v>
      </c>
      <c r="X165" s="1">
        <v>4681.5047619999996</v>
      </c>
      <c r="Y165" s="1">
        <v>1414</v>
      </c>
      <c r="Z165" s="70"/>
      <c r="BA165" s="1">
        <v>93.058136440000013</v>
      </c>
      <c r="BC165" s="1">
        <v>84.190318452787267</v>
      </c>
    </row>
    <row r="166" spans="1:57" x14ac:dyDescent="0.2">
      <c r="A166" s="1" t="s">
        <v>302</v>
      </c>
      <c r="B166" s="1" t="s">
        <v>209</v>
      </c>
      <c r="C166" s="29">
        <v>42887</v>
      </c>
      <c r="D166" s="9">
        <v>-9.5391700000000004</v>
      </c>
      <c r="E166" s="9">
        <v>-77.05</v>
      </c>
      <c r="F166" s="65" t="s">
        <v>272</v>
      </c>
      <c r="G166" s="70"/>
      <c r="H166" s="2">
        <v>4.6736160467419818</v>
      </c>
      <c r="I166" s="2">
        <v>5.2153690855986357</v>
      </c>
      <c r="J166" s="2">
        <v>11.707496725490245</v>
      </c>
      <c r="K166" s="2">
        <v>1.5875924462326825</v>
      </c>
      <c r="L166" s="2">
        <v>0.11943541027153688</v>
      </c>
      <c r="R166" s="31"/>
      <c r="S166" s="2">
        <v>23.303509714335082</v>
      </c>
      <c r="T166" s="70"/>
      <c r="U166" s="1">
        <v>1.2209931612014799</v>
      </c>
      <c r="V166" s="1">
        <v>2.2830994513970402</v>
      </c>
      <c r="W166" s="1">
        <v>9.1353288888931292</v>
      </c>
      <c r="X166" s="1">
        <v>3939.3006329999998</v>
      </c>
      <c r="Y166" s="1">
        <v>1423</v>
      </c>
      <c r="Z166" s="70"/>
      <c r="AA166" s="1" t="s">
        <v>86</v>
      </c>
      <c r="AB166" s="1" t="s">
        <v>87</v>
      </c>
      <c r="AC166" s="1" t="s">
        <v>88</v>
      </c>
      <c r="AD166" s="1">
        <v>16</v>
      </c>
      <c r="AE166" s="10">
        <v>581.41399999999999</v>
      </c>
      <c r="AF166" s="11">
        <v>2.9847537720619557E-2</v>
      </c>
      <c r="AG166" s="11">
        <v>0.98486590924924622</v>
      </c>
      <c r="AH166" s="12">
        <v>9.4112383635828731</v>
      </c>
      <c r="AI166" s="11">
        <v>1.1059370155729786</v>
      </c>
      <c r="AK166" s="2">
        <v>1.4269598772456335E-2</v>
      </c>
      <c r="AL166" s="1" t="s">
        <v>126</v>
      </c>
      <c r="AN166" s="10">
        <v>86.768881481481486</v>
      </c>
      <c r="AP166" s="10">
        <v>3877.0233317541433</v>
      </c>
      <c r="AQ166" s="22">
        <v>5247.6439076046463</v>
      </c>
      <c r="AS166" s="10">
        <v>5497.2062915587276</v>
      </c>
      <c r="AU166" s="10">
        <v>62.2285387632257</v>
      </c>
      <c r="AV166" s="1" t="s">
        <v>58</v>
      </c>
      <c r="AW166" s="24">
        <f>AE166-((AN166+AP166)*2/1000)-(AS166*5/1000)</f>
        <v>546.00038411573507</v>
      </c>
      <c r="AX166" s="10">
        <v>1891.037</v>
      </c>
      <c r="AY166" s="1">
        <v>100</v>
      </c>
      <c r="AZ166" s="10">
        <f>AE166+AX166</f>
        <v>2472.451</v>
      </c>
      <c r="BA166" s="1">
        <v>65.476266235743736</v>
      </c>
      <c r="BC166" s="1">
        <v>48.876652284229841</v>
      </c>
    </row>
    <row r="167" spans="1:57" x14ac:dyDescent="0.2">
      <c r="A167" s="1" t="s">
        <v>303</v>
      </c>
      <c r="B167" s="1" t="s">
        <v>209</v>
      </c>
      <c r="C167" s="29">
        <v>42938</v>
      </c>
      <c r="D167" s="9">
        <v>-10.57483</v>
      </c>
      <c r="E167" s="9">
        <v>-76.21499</v>
      </c>
      <c r="F167" s="65" t="s">
        <v>272</v>
      </c>
      <c r="G167" s="70"/>
      <c r="H167" s="2">
        <v>0.148420479143792</v>
      </c>
      <c r="I167" s="2">
        <v>0.22947711886196401</v>
      </c>
      <c r="J167" s="2">
        <v>0.69749397289410842</v>
      </c>
      <c r="K167" s="2">
        <v>6.1943052336355393E-2</v>
      </c>
      <c r="L167" s="2">
        <v>1.1767204358762112E-2</v>
      </c>
      <c r="S167" s="2">
        <v>1.149101827594982</v>
      </c>
      <c r="T167" s="70"/>
      <c r="U167" s="1">
        <v>7.8163616657257098</v>
      </c>
      <c r="V167" s="1">
        <v>5.6451486586578303</v>
      </c>
      <c r="W167" s="1">
        <v>13.7108390033245</v>
      </c>
      <c r="X167" s="1">
        <v>3774.6730160000002</v>
      </c>
      <c r="Y167" s="1">
        <v>1680</v>
      </c>
      <c r="Z167" s="70"/>
      <c r="BA167" s="1">
        <v>109.41057161190804</v>
      </c>
      <c r="BC167" s="1">
        <v>83.82417808921312</v>
      </c>
    </row>
    <row r="168" spans="1:57" x14ac:dyDescent="0.2">
      <c r="A168" s="1" t="s">
        <v>304</v>
      </c>
      <c r="B168" s="1" t="s">
        <v>209</v>
      </c>
      <c r="C168" s="29">
        <v>42905</v>
      </c>
      <c r="D168" s="9">
        <v>-11.032299999999999</v>
      </c>
      <c r="E168" s="9">
        <v>-76.423900000000003</v>
      </c>
      <c r="F168" s="65" t="s">
        <v>272</v>
      </c>
      <c r="G168" s="70"/>
      <c r="I168" s="2">
        <v>1.10405624840003</v>
      </c>
      <c r="J168" s="2">
        <v>0.63905154659390373</v>
      </c>
      <c r="K168" s="2">
        <v>0.34006677361011378</v>
      </c>
      <c r="L168" s="2">
        <v>0.14528825774957707</v>
      </c>
      <c r="S168" s="2">
        <v>2.2284628263536246</v>
      </c>
      <c r="T168" s="70"/>
      <c r="U168" s="1">
        <v>1.5225234031677199</v>
      </c>
      <c r="V168" s="1">
        <v>2.3840685064593901</v>
      </c>
      <c r="W168" s="1">
        <v>8.5580289103090799</v>
      </c>
      <c r="X168" s="1">
        <v>4104.176101</v>
      </c>
      <c r="Y168" s="1">
        <v>823</v>
      </c>
      <c r="Z168" s="70"/>
      <c r="BA168" s="1">
        <v>176.90177623999998</v>
      </c>
      <c r="BC168" s="1">
        <v>153.92053911759493</v>
      </c>
    </row>
    <row r="169" spans="1:57" x14ac:dyDescent="0.2">
      <c r="A169" s="1" t="s">
        <v>305</v>
      </c>
      <c r="B169" s="1" t="s">
        <v>209</v>
      </c>
      <c r="C169" s="29">
        <v>42938</v>
      </c>
      <c r="D169" s="9">
        <v>-10.66667</v>
      </c>
      <c r="E169" s="9">
        <v>-76.25</v>
      </c>
      <c r="F169" s="65" t="s">
        <v>272</v>
      </c>
      <c r="G169" s="70"/>
      <c r="H169" s="2">
        <v>1.3060473891469602</v>
      </c>
      <c r="I169" s="2">
        <v>2.9258797674244401</v>
      </c>
      <c r="J169" s="2">
        <v>3.2754645052835376</v>
      </c>
      <c r="K169" s="2">
        <v>0.51521165401161195</v>
      </c>
      <c r="L169" s="2">
        <v>0.21973680550079319</v>
      </c>
      <c r="S169" s="2">
        <v>8.2423401213673433</v>
      </c>
      <c r="T169" s="70"/>
      <c r="U169" s="1">
        <v>2.5628248453140299</v>
      </c>
      <c r="V169" s="1">
        <v>4.02114474697958</v>
      </c>
      <c r="W169" s="1">
        <v>8.5527038574218803</v>
      </c>
      <c r="X169" s="1">
        <v>4255.4841770000003</v>
      </c>
      <c r="Y169" s="1">
        <v>819</v>
      </c>
      <c r="Z169" s="70"/>
      <c r="BA169" s="1">
        <v>170.6817256182419</v>
      </c>
      <c r="BC169" s="1">
        <v>125.57156073385779</v>
      </c>
    </row>
    <row r="170" spans="1:57" x14ac:dyDescent="0.2">
      <c r="A170" s="1" t="s">
        <v>306</v>
      </c>
      <c r="B170" s="1" t="s">
        <v>209</v>
      </c>
      <c r="C170" s="29">
        <v>42873</v>
      </c>
      <c r="D170" s="9">
        <v>-13.077</v>
      </c>
      <c r="E170" s="9">
        <v>-75.991</v>
      </c>
      <c r="F170" s="65" t="s">
        <v>272</v>
      </c>
      <c r="G170" s="70"/>
      <c r="I170" s="2">
        <v>0.15261423939180879</v>
      </c>
      <c r="J170" s="2">
        <v>0.49404098894852505</v>
      </c>
      <c r="K170" s="2">
        <v>0.30983912818919285</v>
      </c>
      <c r="L170" s="2">
        <v>1.4042274066574868E-2</v>
      </c>
      <c r="S170" s="2">
        <v>0.97053663059610151</v>
      </c>
      <c r="T170" s="70"/>
      <c r="U170" s="1">
        <v>8.1134748458862305</v>
      </c>
      <c r="V170" s="1">
        <v>7.3711701827713201</v>
      </c>
      <c r="W170" s="1">
        <v>7.8068351745605504</v>
      </c>
      <c r="X170" s="1">
        <v>2586.8322779999999</v>
      </c>
      <c r="Y170" s="1">
        <v>2182</v>
      </c>
      <c r="Z170" s="70"/>
      <c r="BA170" s="1">
        <v>110.5401903792603</v>
      </c>
      <c r="BC170" s="1">
        <v>94.380523110311501</v>
      </c>
    </row>
    <row r="171" spans="1:57" x14ac:dyDescent="0.2">
      <c r="A171" s="1" t="s">
        <v>307</v>
      </c>
      <c r="B171" s="1" t="s">
        <v>209</v>
      </c>
      <c r="C171" s="29">
        <v>42905</v>
      </c>
      <c r="D171" s="9">
        <v>-9.85</v>
      </c>
      <c r="E171" s="9">
        <v>-77.010999999999996</v>
      </c>
      <c r="F171" s="65" t="s">
        <v>272</v>
      </c>
      <c r="G171" s="70"/>
      <c r="I171" s="2">
        <v>0.61172984440263201</v>
      </c>
      <c r="J171" s="2">
        <v>0.18357821382775166</v>
      </c>
      <c r="K171" s="2">
        <v>0.29895799248797023</v>
      </c>
      <c r="S171" s="2">
        <v>1.0942660507183539</v>
      </c>
      <c r="T171" s="70"/>
      <c r="U171" s="1">
        <v>0.156842231750488</v>
      </c>
      <c r="V171" s="1">
        <v>0.26190908362829601</v>
      </c>
      <c r="W171" s="1">
        <v>1.4962962549179799</v>
      </c>
      <c r="X171" s="1">
        <v>3995.7879750000002</v>
      </c>
      <c r="Y171" s="1">
        <v>78</v>
      </c>
      <c r="Z171" s="70"/>
      <c r="BA171" s="1">
        <v>151.7099320985852</v>
      </c>
      <c r="BC171" s="1">
        <v>121.47305628120971</v>
      </c>
    </row>
    <row r="172" spans="1:57" x14ac:dyDescent="0.2">
      <c r="A172" s="1" t="s">
        <v>308</v>
      </c>
      <c r="B172" s="1" t="s">
        <v>209</v>
      </c>
      <c r="C172" s="29">
        <v>42938</v>
      </c>
      <c r="D172" s="9">
        <v>-10.553890000000001</v>
      </c>
      <c r="E172" s="9">
        <v>-76.173060000000007</v>
      </c>
      <c r="F172" s="65" t="s">
        <v>272</v>
      </c>
      <c r="G172" s="70"/>
      <c r="I172" s="2">
        <v>0.51255790579219596</v>
      </c>
      <c r="J172" s="2">
        <v>0.25963880936979128</v>
      </c>
      <c r="K172" s="2">
        <v>0.32295157142654241</v>
      </c>
      <c r="L172" s="2">
        <v>2.1362086327690599E-3</v>
      </c>
      <c r="S172" s="2">
        <v>1.0972844952212988</v>
      </c>
      <c r="T172" s="70"/>
      <c r="U172" s="1">
        <v>6.8105945587158203</v>
      </c>
      <c r="V172" s="1">
        <v>5.2106368185426897</v>
      </c>
      <c r="W172" s="1">
        <v>13.7108390033245</v>
      </c>
      <c r="X172" s="1">
        <v>3487.3493589999998</v>
      </c>
      <c r="Y172" s="1">
        <v>1505</v>
      </c>
      <c r="Z172" s="70"/>
      <c r="BA172" s="1">
        <v>124.69914343908661</v>
      </c>
      <c r="BC172" s="1">
        <v>97.680205479459858</v>
      </c>
      <c r="BD172" s="1">
        <v>7.4986969774717915E-2</v>
      </c>
      <c r="BE172" s="1">
        <v>3.2283482102881199E-2</v>
      </c>
    </row>
    <row r="173" spans="1:57" x14ac:dyDescent="0.2">
      <c r="A173" s="1" t="s">
        <v>309</v>
      </c>
      <c r="B173" s="1" t="s">
        <v>209</v>
      </c>
      <c r="C173" s="29">
        <v>42905</v>
      </c>
      <c r="D173" s="9">
        <v>-12.9428</v>
      </c>
      <c r="E173" s="9">
        <v>-74.804959999999994</v>
      </c>
      <c r="F173" s="65" t="s">
        <v>272</v>
      </c>
      <c r="G173" s="70"/>
      <c r="I173" s="2">
        <v>0.133159163650207</v>
      </c>
      <c r="J173" s="2">
        <v>0.25788838487680732</v>
      </c>
      <c r="K173" s="2">
        <v>0.2137572045740502</v>
      </c>
      <c r="L173" s="2">
        <v>2.5101194036193102E-3</v>
      </c>
      <c r="S173" s="2">
        <v>0.60731487250468386</v>
      </c>
      <c r="T173" s="70"/>
      <c r="U173" s="1">
        <v>0.63469126820564303</v>
      </c>
      <c r="V173" s="1">
        <v>0.581299220750364</v>
      </c>
      <c r="W173" s="1">
        <v>3.0132551658898601</v>
      </c>
      <c r="X173" s="1">
        <v>4024.916933</v>
      </c>
      <c r="Y173" s="1">
        <v>198</v>
      </c>
      <c r="Z173" s="70"/>
      <c r="BA173" s="1">
        <v>349.55371611479092</v>
      </c>
      <c r="BC173" s="1">
        <v>329.01659841639133</v>
      </c>
    </row>
    <row r="174" spans="1:57" x14ac:dyDescent="0.2">
      <c r="A174" s="1" t="s">
        <v>310</v>
      </c>
      <c r="B174" s="1" t="s">
        <v>209</v>
      </c>
      <c r="C174" s="29">
        <v>42938</v>
      </c>
      <c r="D174" s="9">
        <v>-10.808422</v>
      </c>
      <c r="E174" s="9">
        <v>-76.288616000000005</v>
      </c>
      <c r="F174" s="65" t="s">
        <v>272</v>
      </c>
      <c r="G174" s="70"/>
      <c r="I174" s="2">
        <v>0.823378888413274</v>
      </c>
      <c r="J174" s="2">
        <v>1.6451949169740174</v>
      </c>
      <c r="K174" s="2">
        <v>0.63333384518872937</v>
      </c>
      <c r="L174" s="2">
        <v>2.5214492724183017E-2</v>
      </c>
      <c r="S174" s="2">
        <v>3.1271221433002037</v>
      </c>
      <c r="T174" s="70"/>
      <c r="U174" s="1">
        <v>3.4092562198638898</v>
      </c>
      <c r="V174" s="1">
        <v>3.7911819531714501</v>
      </c>
      <c r="W174" s="1">
        <v>7.2399555444717398</v>
      </c>
      <c r="X174" s="1">
        <v>3519</v>
      </c>
      <c r="Y174" s="1">
        <v>993</v>
      </c>
      <c r="Z174" s="70"/>
      <c r="BA174" s="1">
        <v>99.326151920000001</v>
      </c>
      <c r="BC174" s="1">
        <v>65.178979844781267</v>
      </c>
    </row>
    <row r="175" spans="1:57" x14ac:dyDescent="0.2">
      <c r="A175" s="1" t="s">
        <v>311</v>
      </c>
      <c r="B175" s="1" t="s">
        <v>209</v>
      </c>
      <c r="C175" s="29">
        <v>42904</v>
      </c>
      <c r="D175" s="9">
        <v>-11.74198</v>
      </c>
      <c r="E175" s="9">
        <v>-76.014080000000007</v>
      </c>
      <c r="F175" s="65" t="s">
        <v>272</v>
      </c>
      <c r="G175" s="70"/>
      <c r="H175" s="2">
        <v>0.26934255212634606</v>
      </c>
      <c r="I175" s="2">
        <v>1.1163693299936099</v>
      </c>
      <c r="J175" s="2">
        <v>2.6189659995868597</v>
      </c>
      <c r="K175" s="2">
        <v>1.0538267414275631</v>
      </c>
      <c r="L175" s="2">
        <v>6.0407569230260791E-2</v>
      </c>
      <c r="S175" s="2">
        <v>5.1189121923646388</v>
      </c>
      <c r="T175" s="70"/>
      <c r="U175" s="1">
        <v>4.66231346130371</v>
      </c>
      <c r="V175" s="1">
        <v>3.8874549050624401</v>
      </c>
      <c r="W175" s="1">
        <v>13.2357831448317</v>
      </c>
      <c r="X175" s="1">
        <v>4188.0757100000001</v>
      </c>
      <c r="Y175" s="1">
        <v>1130</v>
      </c>
      <c r="Z175" s="70"/>
      <c r="BA175" s="1">
        <v>171.69144426000003</v>
      </c>
      <c r="BC175" s="1">
        <v>150.10701683190001</v>
      </c>
    </row>
    <row r="176" spans="1:57" x14ac:dyDescent="0.2">
      <c r="A176" s="1" t="s">
        <v>312</v>
      </c>
      <c r="B176" s="1" t="s">
        <v>209</v>
      </c>
      <c r="C176" s="29">
        <v>42952</v>
      </c>
      <c r="D176" s="9">
        <v>-12.30879</v>
      </c>
      <c r="E176" s="9">
        <v>-75.706339999999997</v>
      </c>
      <c r="F176" s="65" t="s">
        <v>272</v>
      </c>
      <c r="G176" s="70"/>
      <c r="I176" s="2">
        <v>0.29271758371925299</v>
      </c>
      <c r="J176" s="2">
        <v>0.58941914391853245</v>
      </c>
      <c r="K176" s="2">
        <v>0.37647035308701365</v>
      </c>
      <c r="L176" s="2">
        <v>0.10313596318175894</v>
      </c>
      <c r="S176" s="2">
        <v>1.3617430439065581</v>
      </c>
      <c r="T176" s="70"/>
      <c r="U176" s="1">
        <v>4.4370756149292001</v>
      </c>
      <c r="V176" s="1">
        <v>3.5704411398855198</v>
      </c>
      <c r="W176" s="1">
        <v>7.9253686219453803</v>
      </c>
      <c r="X176" s="1">
        <v>4331.9683539999996</v>
      </c>
      <c r="Y176" s="1">
        <v>981</v>
      </c>
      <c r="Z176" s="70"/>
      <c r="BA176" s="1">
        <v>206.95450403221867</v>
      </c>
      <c r="BC176" s="1">
        <v>140.20096887260055</v>
      </c>
    </row>
    <row r="177" spans="1:57" x14ac:dyDescent="0.2">
      <c r="A177" s="1" t="s">
        <v>313</v>
      </c>
      <c r="B177" s="1" t="s">
        <v>222</v>
      </c>
      <c r="C177" s="29">
        <v>42901</v>
      </c>
      <c r="D177" s="9">
        <v>-29.252358000000001</v>
      </c>
      <c r="E177" s="9">
        <v>18.792317000000001</v>
      </c>
      <c r="F177" s="65" t="s">
        <v>272</v>
      </c>
      <c r="G177" s="70"/>
      <c r="I177" s="2">
        <v>0.98042397485794808</v>
      </c>
      <c r="J177" s="2">
        <v>2.7646737052707615</v>
      </c>
      <c r="K177" s="2">
        <v>0.55750707200918526</v>
      </c>
      <c r="L177" s="2">
        <v>6.2075318013055582E-2</v>
      </c>
      <c r="S177" s="2">
        <v>4.3646800701509498</v>
      </c>
      <c r="T177" s="70"/>
      <c r="U177" s="1">
        <v>1.1474194526672401</v>
      </c>
      <c r="V177" s="1">
        <v>0.96486494114881804</v>
      </c>
      <c r="W177" s="1">
        <v>3.1609283834695798</v>
      </c>
      <c r="X177" s="1">
        <v>856.41139239999995</v>
      </c>
      <c r="Y177" s="1">
        <v>365</v>
      </c>
      <c r="Z177" s="70"/>
      <c r="AA177" s="1" t="s">
        <v>271</v>
      </c>
      <c r="BA177" s="1">
        <v>141.15453905432193</v>
      </c>
      <c r="BC177" s="1">
        <v>84.715111881575567</v>
      </c>
    </row>
    <row r="178" spans="1:57" x14ac:dyDescent="0.2">
      <c r="A178" s="1" t="s">
        <v>314</v>
      </c>
      <c r="B178" s="1" t="s">
        <v>226</v>
      </c>
      <c r="C178" s="29">
        <v>41140</v>
      </c>
      <c r="D178" s="9">
        <v>64.875</v>
      </c>
      <c r="E178" s="9">
        <v>20.33389</v>
      </c>
      <c r="F178" s="65" t="s">
        <v>272</v>
      </c>
      <c r="G178" s="70"/>
      <c r="I178" s="2">
        <v>4.9577063345469563</v>
      </c>
      <c r="J178" s="2">
        <v>1.1353654290751116</v>
      </c>
      <c r="K178" s="2">
        <v>0.42698525337799564</v>
      </c>
      <c r="S178" s="2">
        <v>6.5200570170000631</v>
      </c>
      <c r="T178" s="70"/>
      <c r="U178" s="1">
        <v>0.32227709889411899</v>
      </c>
      <c r="V178" s="1">
        <v>0.450556009324102</v>
      </c>
      <c r="W178" s="1">
        <v>1.4900638386607199</v>
      </c>
      <c r="X178" s="1">
        <v>229.12974679999999</v>
      </c>
      <c r="Y178" s="1">
        <v>173</v>
      </c>
      <c r="Z178" s="70"/>
      <c r="AA178" s="1" t="s">
        <v>271</v>
      </c>
      <c r="BA178" s="1">
        <v>197.88025586823153</v>
      </c>
      <c r="BC178" s="1">
        <v>129.26302799532488</v>
      </c>
    </row>
    <row r="179" spans="1:57" x14ac:dyDescent="0.2">
      <c r="A179" s="1" t="s">
        <v>315</v>
      </c>
      <c r="B179" s="1" t="s">
        <v>226</v>
      </c>
      <c r="C179" s="29">
        <v>41402</v>
      </c>
      <c r="D179" s="9">
        <v>60.321933000000001</v>
      </c>
      <c r="E179" s="9">
        <v>16.218225</v>
      </c>
      <c r="F179" s="65" t="s">
        <v>272</v>
      </c>
      <c r="G179" s="70"/>
      <c r="I179" s="2">
        <v>1.2576830395790299</v>
      </c>
      <c r="J179" s="2">
        <v>1.144343182258138</v>
      </c>
      <c r="K179" s="2">
        <v>0.15513234411353566</v>
      </c>
      <c r="L179" s="2">
        <v>0.13097588119958339</v>
      </c>
      <c r="S179" s="2">
        <v>2.6881344471502868</v>
      </c>
      <c r="T179" s="70"/>
      <c r="U179" s="1">
        <v>0.57095909118652299</v>
      </c>
      <c r="V179" s="1">
        <v>0.61666303513625198</v>
      </c>
      <c r="W179" s="1">
        <v>1.5530093610286699</v>
      </c>
      <c r="X179" s="1">
        <v>176.1757188</v>
      </c>
      <c r="Y179" s="1">
        <v>166</v>
      </c>
      <c r="Z179" s="70"/>
      <c r="AA179" s="1" t="s">
        <v>271</v>
      </c>
      <c r="BA179" s="1">
        <v>229.63358563665597</v>
      </c>
      <c r="BC179" s="1">
        <v>191.99494318910746</v>
      </c>
    </row>
    <row r="180" spans="1:57" x14ac:dyDescent="0.2">
      <c r="A180" s="1" t="s">
        <v>316</v>
      </c>
      <c r="B180" s="1" t="s">
        <v>226</v>
      </c>
      <c r="C180" s="29">
        <v>42231</v>
      </c>
      <c r="D180" s="9">
        <v>62.856650000000002</v>
      </c>
      <c r="E180" s="9">
        <v>29.337499999999999</v>
      </c>
      <c r="F180" s="65" t="s">
        <v>272</v>
      </c>
      <c r="G180" s="70"/>
      <c r="J180" s="2">
        <v>0.10773991961305389</v>
      </c>
      <c r="K180" s="2">
        <v>2.9054009827852206E-2</v>
      </c>
      <c r="L180" s="2">
        <v>9.6556291020214336E-3</v>
      </c>
      <c r="S180" s="2">
        <v>0.14644955854292752</v>
      </c>
      <c r="T180" s="70"/>
      <c r="U180" s="1">
        <v>0.203408047556877</v>
      </c>
      <c r="V180" s="1">
        <v>0.212917465476259</v>
      </c>
      <c r="W180" s="1">
        <v>0.61145367845892895</v>
      </c>
      <c r="X180" s="1">
        <v>98.07741935</v>
      </c>
      <c r="Y180" s="1">
        <v>103</v>
      </c>
      <c r="Z180" s="70"/>
      <c r="AA180" s="1" t="s">
        <v>86</v>
      </c>
      <c r="BA180" s="1">
        <v>136.17343539421222</v>
      </c>
      <c r="BC180" s="1">
        <v>49.458785879390192</v>
      </c>
    </row>
    <row r="181" spans="1:57" x14ac:dyDescent="0.2">
      <c r="A181" s="1" t="s">
        <v>317</v>
      </c>
      <c r="B181" s="1" t="s">
        <v>226</v>
      </c>
      <c r="C181" s="29">
        <v>42237</v>
      </c>
      <c r="D181" s="9">
        <v>58.812289</v>
      </c>
      <c r="E181" s="9">
        <v>15.106450000000001</v>
      </c>
      <c r="F181" s="65" t="s">
        <v>272</v>
      </c>
      <c r="G181" s="70"/>
      <c r="I181" s="2">
        <v>0.798327157130301</v>
      </c>
      <c r="J181" s="2">
        <v>0.30094603860562746</v>
      </c>
      <c r="K181" s="2">
        <v>0.15041369743557267</v>
      </c>
      <c r="S181" s="2">
        <v>1.2496868931715013</v>
      </c>
      <c r="T181" s="70"/>
      <c r="U181" s="1">
        <v>0.44591975212097201</v>
      </c>
      <c r="V181" s="1">
        <v>0.47183042814973097</v>
      </c>
      <c r="W181" s="1">
        <v>1.0152006819844199</v>
      </c>
      <c r="X181" s="1">
        <v>160.97106109999999</v>
      </c>
      <c r="Y181" s="1">
        <v>119</v>
      </c>
      <c r="Z181" s="70"/>
      <c r="AA181" s="1" t="s">
        <v>271</v>
      </c>
      <c r="BA181" s="1">
        <v>274.55166066593756</v>
      </c>
      <c r="BC181" s="1">
        <v>237.44020940821227</v>
      </c>
    </row>
    <row r="182" spans="1:57" x14ac:dyDescent="0.2">
      <c r="A182" s="1" t="s">
        <v>318</v>
      </c>
      <c r="B182" s="1" t="s">
        <v>319</v>
      </c>
      <c r="C182" s="29">
        <v>42696</v>
      </c>
      <c r="D182" s="9">
        <v>41.040610999999998</v>
      </c>
      <c r="E182" s="9">
        <v>40.766233</v>
      </c>
      <c r="F182" s="65" t="s">
        <v>272</v>
      </c>
      <c r="G182" s="70"/>
      <c r="J182" s="2">
        <v>3.5722642838257351E-2</v>
      </c>
      <c r="K182" s="2">
        <v>0.12956346972352631</v>
      </c>
      <c r="S182" s="2">
        <v>0.16528611256178363</v>
      </c>
      <c r="T182" s="70"/>
      <c r="U182" s="1">
        <v>5.8516902923584002</v>
      </c>
      <c r="V182" s="1">
        <v>4.9053401008296902</v>
      </c>
      <c r="W182" s="1">
        <v>10.5070811808109</v>
      </c>
      <c r="X182" s="1">
        <v>545.36721309999996</v>
      </c>
      <c r="Y182" s="1">
        <v>1340</v>
      </c>
      <c r="Z182" s="70"/>
      <c r="AA182" s="1" t="s">
        <v>86</v>
      </c>
      <c r="BA182" s="1">
        <v>195.44881299999997</v>
      </c>
      <c r="BC182" s="1">
        <v>132.36134636243264</v>
      </c>
    </row>
    <row r="183" spans="1:57" x14ac:dyDescent="0.2">
      <c r="A183" s="1" t="s">
        <v>320</v>
      </c>
      <c r="B183" s="1" t="s">
        <v>321</v>
      </c>
      <c r="C183" s="29">
        <v>41389</v>
      </c>
      <c r="D183" s="9">
        <v>37.576014000000001</v>
      </c>
      <c r="E183" s="9">
        <v>-7.977106</v>
      </c>
      <c r="F183" s="65" t="s">
        <v>272</v>
      </c>
      <c r="G183" s="70"/>
      <c r="I183" s="2">
        <v>1.7908027755952025</v>
      </c>
      <c r="J183" s="2">
        <v>0.73950085594025095</v>
      </c>
      <c r="K183" s="2">
        <v>0.53437167267165309</v>
      </c>
      <c r="L183" s="2">
        <v>0.11415234255880871</v>
      </c>
      <c r="S183" s="2">
        <v>3.1788276467659156</v>
      </c>
      <c r="T183" s="70"/>
      <c r="U183" s="1">
        <v>0.51825731992721602</v>
      </c>
      <c r="V183" s="1">
        <v>0.50880584470809498</v>
      </c>
      <c r="W183" s="1">
        <v>0.76981364190578505</v>
      </c>
      <c r="X183" s="1">
        <v>244.72380949999999</v>
      </c>
      <c r="Y183" s="1">
        <v>148</v>
      </c>
      <c r="Z183" s="70"/>
      <c r="AA183" s="1" t="s">
        <v>322</v>
      </c>
      <c r="BA183" s="1">
        <v>154.37011177509277</v>
      </c>
      <c r="BC183" s="1">
        <v>124.90931997915027</v>
      </c>
      <c r="BD183" s="1">
        <v>0.96205720972965059</v>
      </c>
      <c r="BE183" s="1">
        <v>0.96717568438248402</v>
      </c>
    </row>
    <row r="184" spans="1:57" x14ac:dyDescent="0.2">
      <c r="A184" s="1" t="s">
        <v>323</v>
      </c>
      <c r="B184" s="1" t="s">
        <v>228</v>
      </c>
      <c r="C184" s="29">
        <v>41878</v>
      </c>
      <c r="D184" s="9">
        <v>47.479044000000002</v>
      </c>
      <c r="E184" s="9">
        <v>-115.964978</v>
      </c>
      <c r="F184" s="65" t="s">
        <v>272</v>
      </c>
      <c r="G184" s="70"/>
      <c r="I184" s="2">
        <v>0.20161086670324538</v>
      </c>
      <c r="J184" s="2">
        <v>0.24327430897113062</v>
      </c>
      <c r="K184" s="2">
        <v>6.1696529945500109E-2</v>
      </c>
      <c r="L184" s="2">
        <v>8.4132649691030289E-3</v>
      </c>
      <c r="S184" s="2">
        <v>0.51499497058897903</v>
      </c>
      <c r="T184" s="70"/>
      <c r="U184" s="1">
        <v>5.0834660530090297</v>
      </c>
      <c r="V184" s="1">
        <v>4.3983361364560896</v>
      </c>
      <c r="W184" s="1">
        <v>8.5180890560150093</v>
      </c>
      <c r="X184" s="1">
        <v>1237.3504820000001</v>
      </c>
      <c r="Y184" s="1">
        <v>1039</v>
      </c>
      <c r="Z184" s="70"/>
      <c r="AA184" s="1" t="s">
        <v>271</v>
      </c>
      <c r="BA184" s="1">
        <v>365.12102056825398</v>
      </c>
      <c r="BC184" s="1">
        <v>353.06769914381721</v>
      </c>
      <c r="BD184" s="1">
        <v>8.7375869377085746E-2</v>
      </c>
      <c r="BE184" s="1">
        <v>8.7364682839341581E-2</v>
      </c>
    </row>
    <row r="185" spans="1:57" x14ac:dyDescent="0.2">
      <c r="A185" s="1" t="s">
        <v>324</v>
      </c>
      <c r="B185" s="1" t="s">
        <v>228</v>
      </c>
      <c r="C185" s="8">
        <v>41483</v>
      </c>
      <c r="D185" s="9">
        <v>58.135511000000001</v>
      </c>
      <c r="E185" s="9">
        <v>-134.734262</v>
      </c>
      <c r="F185" s="65" t="s">
        <v>272</v>
      </c>
      <c r="G185" s="70"/>
      <c r="H185" s="2" t="s">
        <v>114</v>
      </c>
      <c r="I185" s="2">
        <v>0.26443066947714</v>
      </c>
      <c r="J185" s="2">
        <v>0.11696512440137551</v>
      </c>
      <c r="K185" s="2">
        <v>7.1997911099955347E-2</v>
      </c>
      <c r="L185" s="2">
        <v>9.4168545970022659E-3</v>
      </c>
      <c r="M185" s="2"/>
      <c r="N185" s="2"/>
      <c r="O185" s="2"/>
      <c r="P185" s="2"/>
      <c r="Q185" s="2"/>
      <c r="R185" s="2"/>
      <c r="S185" s="2">
        <v>0.46281055957547307</v>
      </c>
      <c r="T185" s="70"/>
      <c r="U185" s="1">
        <v>3.2135927677154501</v>
      </c>
      <c r="V185" s="1">
        <v>3.2877054415221498</v>
      </c>
      <c r="W185" s="1">
        <v>7.6979496777057603</v>
      </c>
      <c r="X185" s="1">
        <v>239.3448276</v>
      </c>
      <c r="Y185" s="1">
        <v>852</v>
      </c>
      <c r="Z185" s="70"/>
      <c r="BA185" s="1">
        <v>632.28702852395372</v>
      </c>
      <c r="BC185" s="1">
        <v>469.44327022781135</v>
      </c>
    </row>
    <row r="186" spans="1:57" x14ac:dyDescent="0.2">
      <c r="A186" s="5" t="s">
        <v>325</v>
      </c>
      <c r="B186" s="5" t="s">
        <v>325</v>
      </c>
      <c r="C186" s="5" t="s">
        <v>326</v>
      </c>
      <c r="D186" s="5" t="s">
        <v>326</v>
      </c>
      <c r="E186" s="5" t="s">
        <v>326</v>
      </c>
      <c r="F186" s="5" t="s">
        <v>326</v>
      </c>
      <c r="G186" s="72"/>
      <c r="H186" s="5" t="s">
        <v>325</v>
      </c>
      <c r="I186" s="5" t="s">
        <v>325</v>
      </c>
      <c r="J186" s="5" t="s">
        <v>325</v>
      </c>
      <c r="K186" s="5" t="s">
        <v>325</v>
      </c>
      <c r="L186" s="5" t="s">
        <v>325</v>
      </c>
      <c r="M186" s="5" t="s">
        <v>325</v>
      </c>
      <c r="N186" s="5" t="s">
        <v>325</v>
      </c>
      <c r="O186" s="5" t="s">
        <v>325</v>
      </c>
      <c r="P186" s="5" t="s">
        <v>325</v>
      </c>
      <c r="Q186" s="5" t="s">
        <v>325</v>
      </c>
      <c r="R186" s="5" t="s">
        <v>325</v>
      </c>
      <c r="S186" s="5" t="s">
        <v>325</v>
      </c>
      <c r="T186" s="72"/>
      <c r="Z186" s="72"/>
      <c r="AA186" s="5" t="s">
        <v>325</v>
      </c>
      <c r="AB186" s="5" t="s">
        <v>325</v>
      </c>
      <c r="AC186" s="5" t="s">
        <v>325</v>
      </c>
      <c r="AD186" s="5" t="s">
        <v>325</v>
      </c>
      <c r="AE186" s="5" t="s">
        <v>325</v>
      </c>
      <c r="AF186" s="5" t="s">
        <v>325</v>
      </c>
      <c r="AG186" s="5" t="s">
        <v>325</v>
      </c>
      <c r="AH186" s="5" t="s">
        <v>325</v>
      </c>
      <c r="AI186" s="5" t="s">
        <v>325</v>
      </c>
      <c r="AJ186" s="5" t="s">
        <v>325</v>
      </c>
      <c r="AK186" s="5" t="s">
        <v>325</v>
      </c>
      <c r="AL186" s="5" t="s">
        <v>325</v>
      </c>
      <c r="AM186" s="5" t="s">
        <v>325</v>
      </c>
      <c r="AN186" s="5" t="s">
        <v>325</v>
      </c>
      <c r="AO186" s="5" t="s">
        <v>325</v>
      </c>
      <c r="AP186" s="5" t="s">
        <v>325</v>
      </c>
      <c r="AQ186" s="5" t="s">
        <v>325</v>
      </c>
      <c r="AR186" s="5" t="s">
        <v>325</v>
      </c>
      <c r="AS186" s="5" t="s">
        <v>325</v>
      </c>
      <c r="AT186" s="5" t="s">
        <v>325</v>
      </c>
      <c r="AU186" s="5" t="s">
        <v>325</v>
      </c>
      <c r="AV186" s="5" t="s">
        <v>325</v>
      </c>
      <c r="AW186" s="5" t="s">
        <v>325</v>
      </c>
      <c r="AX186" s="5" t="s">
        <v>325</v>
      </c>
      <c r="AY186" s="5" t="s">
        <v>325</v>
      </c>
      <c r="AZ186" s="5" t="s">
        <v>325</v>
      </c>
    </row>
    <row r="187" spans="1:57" s="4" customFormat="1" x14ac:dyDescent="0.2">
      <c r="A187" s="4" t="s">
        <v>11</v>
      </c>
      <c r="B187" s="4" t="s">
        <v>12</v>
      </c>
      <c r="C187" s="4" t="s">
        <v>13</v>
      </c>
      <c r="D187" s="4" t="s">
        <v>14</v>
      </c>
      <c r="E187" s="4" t="s">
        <v>15</v>
      </c>
      <c r="F187" s="63" t="s">
        <v>515</v>
      </c>
      <c r="G187" s="68"/>
      <c r="H187" s="4" t="s">
        <v>21</v>
      </c>
      <c r="I187" s="4" t="s">
        <v>22</v>
      </c>
      <c r="J187" s="4" t="s">
        <v>23</v>
      </c>
      <c r="K187" s="4" t="s">
        <v>24</v>
      </c>
      <c r="L187" s="4" t="s">
        <v>25</v>
      </c>
      <c r="M187" s="4" t="s">
        <v>26</v>
      </c>
      <c r="N187" s="4" t="s">
        <v>27</v>
      </c>
      <c r="O187" s="4" t="s">
        <v>28</v>
      </c>
      <c r="P187" s="4" t="s">
        <v>29</v>
      </c>
      <c r="Q187" s="4" t="s">
        <v>30</v>
      </c>
      <c r="R187" s="4" t="s">
        <v>31</v>
      </c>
      <c r="S187" s="4" t="s">
        <v>20</v>
      </c>
      <c r="T187" s="68"/>
      <c r="Z187" s="68"/>
      <c r="AA187" s="4" t="s">
        <v>16</v>
      </c>
      <c r="AB187" s="4" t="s">
        <v>17</v>
      </c>
      <c r="AC187" s="4" t="s">
        <v>17</v>
      </c>
      <c r="AD187" s="4" t="s">
        <v>18</v>
      </c>
      <c r="AE187" s="4" t="s">
        <v>19</v>
      </c>
      <c r="AF187" s="4" t="s">
        <v>19</v>
      </c>
      <c r="AG187" s="4" t="s">
        <v>19</v>
      </c>
      <c r="AH187" s="4" t="s">
        <v>19</v>
      </c>
      <c r="AI187" s="4" t="s">
        <v>19</v>
      </c>
      <c r="AJ187" s="4" t="s">
        <v>19</v>
      </c>
      <c r="AK187" s="4" t="s">
        <v>19</v>
      </c>
      <c r="AL187" s="4" t="s">
        <v>19</v>
      </c>
      <c r="AM187" s="4" t="s">
        <v>19</v>
      </c>
      <c r="AN187" s="4" t="s">
        <v>19</v>
      </c>
      <c r="AO187" s="4" t="s">
        <v>19</v>
      </c>
      <c r="AP187" s="4" t="s">
        <v>19</v>
      </c>
      <c r="AQ187" s="4" t="s">
        <v>19</v>
      </c>
      <c r="AR187" s="4" t="s">
        <v>19</v>
      </c>
      <c r="AS187" s="4" t="s">
        <v>19</v>
      </c>
      <c r="AT187" s="4" t="s">
        <v>19</v>
      </c>
      <c r="AU187" s="4" t="s">
        <v>19</v>
      </c>
      <c r="AV187" s="4" t="s">
        <v>19</v>
      </c>
      <c r="AW187" s="4" t="s">
        <v>19</v>
      </c>
      <c r="AX187" s="4" t="s">
        <v>19</v>
      </c>
      <c r="AY187" s="4" t="s">
        <v>19</v>
      </c>
      <c r="AZ187" s="4" t="s">
        <v>20</v>
      </c>
    </row>
    <row r="188" spans="1:57" s="4" customFormat="1" ht="13.5" x14ac:dyDescent="0.2">
      <c r="A188" s="4" t="s">
        <v>11</v>
      </c>
      <c r="B188" s="4" t="s">
        <v>12</v>
      </c>
      <c r="C188" s="4" t="s">
        <v>33</v>
      </c>
      <c r="D188" s="4" t="s">
        <v>14</v>
      </c>
      <c r="E188" s="4" t="s">
        <v>15</v>
      </c>
      <c r="F188" s="63" t="s">
        <v>516</v>
      </c>
      <c r="G188" s="68"/>
      <c r="H188" s="4" t="s">
        <v>514</v>
      </c>
      <c r="I188" s="4" t="s">
        <v>514</v>
      </c>
      <c r="J188" s="4" t="s">
        <v>514</v>
      </c>
      <c r="K188" s="4" t="s">
        <v>514</v>
      </c>
      <c r="L188" s="4" t="s">
        <v>514</v>
      </c>
      <c r="M188" s="4" t="s">
        <v>514</v>
      </c>
      <c r="N188" s="4" t="s">
        <v>514</v>
      </c>
      <c r="O188" s="4" t="s">
        <v>514</v>
      </c>
      <c r="P188" s="4" t="s">
        <v>514</v>
      </c>
      <c r="Q188" s="4" t="s">
        <v>514</v>
      </c>
      <c r="R188" s="4" t="s">
        <v>514</v>
      </c>
      <c r="S188" s="4" t="s">
        <v>514</v>
      </c>
      <c r="T188" s="68"/>
      <c r="Z188" s="68"/>
      <c r="AA188" s="4" t="s">
        <v>34</v>
      </c>
      <c r="AB188" s="4" t="s">
        <v>35</v>
      </c>
      <c r="AC188" s="4" t="s">
        <v>35</v>
      </c>
      <c r="AD188" s="4" t="s">
        <v>36</v>
      </c>
      <c r="AE188" s="4" t="s">
        <v>37</v>
      </c>
      <c r="AF188" s="4" t="s">
        <v>37</v>
      </c>
      <c r="AG188" s="4" t="s">
        <v>37</v>
      </c>
      <c r="AH188" s="4" t="s">
        <v>37</v>
      </c>
      <c r="AI188" s="4" t="s">
        <v>37</v>
      </c>
      <c r="AJ188" s="4" t="s">
        <v>37</v>
      </c>
      <c r="AK188" s="4" t="s">
        <v>37</v>
      </c>
      <c r="AL188" s="4" t="s">
        <v>37</v>
      </c>
      <c r="AM188" s="4" t="s">
        <v>37</v>
      </c>
      <c r="AN188" s="4" t="s">
        <v>37</v>
      </c>
      <c r="AO188" s="4" t="s">
        <v>37</v>
      </c>
      <c r="AP188" s="4" t="s">
        <v>37</v>
      </c>
      <c r="AQ188" s="4" t="s">
        <v>37</v>
      </c>
      <c r="AR188" s="4" t="s">
        <v>37</v>
      </c>
      <c r="AS188" s="4" t="s">
        <v>37</v>
      </c>
      <c r="AT188" s="4" t="s">
        <v>37</v>
      </c>
      <c r="AU188" s="4" t="s">
        <v>37</v>
      </c>
      <c r="AV188" s="4" t="s">
        <v>37</v>
      </c>
      <c r="AW188" s="4" t="s">
        <v>37</v>
      </c>
      <c r="AX188" s="4" t="s">
        <v>37</v>
      </c>
      <c r="AY188" s="4" t="s">
        <v>37</v>
      </c>
      <c r="AZ188" s="4" t="s">
        <v>38</v>
      </c>
    </row>
    <row r="189" spans="1:57" s="4" customFormat="1" x14ac:dyDescent="0.2">
      <c r="A189" s="4" t="s">
        <v>11</v>
      </c>
      <c r="B189" s="4" t="s">
        <v>12</v>
      </c>
      <c r="C189" s="4" t="s">
        <v>45</v>
      </c>
      <c r="D189" s="4" t="s">
        <v>14</v>
      </c>
      <c r="E189" s="4" t="s">
        <v>15</v>
      </c>
      <c r="G189" s="69"/>
      <c r="T189" s="69"/>
      <c r="Z189" s="69"/>
      <c r="AA189" s="4" t="s">
        <v>46</v>
      </c>
      <c r="AB189" s="4" t="s">
        <v>11</v>
      </c>
      <c r="AC189" s="4" t="s">
        <v>47</v>
      </c>
      <c r="AD189" s="4" t="s">
        <v>48</v>
      </c>
      <c r="AE189" s="4" t="s">
        <v>42</v>
      </c>
      <c r="AF189" s="4" t="s">
        <v>329</v>
      </c>
      <c r="AG189" s="4" t="s">
        <v>44</v>
      </c>
      <c r="AH189" s="4" t="s">
        <v>171</v>
      </c>
      <c r="AI189" s="4" t="s">
        <v>330</v>
      </c>
      <c r="AJ189" s="4" t="s">
        <v>50</v>
      </c>
      <c r="AK189" s="4" t="s">
        <v>51</v>
      </c>
      <c r="AL189" s="4" t="s">
        <v>331</v>
      </c>
      <c r="AM189" s="4" t="s">
        <v>332</v>
      </c>
      <c r="AN189" s="4" t="s">
        <v>328</v>
      </c>
      <c r="AO189" s="4" t="s">
        <v>54</v>
      </c>
      <c r="AP189" s="4" t="s">
        <v>43</v>
      </c>
      <c r="AQ189" s="4" t="s">
        <v>172</v>
      </c>
      <c r="AR189" s="4" t="s">
        <v>333</v>
      </c>
      <c r="AS189" s="4" t="s">
        <v>55</v>
      </c>
      <c r="AT189" s="4" t="s">
        <v>56</v>
      </c>
      <c r="AU189" s="4" t="s">
        <v>334</v>
      </c>
      <c r="AV189" s="4" t="s">
        <v>335</v>
      </c>
      <c r="AW189" s="4" t="s">
        <v>64</v>
      </c>
      <c r="AX189" s="4" t="s">
        <v>65</v>
      </c>
      <c r="AY189" s="4" t="s">
        <v>66</v>
      </c>
      <c r="AZ189" s="4" t="s">
        <v>67</v>
      </c>
    </row>
    <row r="190" spans="1:57" x14ac:dyDescent="0.2">
      <c r="A190" s="1" t="s">
        <v>336</v>
      </c>
      <c r="B190" s="1" t="s">
        <v>90</v>
      </c>
      <c r="C190" s="34">
        <v>42254</v>
      </c>
      <c r="D190" s="1">
        <v>-28.769130000000001</v>
      </c>
      <c r="E190" s="1">
        <v>121.89354</v>
      </c>
      <c r="F190" s="65" t="s">
        <v>337</v>
      </c>
      <c r="G190" s="70"/>
      <c r="H190" s="2">
        <v>4.3516075107394254</v>
      </c>
      <c r="I190" s="2">
        <v>9.1918721655044227</v>
      </c>
      <c r="J190" s="2">
        <v>13.466910572542988</v>
      </c>
      <c r="K190" s="2">
        <v>0.67470829599740734</v>
      </c>
      <c r="L190" s="2">
        <v>0.21493831352783541</v>
      </c>
      <c r="M190" s="2">
        <v>0.243792264541149</v>
      </c>
      <c r="S190" s="2">
        <v>28.143829122853226</v>
      </c>
      <c r="T190" s="70"/>
      <c r="U190" s="1">
        <v>0.27608531713485701</v>
      </c>
      <c r="V190" s="1">
        <v>0.260866493885479</v>
      </c>
      <c r="W190" s="1">
        <v>0.45928866416215902</v>
      </c>
      <c r="X190" s="1">
        <v>455.4190476</v>
      </c>
      <c r="Y190" s="1">
        <v>94</v>
      </c>
      <c r="Z190" s="70"/>
      <c r="AA190" s="1" t="s">
        <v>86</v>
      </c>
      <c r="AB190" s="1" t="s">
        <v>87</v>
      </c>
      <c r="AC190" s="1" t="s">
        <v>262</v>
      </c>
      <c r="AD190" s="1">
        <v>16</v>
      </c>
      <c r="AE190" s="18">
        <v>34.4680793447517</v>
      </c>
      <c r="AF190" s="11">
        <v>1.29570718659647</v>
      </c>
      <c r="AH190" s="2">
        <v>9.2524011626508251E-2</v>
      </c>
      <c r="AN190" s="10">
        <v>367.48099999999999</v>
      </c>
      <c r="AQ190" s="10">
        <v>24.838142857142898</v>
      </c>
      <c r="AX190" s="24">
        <f>7*AE190</f>
        <v>241.27655541326192</v>
      </c>
      <c r="AY190" s="1">
        <v>100</v>
      </c>
      <c r="BA190" s="1">
        <v>134.3838446</v>
      </c>
      <c r="BC190" s="1">
        <v>108.2866927872001</v>
      </c>
    </row>
    <row r="191" spans="1:57" x14ac:dyDescent="0.2">
      <c r="A191" s="1" t="s">
        <v>338</v>
      </c>
      <c r="B191" s="1" t="s">
        <v>90</v>
      </c>
      <c r="C191" s="34">
        <v>42322</v>
      </c>
      <c r="D191" s="1">
        <v>-33.645000000000003</v>
      </c>
      <c r="E191" s="1">
        <v>120.39610999999999</v>
      </c>
      <c r="F191" s="65" t="s">
        <v>337</v>
      </c>
      <c r="G191" s="70"/>
      <c r="I191" s="2">
        <v>4.0449972107286394</v>
      </c>
      <c r="J191" s="2">
        <v>5.9792036200100096</v>
      </c>
      <c r="K191" s="2">
        <v>1.0212104739573642</v>
      </c>
      <c r="L191" s="2">
        <v>2.6400657931302418</v>
      </c>
      <c r="M191" s="2">
        <v>0.85903707266390195</v>
      </c>
      <c r="S191" s="2">
        <v>14.544514170490155</v>
      </c>
      <c r="T191" s="70"/>
      <c r="U191" s="1">
        <v>0.57987529039382901</v>
      </c>
      <c r="V191" s="1">
        <v>0.54770064313476496</v>
      </c>
      <c r="W191" s="1">
        <v>0.88531600683927503</v>
      </c>
      <c r="X191" s="1">
        <v>157.68690100000001</v>
      </c>
      <c r="Y191" s="1">
        <v>138</v>
      </c>
      <c r="Z191" s="70"/>
      <c r="AA191" s="1" t="s">
        <v>86</v>
      </c>
      <c r="AB191" s="1" t="s">
        <v>87</v>
      </c>
      <c r="AC191" s="1" t="s">
        <v>262</v>
      </c>
      <c r="AD191" s="1">
        <v>5</v>
      </c>
      <c r="AE191" s="18">
        <v>14.045999999999999</v>
      </c>
      <c r="AF191" s="11">
        <v>1.3673401680193649</v>
      </c>
      <c r="AN191" s="10">
        <v>139.76599999999999</v>
      </c>
      <c r="AY191" s="1">
        <v>100</v>
      </c>
      <c r="BA191" s="1">
        <v>165.63399999999999</v>
      </c>
      <c r="BC191" s="1">
        <v>135.17956640959727</v>
      </c>
    </row>
    <row r="192" spans="1:57" x14ac:dyDescent="0.2">
      <c r="A192" s="1" t="s">
        <v>339</v>
      </c>
      <c r="B192" s="1" t="s">
        <v>90</v>
      </c>
      <c r="C192" s="8">
        <v>42325</v>
      </c>
      <c r="D192" s="9">
        <v>-17.350532999999999</v>
      </c>
      <c r="E192" s="9">
        <v>128.02433300000001</v>
      </c>
      <c r="F192" s="65" t="s">
        <v>340</v>
      </c>
      <c r="G192" s="70"/>
      <c r="H192" s="2">
        <v>7.4497004430940303E-2</v>
      </c>
      <c r="I192" s="2">
        <v>0.1828649909255404</v>
      </c>
      <c r="J192" s="2">
        <v>0.31289098794196413</v>
      </c>
      <c r="K192" s="2">
        <v>0.13993663002594503</v>
      </c>
      <c r="L192" s="2">
        <v>3.6748291342813669E-2</v>
      </c>
      <c r="S192" s="2">
        <v>0.74693790466720356</v>
      </c>
      <c r="T192" s="70"/>
      <c r="U192" s="1">
        <v>1.2356383800506601</v>
      </c>
      <c r="V192" s="1">
        <v>0.98281346024221705</v>
      </c>
      <c r="W192" s="1">
        <v>1.9015516787767399</v>
      </c>
      <c r="X192" s="1">
        <v>397.79299359999999</v>
      </c>
      <c r="Y192" s="1">
        <v>275</v>
      </c>
      <c r="Z192" s="70"/>
      <c r="AA192" s="1" t="s">
        <v>86</v>
      </c>
      <c r="AB192" s="1" t="s">
        <v>101</v>
      </c>
      <c r="AC192" s="1" t="s">
        <v>88</v>
      </c>
      <c r="AD192" s="1">
        <v>12</v>
      </c>
      <c r="AE192" s="18">
        <v>8.1541230000000002</v>
      </c>
      <c r="AF192" s="11">
        <v>1.2822235328066549</v>
      </c>
      <c r="AG192" s="11">
        <v>0.64188590115699751</v>
      </c>
      <c r="AH192" s="11">
        <v>6.4085486569187153E-2</v>
      </c>
      <c r="AL192" s="10">
        <v>1164.3720000000001</v>
      </c>
      <c r="AN192" s="10">
        <v>89.978250000000003</v>
      </c>
      <c r="AP192" s="10">
        <v>49.961399999999998</v>
      </c>
      <c r="AQ192" s="10">
        <v>4.7270000000000003</v>
      </c>
      <c r="AW192" s="18">
        <f>AE192-(AL192/1000)</f>
        <v>6.989751</v>
      </c>
      <c r="AX192" s="10">
        <v>7.7346307999999997</v>
      </c>
      <c r="AY192" s="10">
        <v>12.62937428157371</v>
      </c>
      <c r="AZ192" s="10">
        <f>AE192+AX192</f>
        <v>15.8887538</v>
      </c>
      <c r="BA192" s="1">
        <v>198.97123154670516</v>
      </c>
      <c r="BC192" s="1">
        <v>175.00317787512873</v>
      </c>
    </row>
    <row r="193" spans="1:55" x14ac:dyDescent="0.2">
      <c r="A193" s="1" t="s">
        <v>341</v>
      </c>
      <c r="B193" s="1" t="s">
        <v>90</v>
      </c>
      <c r="C193" s="8">
        <v>42758</v>
      </c>
      <c r="D193" s="9">
        <v>-32.431066000000001</v>
      </c>
      <c r="E193" s="9">
        <v>119.688</v>
      </c>
      <c r="F193" s="65" t="s">
        <v>340</v>
      </c>
      <c r="G193" s="70"/>
      <c r="H193" s="2">
        <v>0.27662153482139024</v>
      </c>
      <c r="I193" s="2">
        <v>0.181164031603574</v>
      </c>
      <c r="J193" s="2">
        <v>1.014183524920893</v>
      </c>
      <c r="K193" s="2">
        <v>0.19654041462899718</v>
      </c>
      <c r="L193" s="2">
        <v>2.822645445895185E-2</v>
      </c>
      <c r="S193" s="2">
        <v>1.6967359604338066</v>
      </c>
      <c r="T193" s="70"/>
      <c r="U193" s="1">
        <v>0.352752596139908</v>
      </c>
      <c r="V193" s="1">
        <v>0.31615336604702898</v>
      </c>
      <c r="W193" s="1">
        <v>0.60351271182298705</v>
      </c>
      <c r="X193" s="1">
        <v>402.06089739999999</v>
      </c>
      <c r="Y193" s="1">
        <v>93</v>
      </c>
      <c r="Z193" s="70"/>
      <c r="AE193" s="18"/>
      <c r="AF193" s="11"/>
      <c r="AG193" s="11"/>
      <c r="AH193" s="11"/>
      <c r="AL193" s="10"/>
      <c r="AN193" s="10"/>
      <c r="AP193" s="10"/>
      <c r="AQ193" s="10"/>
      <c r="AW193" s="18"/>
      <c r="AX193" s="10"/>
      <c r="AY193" s="11"/>
      <c r="AZ193" s="10"/>
      <c r="BA193" s="1">
        <v>550.12084787503215</v>
      </c>
      <c r="BC193" s="1">
        <v>492.0812566310442</v>
      </c>
    </row>
    <row r="194" spans="1:55" x14ac:dyDescent="0.2">
      <c r="A194" s="1" t="s">
        <v>342</v>
      </c>
      <c r="B194" s="1" t="s">
        <v>343</v>
      </c>
      <c r="C194" s="8">
        <v>42913</v>
      </c>
      <c r="D194" s="9">
        <v>-21.278010999999999</v>
      </c>
      <c r="E194" s="9">
        <v>27.519110999999999</v>
      </c>
      <c r="F194" s="65" t="s">
        <v>340</v>
      </c>
      <c r="G194" s="70"/>
      <c r="H194" s="2">
        <v>8.8833049813291001E-2</v>
      </c>
      <c r="J194" s="2">
        <v>0.1798010041857892</v>
      </c>
      <c r="K194" s="2">
        <v>5.4481861153604795E-2</v>
      </c>
      <c r="L194" s="2">
        <v>1.0477096629047701E-2</v>
      </c>
      <c r="S194" s="2">
        <v>0.33359301178173273</v>
      </c>
      <c r="T194" s="70"/>
      <c r="U194" s="1">
        <v>0.25566625595092801</v>
      </c>
      <c r="V194" s="1">
        <v>0.248095829623004</v>
      </c>
      <c r="W194" s="1">
        <v>0.333554267883301</v>
      </c>
      <c r="X194" s="1">
        <v>979.79552720000004</v>
      </c>
      <c r="Y194" s="1">
        <v>76</v>
      </c>
      <c r="Z194" s="70"/>
      <c r="AA194" s="1" t="s">
        <v>271</v>
      </c>
      <c r="BA194" s="1">
        <v>28.561511142849817</v>
      </c>
      <c r="BC194" s="1">
        <v>12.859866037844757</v>
      </c>
    </row>
    <row r="195" spans="1:55" x14ac:dyDescent="0.2">
      <c r="A195" s="1" t="s">
        <v>344</v>
      </c>
      <c r="B195" s="1" t="s">
        <v>120</v>
      </c>
      <c r="C195" s="34">
        <v>42563</v>
      </c>
      <c r="D195" s="1">
        <v>-20.8931</v>
      </c>
      <c r="E195" s="1">
        <v>-46.780700000000003</v>
      </c>
      <c r="F195" s="65" t="s">
        <v>340</v>
      </c>
      <c r="G195" s="70"/>
      <c r="H195" s="2">
        <v>0.216380838794488</v>
      </c>
      <c r="I195" s="2">
        <v>0.126849892884521</v>
      </c>
      <c r="J195" s="2">
        <v>0.70177319042268405</v>
      </c>
      <c r="K195" s="2">
        <v>0.28005596694961832</v>
      </c>
      <c r="L195" s="2">
        <v>0.19913045606208543</v>
      </c>
      <c r="S195" s="2">
        <v>1.5241903451133967</v>
      </c>
      <c r="T195" s="70"/>
      <c r="U195" s="1">
        <v>3.0239388942718501</v>
      </c>
      <c r="V195" s="1">
        <v>1.7722457568796901</v>
      </c>
      <c r="W195" s="1">
        <v>4.4625962972641</v>
      </c>
      <c r="X195" s="1">
        <v>987.01587300000006</v>
      </c>
      <c r="Y195" s="1">
        <v>389</v>
      </c>
      <c r="Z195" s="70"/>
      <c r="AA195" s="1" t="s">
        <v>271</v>
      </c>
      <c r="AB195" s="1" t="s">
        <v>87</v>
      </c>
      <c r="AC195" s="1" t="s">
        <v>88</v>
      </c>
    </row>
    <row r="196" spans="1:55" x14ac:dyDescent="0.2">
      <c r="A196" s="1" t="s">
        <v>345</v>
      </c>
      <c r="B196" s="1" t="s">
        <v>120</v>
      </c>
      <c r="C196" s="8">
        <v>41801</v>
      </c>
      <c r="D196" s="9">
        <v>-6.5739900000000002</v>
      </c>
      <c r="E196" s="9">
        <v>-51.091380000000001</v>
      </c>
      <c r="F196" s="65" t="s">
        <v>337</v>
      </c>
      <c r="G196" s="70"/>
      <c r="H196" s="2">
        <v>0.56891064415381565</v>
      </c>
      <c r="I196" s="2">
        <v>0.21588512613290689</v>
      </c>
      <c r="J196" s="2">
        <v>2.0491487101570032</v>
      </c>
      <c r="K196" s="2">
        <v>1.4321234068616209</v>
      </c>
      <c r="L196" s="2">
        <v>3.5444003450952395E-2</v>
      </c>
      <c r="S196" s="2">
        <v>4.3015118907562986</v>
      </c>
      <c r="T196" s="70"/>
      <c r="U196" s="1">
        <v>2.2229351103305799E-2</v>
      </c>
      <c r="V196" s="1">
        <v>9.7985889237200405E-2</v>
      </c>
      <c r="W196" s="1">
        <v>0.47877547144889798</v>
      </c>
      <c r="X196" s="1">
        <v>297.33333329999999</v>
      </c>
      <c r="Y196" s="1">
        <v>41</v>
      </c>
      <c r="Z196" s="70"/>
      <c r="BA196" s="1">
        <v>252.00029999999998</v>
      </c>
      <c r="BC196" s="1">
        <v>281.91054687500002</v>
      </c>
    </row>
    <row r="197" spans="1:55" x14ac:dyDescent="0.2">
      <c r="A197" s="1" t="s">
        <v>346</v>
      </c>
      <c r="B197" s="1" t="s">
        <v>120</v>
      </c>
      <c r="C197" s="8">
        <v>41884</v>
      </c>
      <c r="D197" s="9">
        <v>-14.195</v>
      </c>
      <c r="E197" s="9">
        <v>-39.703060000000001</v>
      </c>
      <c r="F197" s="65" t="s">
        <v>340</v>
      </c>
      <c r="G197" s="70"/>
      <c r="H197" s="2">
        <v>0.89320757821815999</v>
      </c>
      <c r="I197" s="2">
        <v>1.167723215126073</v>
      </c>
      <c r="J197" s="2">
        <v>3.6803643723162542</v>
      </c>
      <c r="K197" s="2">
        <v>0.37559442771342466</v>
      </c>
      <c r="L197" s="2">
        <v>4.2493510837091061E-2</v>
      </c>
      <c r="S197" s="2">
        <v>6.1593831042110034</v>
      </c>
      <c r="T197" s="70"/>
      <c r="U197" s="1">
        <v>0.74720925092697099</v>
      </c>
      <c r="V197" s="1">
        <v>0.97249269986955</v>
      </c>
      <c r="W197" s="1">
        <v>2.0720490366220501</v>
      </c>
      <c r="X197" s="1">
        <v>161.32692309999999</v>
      </c>
      <c r="Y197" s="1">
        <v>228</v>
      </c>
      <c r="Z197" s="70"/>
      <c r="AA197" s="1" t="s">
        <v>86</v>
      </c>
      <c r="AB197" s="1" t="s">
        <v>87</v>
      </c>
      <c r="AC197" s="1" t="s">
        <v>88</v>
      </c>
      <c r="AE197" s="18">
        <v>28.627241999999999</v>
      </c>
      <c r="AF197" s="11">
        <v>0.47696800835471931</v>
      </c>
      <c r="AG197" s="11">
        <v>0.11488280763177557</v>
      </c>
      <c r="AH197" s="11">
        <v>1.5561276563072334E-2</v>
      </c>
      <c r="AN197" s="10">
        <v>74.036000000000001</v>
      </c>
      <c r="AP197" s="10">
        <v>22.178999999999998</v>
      </c>
      <c r="AQ197" s="10">
        <v>1.1419999999999999</v>
      </c>
      <c r="AW197" s="26">
        <f>AE197-(AN197*10/1000)</f>
        <v>27.886882</v>
      </c>
      <c r="AX197" s="10">
        <v>146.35586900000001</v>
      </c>
      <c r="AY197" s="1">
        <v>100</v>
      </c>
      <c r="AZ197" s="10">
        <f>AE197+AX197</f>
        <v>174.98311100000001</v>
      </c>
      <c r="BA197" s="1">
        <v>64.436713828648351</v>
      </c>
      <c r="BC197" s="1">
        <v>34.892456096165134</v>
      </c>
    </row>
    <row r="198" spans="1:55" x14ac:dyDescent="0.2">
      <c r="A198" s="1" t="s">
        <v>347</v>
      </c>
      <c r="B198" s="1" t="s">
        <v>124</v>
      </c>
      <c r="C198" s="8">
        <v>42889</v>
      </c>
      <c r="D198" s="9">
        <v>46.483069</v>
      </c>
      <c r="E198" s="9">
        <v>-81.027411000000001</v>
      </c>
      <c r="F198" s="65" t="s">
        <v>340</v>
      </c>
      <c r="G198" s="70"/>
      <c r="H198" s="2">
        <v>0.38885589206682153</v>
      </c>
      <c r="I198" s="2">
        <v>12.487542638536672</v>
      </c>
      <c r="J198" s="2">
        <v>2.9738523453614061</v>
      </c>
      <c r="K198" s="2">
        <v>3.1212770830151233</v>
      </c>
      <c r="L198" s="2">
        <v>0.1315902049633989</v>
      </c>
      <c r="Q198" s="2">
        <v>2.1686548277815931</v>
      </c>
      <c r="S198" s="2">
        <v>21.271772991725012</v>
      </c>
      <c r="T198" s="70"/>
      <c r="U198" s="1">
        <v>0.26669019460678101</v>
      </c>
      <c r="V198" s="1">
        <v>0.32877300401168302</v>
      </c>
      <c r="W198" s="1">
        <v>0.77500420436263096</v>
      </c>
      <c r="X198" s="1">
        <v>289.03785490000001</v>
      </c>
      <c r="Y198" s="1">
        <v>105</v>
      </c>
      <c r="Z198" s="70"/>
      <c r="AA198" s="1" t="s">
        <v>86</v>
      </c>
      <c r="AB198" s="1" t="s">
        <v>91</v>
      </c>
      <c r="AC198" s="1" t="s">
        <v>220</v>
      </c>
      <c r="AE198" s="10">
        <v>1024.8924674474599</v>
      </c>
      <c r="AF198" s="11">
        <v>1.331484204589322</v>
      </c>
      <c r="AG198" s="11">
        <v>1.2911327630604614</v>
      </c>
      <c r="AH198" s="2">
        <v>1.3550648160466496E-2</v>
      </c>
      <c r="AM198" s="10"/>
      <c r="AN198" s="10">
        <v>11703.6171944861</v>
      </c>
      <c r="AP198" s="10">
        <v>11880.0204975859</v>
      </c>
      <c r="AQ198" s="10">
        <v>111.454135803775</v>
      </c>
      <c r="AW198" s="24">
        <f>AE198-(AN198*8/1000)</f>
        <v>931.26352989157112</v>
      </c>
      <c r="AY198" s="30">
        <v>2</v>
      </c>
      <c r="BA198" s="1">
        <v>405.60234442795905</v>
      </c>
      <c r="BC198" s="1">
        <v>296.11446311857543</v>
      </c>
    </row>
    <row r="199" spans="1:55" x14ac:dyDescent="0.2">
      <c r="A199" s="1" t="s">
        <v>348</v>
      </c>
      <c r="B199" s="1" t="s">
        <v>124</v>
      </c>
      <c r="C199" s="8">
        <v>41542</v>
      </c>
      <c r="D199" s="9">
        <v>56.330793999999997</v>
      </c>
      <c r="E199" s="9">
        <v>-62.092796999999997</v>
      </c>
      <c r="F199" s="65" t="s">
        <v>340</v>
      </c>
      <c r="G199" s="70"/>
      <c r="H199" s="2">
        <v>0.448630031934313</v>
      </c>
      <c r="I199" s="2">
        <v>1.02402507635062</v>
      </c>
      <c r="J199" s="2">
        <v>1.2038624712020045</v>
      </c>
      <c r="K199" s="2">
        <v>0.54193426133082057</v>
      </c>
      <c r="L199" s="2">
        <v>0.13505097495446033</v>
      </c>
      <c r="S199" s="2">
        <v>3.353502815772218</v>
      </c>
      <c r="T199" s="70"/>
      <c r="U199" s="1">
        <v>1.1615972518920901</v>
      </c>
      <c r="V199" s="1">
        <v>1.7348371299646701</v>
      </c>
      <c r="W199" s="1">
        <v>4.03328841924667</v>
      </c>
      <c r="X199" s="1">
        <v>140.90878380000001</v>
      </c>
      <c r="Y199" s="1">
        <v>425</v>
      </c>
      <c r="Z199" s="70"/>
      <c r="AA199" s="1" t="s">
        <v>86</v>
      </c>
      <c r="AB199" s="1" t="s">
        <v>87</v>
      </c>
      <c r="AC199" s="1" t="s">
        <v>88</v>
      </c>
      <c r="AE199" s="18">
        <v>15.925000000000001</v>
      </c>
      <c r="AF199" s="11">
        <v>3.3452948194662482</v>
      </c>
      <c r="AG199" s="11">
        <v>2.2159076923076921</v>
      </c>
      <c r="AH199" s="11">
        <v>0.12573399252235526</v>
      </c>
      <c r="AN199" s="10">
        <v>454.34091999999998</v>
      </c>
      <c r="AP199" s="10">
        <v>315.46107000000001</v>
      </c>
      <c r="AQ199" s="10">
        <v>9.3689999999999998</v>
      </c>
      <c r="AW199" s="26">
        <f>AE199-(AN199*10/1000)</f>
        <v>11.381590800000001</v>
      </c>
      <c r="AY199" s="1">
        <v>100</v>
      </c>
      <c r="BA199" s="1">
        <v>424.03777709889198</v>
      </c>
      <c r="BC199" s="1">
        <v>355.32786239690722</v>
      </c>
    </row>
    <row r="200" spans="1:55" x14ac:dyDescent="0.2">
      <c r="A200" s="1" t="s">
        <v>349</v>
      </c>
      <c r="B200" s="1" t="s">
        <v>124</v>
      </c>
      <c r="C200" s="8">
        <v>42735</v>
      </c>
      <c r="D200" s="9">
        <v>61.687632999999998</v>
      </c>
      <c r="E200" s="9">
        <v>-73.677235999999994</v>
      </c>
      <c r="F200" s="65" t="s">
        <v>340</v>
      </c>
      <c r="G200" s="70"/>
      <c r="H200" s="2">
        <v>0.51833986861716208</v>
      </c>
      <c r="I200" s="2">
        <v>0.23634878104287299</v>
      </c>
      <c r="J200" s="2">
        <v>1.5948402185390949</v>
      </c>
      <c r="K200" s="2">
        <v>0.29104475253048501</v>
      </c>
      <c r="L200" s="2">
        <v>0.15651458409006119</v>
      </c>
      <c r="S200" s="2">
        <v>2.7970882048196755</v>
      </c>
      <c r="T200" s="70"/>
      <c r="U200" s="1">
        <v>1.07414758205414</v>
      </c>
      <c r="V200" s="1">
        <v>0.67175866038182197</v>
      </c>
      <c r="W200" s="1">
        <v>1.7741463333368299</v>
      </c>
      <c r="X200" s="1">
        <v>490.52090029999999</v>
      </c>
      <c r="Y200" s="1">
        <v>238</v>
      </c>
      <c r="Z200" s="70"/>
      <c r="AA200" s="1" t="s">
        <v>86</v>
      </c>
      <c r="AB200" s="1" t="s">
        <v>91</v>
      </c>
      <c r="AC200" s="1" t="s">
        <v>88</v>
      </c>
      <c r="AE200" s="18">
        <v>20.084769486515938</v>
      </c>
      <c r="AF200" s="11">
        <v>2.7986379010010616</v>
      </c>
      <c r="AG200" s="11">
        <v>0.77204491762130312</v>
      </c>
      <c r="AH200" s="11">
        <v>8.8905775154592179E-2</v>
      </c>
      <c r="AN200" s="10">
        <v>485.88711840000002</v>
      </c>
      <c r="AP200" s="10">
        <v>125.3018624</v>
      </c>
      <c r="AQ200" s="10">
        <v>8.9282599999999999</v>
      </c>
      <c r="AW200" s="26">
        <f>AE200-(AN200*10/1000)</f>
        <v>15.225898302515937</v>
      </c>
      <c r="AY200" s="1">
        <v>0</v>
      </c>
      <c r="BA200" s="1">
        <v>483.54427905366595</v>
      </c>
      <c r="BC200" s="1">
        <v>412.4198196880011</v>
      </c>
    </row>
    <row r="201" spans="1:55" x14ac:dyDescent="0.2">
      <c r="A201" s="1" t="s">
        <v>350</v>
      </c>
      <c r="B201" s="1" t="s">
        <v>124</v>
      </c>
      <c r="C201" s="8">
        <v>41758</v>
      </c>
      <c r="D201" s="9">
        <v>55.713999999999999</v>
      </c>
      <c r="E201" s="9">
        <v>-97.856999999999999</v>
      </c>
      <c r="F201" s="65" t="s">
        <v>340</v>
      </c>
      <c r="G201" s="70"/>
      <c r="H201" s="2">
        <v>0.52162725064790993</v>
      </c>
      <c r="I201" s="2">
        <v>13.551909750807509</v>
      </c>
      <c r="J201" s="2">
        <v>3.1839471601719285</v>
      </c>
      <c r="K201" s="2">
        <v>0.93796394357467816</v>
      </c>
      <c r="L201" s="2">
        <v>0.22025309204301211</v>
      </c>
      <c r="S201" s="2">
        <v>18.415701197245038</v>
      </c>
      <c r="T201" s="70"/>
      <c r="U201" s="1">
        <v>7.5787346810102504E-2</v>
      </c>
      <c r="V201" s="1">
        <v>0.116596476798729</v>
      </c>
      <c r="W201" s="1">
        <v>0.29836203902959801</v>
      </c>
      <c r="X201" s="1">
        <v>208.78095239999999</v>
      </c>
      <c r="Y201" s="1">
        <v>41</v>
      </c>
      <c r="Z201" s="70"/>
      <c r="AA201" s="1" t="s">
        <v>86</v>
      </c>
      <c r="AB201" s="1" t="s">
        <v>101</v>
      </c>
      <c r="AC201" s="1" t="s">
        <v>220</v>
      </c>
      <c r="AD201" s="1">
        <v>54</v>
      </c>
      <c r="AE201" s="18">
        <v>124.42444072411</v>
      </c>
      <c r="AF201" s="11">
        <v>2.1733044100587526</v>
      </c>
      <c r="AG201" s="11">
        <v>0.14088798516161574</v>
      </c>
      <c r="AH201" s="11">
        <v>3.478206359008202E-2</v>
      </c>
      <c r="AJ201" s="11">
        <v>0.213880924606485</v>
      </c>
      <c r="AK201" s="11">
        <v>3.7954954143572874</v>
      </c>
      <c r="AN201" s="10">
        <v>2344.8216386314798</v>
      </c>
      <c r="AP201" s="10">
        <v>141.76138248879101</v>
      </c>
      <c r="AQ201" s="10">
        <v>20.458363058181298</v>
      </c>
      <c r="AS201" s="10">
        <v>15.319270816069301</v>
      </c>
      <c r="AT201" s="10">
        <v>261.230422711166</v>
      </c>
      <c r="AW201" s="24">
        <f>AE201-(AN201*8/1000)</f>
        <v>105.66586761505816</v>
      </c>
      <c r="BA201" s="1">
        <v>222.12160231226736</v>
      </c>
      <c r="BC201" s="1">
        <v>179.0906983786914</v>
      </c>
    </row>
    <row r="202" spans="1:55" x14ac:dyDescent="0.2">
      <c r="A202" s="1" t="s">
        <v>351</v>
      </c>
      <c r="B202" s="1" t="s">
        <v>124</v>
      </c>
      <c r="C202" s="8">
        <v>42500</v>
      </c>
      <c r="D202" s="9">
        <v>46.433059999999998</v>
      </c>
      <c r="E202" s="9">
        <v>-81.316670000000002</v>
      </c>
      <c r="F202" s="65" t="s">
        <v>340</v>
      </c>
      <c r="G202" s="70"/>
      <c r="H202" s="2">
        <v>6.8212418651826603E-2</v>
      </c>
      <c r="J202" s="2">
        <v>0.1040990644808001</v>
      </c>
      <c r="K202" s="2">
        <v>8.894222413671013E-2</v>
      </c>
      <c r="L202" s="2">
        <v>4.6647216777035871E-2</v>
      </c>
      <c r="S202" s="2">
        <v>0.30790092404637265</v>
      </c>
      <c r="T202" s="70"/>
      <c r="U202" s="1">
        <v>0.342283114790916</v>
      </c>
      <c r="V202" s="1">
        <v>0.37523904916700701</v>
      </c>
      <c r="W202" s="1">
        <v>0.80888705700635899</v>
      </c>
      <c r="X202" s="1">
        <v>286.10759489999998</v>
      </c>
      <c r="Y202" s="1">
        <v>112</v>
      </c>
      <c r="Z202" s="70"/>
      <c r="AA202" s="1" t="s">
        <v>86</v>
      </c>
    </row>
    <row r="203" spans="1:55" x14ac:dyDescent="0.2">
      <c r="A203" s="1" t="s">
        <v>352</v>
      </c>
      <c r="B203" s="1" t="s">
        <v>353</v>
      </c>
      <c r="C203" s="8">
        <v>39991</v>
      </c>
      <c r="D203" s="9">
        <v>7.9066700000000001</v>
      </c>
      <c r="E203" s="9">
        <v>-75.550560000000004</v>
      </c>
      <c r="F203" s="65" t="s">
        <v>337</v>
      </c>
      <c r="G203" s="70"/>
      <c r="H203" s="2">
        <v>1.72411107883503</v>
      </c>
      <c r="I203" s="2">
        <v>0.74618049874472903</v>
      </c>
      <c r="J203" s="2">
        <v>3.8953275231392168</v>
      </c>
      <c r="K203" s="2">
        <v>0.94270785032172399</v>
      </c>
      <c r="L203" s="2">
        <v>0.32999051971761278</v>
      </c>
      <c r="Q203" s="2">
        <v>0.60534576323577993</v>
      </c>
      <c r="S203" s="2">
        <v>8.2436632339940932</v>
      </c>
      <c r="T203" s="70"/>
      <c r="U203" s="1">
        <v>0.45553280413150798</v>
      </c>
      <c r="V203" s="1">
        <v>0.25505260526662399</v>
      </c>
      <c r="W203" s="1">
        <v>0.78888023272156704</v>
      </c>
      <c r="X203" s="1">
        <v>109.1803797</v>
      </c>
      <c r="Y203" s="1">
        <v>77</v>
      </c>
      <c r="Z203" s="70"/>
      <c r="BA203" s="1">
        <v>186.08129121258636</v>
      </c>
      <c r="BC203" s="1">
        <v>166.61462010744441</v>
      </c>
    </row>
    <row r="204" spans="1:55" x14ac:dyDescent="0.2">
      <c r="A204" s="13" t="s">
        <v>354</v>
      </c>
      <c r="B204" s="13" t="s">
        <v>290</v>
      </c>
      <c r="C204" s="8">
        <v>42235</v>
      </c>
      <c r="D204" s="9">
        <v>67.698599999999999</v>
      </c>
      <c r="E204" s="9">
        <v>26.965250000000001</v>
      </c>
      <c r="F204" s="65" t="s">
        <v>340</v>
      </c>
      <c r="G204" s="70"/>
      <c r="H204" s="2">
        <v>0.72188230406351295</v>
      </c>
      <c r="I204" s="2">
        <v>3.2178705095412701</v>
      </c>
      <c r="J204" s="2">
        <v>2.4423488390959189</v>
      </c>
      <c r="K204" s="2">
        <v>0.44372400999817196</v>
      </c>
      <c r="L204" s="2">
        <v>0.1610625542889679</v>
      </c>
      <c r="S204" s="2">
        <v>6.9868882169878406</v>
      </c>
      <c r="T204" s="70"/>
      <c r="U204" s="1">
        <v>0.18670079112052901</v>
      </c>
      <c r="V204" s="1">
        <v>0.22255945373090799</v>
      </c>
      <c r="W204" s="1">
        <v>0.74975752644240901</v>
      </c>
      <c r="X204" s="1">
        <v>235.8037975</v>
      </c>
      <c r="Y204" s="1">
        <v>91</v>
      </c>
      <c r="Z204" s="70"/>
      <c r="AA204" s="13" t="s">
        <v>86</v>
      </c>
      <c r="AB204" s="13" t="s">
        <v>91</v>
      </c>
      <c r="AC204" s="13" t="s">
        <v>88</v>
      </c>
      <c r="AD204" s="1">
        <v>4</v>
      </c>
      <c r="AE204" s="16">
        <v>22.827999999999999</v>
      </c>
      <c r="AF204" s="1">
        <v>0.2</v>
      </c>
      <c r="AG204" s="1">
        <v>0.3</v>
      </c>
      <c r="AN204" s="10">
        <v>31.076000000000001</v>
      </c>
      <c r="AP204" s="10">
        <v>57.607999999999997</v>
      </c>
      <c r="AR204" s="10">
        <v>6.1642688000000003</v>
      </c>
      <c r="AS204" s="10">
        <v>1.3304891000000001</v>
      </c>
      <c r="AW204" s="11">
        <v>71.337999999999994</v>
      </c>
      <c r="AX204" s="11">
        <v>59.637</v>
      </c>
      <c r="AY204" s="1">
        <v>100</v>
      </c>
      <c r="AZ204" s="10">
        <f>AE204+AX204</f>
        <v>82.465000000000003</v>
      </c>
      <c r="BA204" s="1">
        <v>48.893200449545674</v>
      </c>
      <c r="BC204" s="1">
        <v>39.053316281016883</v>
      </c>
    </row>
    <row r="205" spans="1:55" x14ac:dyDescent="0.2">
      <c r="A205" s="1" t="s">
        <v>355</v>
      </c>
      <c r="B205" s="13" t="s">
        <v>356</v>
      </c>
      <c r="C205" s="8">
        <v>42687</v>
      </c>
      <c r="D205" s="14">
        <v>-22.293089999999999</v>
      </c>
      <c r="E205" s="14">
        <v>166.96852000000001</v>
      </c>
      <c r="F205" s="65" t="s">
        <v>337</v>
      </c>
      <c r="G205" s="70"/>
      <c r="H205" s="2">
        <v>0.48189951859872032</v>
      </c>
      <c r="I205" s="2">
        <v>0.81306099530462195</v>
      </c>
      <c r="J205" s="2">
        <v>5.8110959314286372</v>
      </c>
      <c r="K205" s="2">
        <v>1.888710119760812</v>
      </c>
      <c r="L205" s="2">
        <v>0.12657553610378861</v>
      </c>
      <c r="S205" s="2">
        <v>9.1213421011965803</v>
      </c>
      <c r="T205" s="70"/>
      <c r="U205" s="1">
        <v>1.7413849830627399</v>
      </c>
      <c r="V205" s="1">
        <v>2.21431608216183</v>
      </c>
      <c r="W205" s="1">
        <v>5.1081660687923396</v>
      </c>
      <c r="X205" s="1">
        <v>233.1391304</v>
      </c>
      <c r="Y205" s="1">
        <v>515</v>
      </c>
      <c r="Z205" s="70"/>
      <c r="AA205" s="13"/>
      <c r="AB205" s="13"/>
      <c r="AC205" s="13"/>
      <c r="AE205" s="16"/>
      <c r="AN205" s="10"/>
      <c r="AP205" s="10"/>
      <c r="AR205" s="10"/>
      <c r="AS205" s="10"/>
      <c r="AW205" s="11"/>
      <c r="AX205" s="11"/>
      <c r="AZ205" s="10"/>
      <c r="BA205" s="1">
        <v>166.81709999999998</v>
      </c>
      <c r="BC205" s="1">
        <v>150.82091446310034</v>
      </c>
    </row>
    <row r="206" spans="1:55" x14ac:dyDescent="0.2">
      <c r="A206" s="1" t="s">
        <v>357</v>
      </c>
      <c r="B206" s="13" t="s">
        <v>356</v>
      </c>
      <c r="C206" s="8">
        <v>42329</v>
      </c>
      <c r="D206" s="14">
        <v>-20.974440000000001</v>
      </c>
      <c r="E206" s="14">
        <v>164.79284999999999</v>
      </c>
      <c r="F206" s="65" t="s">
        <v>337</v>
      </c>
      <c r="G206" s="70"/>
      <c r="H206" s="2">
        <v>2.6875391260769703</v>
      </c>
      <c r="I206" s="2"/>
      <c r="J206" s="2">
        <v>2.1059209949982325</v>
      </c>
      <c r="K206" s="2">
        <v>1.3563747519739695</v>
      </c>
      <c r="L206" s="2">
        <v>6.767583783511999E-2</v>
      </c>
      <c r="S206" s="2">
        <v>6.2175107108842917</v>
      </c>
      <c r="T206" s="70"/>
      <c r="U206" s="1">
        <v>4.2257494926452601</v>
      </c>
      <c r="V206" s="1">
        <v>3.75647225778562</v>
      </c>
      <c r="W206" s="1">
        <v>7.7812016904354104</v>
      </c>
      <c r="X206" s="1">
        <v>340.56151419999998</v>
      </c>
      <c r="Y206" s="1">
        <v>827</v>
      </c>
      <c r="Z206" s="70"/>
      <c r="AA206" s="13"/>
      <c r="AB206" s="13"/>
      <c r="AC206" s="13"/>
      <c r="AE206" s="16"/>
      <c r="AN206" s="10"/>
      <c r="AP206" s="10"/>
      <c r="AR206" s="10"/>
      <c r="AS206" s="10"/>
      <c r="AW206" s="11"/>
      <c r="AX206" s="11"/>
      <c r="AZ206" s="10"/>
      <c r="BA206" s="1">
        <v>275.66230000000002</v>
      </c>
      <c r="BC206" s="1">
        <v>238.0059706901099</v>
      </c>
    </row>
    <row r="207" spans="1:55" x14ac:dyDescent="0.2">
      <c r="A207" s="1" t="s">
        <v>358</v>
      </c>
      <c r="B207" s="13" t="s">
        <v>205</v>
      </c>
      <c r="C207" s="8">
        <v>40681</v>
      </c>
      <c r="D207" s="14">
        <v>-5.6259300000000003</v>
      </c>
      <c r="E207" s="14">
        <v>145.216667</v>
      </c>
      <c r="F207" s="65" t="s">
        <v>337</v>
      </c>
      <c r="G207" s="70"/>
      <c r="H207" s="2">
        <v>6.7817300724413901E-2</v>
      </c>
      <c r="I207" s="2"/>
      <c r="J207" s="2">
        <v>5.1261417878325478E-2</v>
      </c>
      <c r="K207" s="2">
        <v>1.1535886362778902</v>
      </c>
      <c r="L207" s="2">
        <v>6.5805118727609493E-3</v>
      </c>
      <c r="S207" s="2">
        <v>1.2792478667533904</v>
      </c>
      <c r="T207" s="70"/>
      <c r="U207" s="1">
        <v>5.4621915817260698</v>
      </c>
      <c r="V207" s="1">
        <v>6.1867215351978704</v>
      </c>
      <c r="W207" s="1">
        <v>13.218725517392199</v>
      </c>
      <c r="X207" s="1">
        <v>778.60191080000004</v>
      </c>
      <c r="Y207" s="1">
        <v>1851</v>
      </c>
      <c r="Z207" s="70"/>
      <c r="AA207" s="13"/>
      <c r="AB207" s="13"/>
      <c r="AC207" s="13"/>
      <c r="AE207" s="16"/>
      <c r="AN207" s="10"/>
      <c r="AP207" s="10"/>
      <c r="AR207" s="10"/>
      <c r="AS207" s="10"/>
      <c r="AW207" s="11"/>
      <c r="AX207" s="11"/>
      <c r="AZ207" s="10"/>
      <c r="BA207" s="1">
        <v>146.74934000000002</v>
      </c>
      <c r="BC207" s="1">
        <v>134.30358789511493</v>
      </c>
    </row>
    <row r="208" spans="1:55" x14ac:dyDescent="0.2">
      <c r="A208" s="1" t="s">
        <v>359</v>
      </c>
      <c r="B208" s="1" t="s">
        <v>360</v>
      </c>
      <c r="C208" s="8">
        <v>42936</v>
      </c>
      <c r="D208" s="14">
        <v>69.281989999999993</v>
      </c>
      <c r="E208" s="14">
        <v>88.169989999999999</v>
      </c>
      <c r="F208" s="65" t="s">
        <v>340</v>
      </c>
      <c r="G208" s="70"/>
      <c r="H208" s="2">
        <v>7.0899997390035212</v>
      </c>
      <c r="I208" s="2">
        <v>14.735898357366267</v>
      </c>
      <c r="J208" s="2">
        <v>47.322565948844584</v>
      </c>
      <c r="K208" s="2">
        <v>18.533250091035391</v>
      </c>
      <c r="L208" s="2">
        <v>2.9962385948226591</v>
      </c>
      <c r="Q208" s="2">
        <v>0.87663634457211903</v>
      </c>
      <c r="S208" s="2">
        <v>91.554589075644543</v>
      </c>
      <c r="T208" s="70"/>
      <c r="U208" s="1">
        <v>1.68875068426132</v>
      </c>
      <c r="V208" s="1">
        <v>1.72590664988413</v>
      </c>
      <c r="W208" s="1">
        <v>5.09425771981478</v>
      </c>
      <c r="X208" s="1">
        <v>311.9616613</v>
      </c>
      <c r="Y208" s="1">
        <v>589</v>
      </c>
      <c r="Z208" s="70"/>
      <c r="AA208" s="1" t="s">
        <v>271</v>
      </c>
      <c r="BA208" s="1">
        <v>542.11369288453545</v>
      </c>
      <c r="BC208" s="1">
        <v>393.27865723872088</v>
      </c>
    </row>
    <row r="209" spans="1:55" x14ac:dyDescent="0.2">
      <c r="A209" s="1" t="s">
        <v>361</v>
      </c>
      <c r="B209" s="1" t="s">
        <v>360</v>
      </c>
      <c r="C209" s="8">
        <v>42963</v>
      </c>
      <c r="D209" s="9">
        <v>69.399950000000004</v>
      </c>
      <c r="E209" s="9">
        <v>30.730340000000002</v>
      </c>
      <c r="F209" s="65" t="s">
        <v>340</v>
      </c>
      <c r="G209" s="70"/>
      <c r="H209" s="2">
        <v>4.6223691591437275</v>
      </c>
      <c r="I209" s="2">
        <v>6.62296326702225</v>
      </c>
      <c r="J209" s="2">
        <v>20.476610629311484</v>
      </c>
      <c r="K209" s="2">
        <v>3.2803346959084649</v>
      </c>
      <c r="L209" s="2">
        <v>0.46617977430161789</v>
      </c>
      <c r="Q209" s="2">
        <v>1.963854275246723</v>
      </c>
      <c r="S209" s="2">
        <v>37.432311800934272</v>
      </c>
      <c r="T209" s="70"/>
      <c r="U209" s="1">
        <v>0.83552831411361705</v>
      </c>
      <c r="V209" s="1">
        <v>0.76033259502814798</v>
      </c>
      <c r="W209" s="1">
        <v>1.9698959365487101</v>
      </c>
      <c r="X209" s="1">
        <v>237.16088329999999</v>
      </c>
      <c r="Y209" s="1">
        <v>317</v>
      </c>
      <c r="Z209" s="70"/>
      <c r="AA209" s="1" t="s">
        <v>271</v>
      </c>
      <c r="BA209" s="1">
        <v>103.59986815317356</v>
      </c>
      <c r="BC209" s="1">
        <v>72.916522605763191</v>
      </c>
    </row>
    <row r="210" spans="1:55" x14ac:dyDescent="0.2">
      <c r="A210" s="13" t="s">
        <v>362</v>
      </c>
      <c r="B210" s="13" t="s">
        <v>222</v>
      </c>
      <c r="C210" s="8">
        <v>42801</v>
      </c>
      <c r="D210" s="9">
        <v>-25.7422</v>
      </c>
      <c r="E210" s="9">
        <v>30.6204</v>
      </c>
      <c r="F210" s="65" t="s">
        <v>340</v>
      </c>
      <c r="G210" s="70"/>
      <c r="H210" s="2">
        <v>1.1029930550570399</v>
      </c>
      <c r="I210" s="2">
        <v>0.76673615159602737</v>
      </c>
      <c r="J210" s="2">
        <v>3.4998460773308766</v>
      </c>
      <c r="K210" s="2">
        <v>0.57992209323052335</v>
      </c>
      <c r="L210" s="2">
        <v>0.10952677177852371</v>
      </c>
      <c r="S210" s="2">
        <v>6.0590241489929912</v>
      </c>
      <c r="T210" s="70"/>
      <c r="U210" s="1">
        <v>3.19693803787231</v>
      </c>
      <c r="V210" s="1">
        <v>3.52177001150271</v>
      </c>
      <c r="W210" s="1">
        <v>5.6639603376388497</v>
      </c>
      <c r="X210" s="1">
        <v>1452.6357829999999</v>
      </c>
      <c r="Y210" s="1">
        <v>783</v>
      </c>
      <c r="Z210" s="70"/>
      <c r="AA210" s="13" t="s">
        <v>86</v>
      </c>
      <c r="AB210" s="13" t="s">
        <v>87</v>
      </c>
      <c r="AC210" s="13" t="s">
        <v>88</v>
      </c>
      <c r="AD210" s="13">
        <v>14</v>
      </c>
      <c r="AE210" s="20">
        <v>57.941000000000003</v>
      </c>
      <c r="AF210" s="16">
        <v>0.40858959976527848</v>
      </c>
      <c r="AG210" s="16">
        <v>0.20288865274281476</v>
      </c>
      <c r="AH210" s="2">
        <f>100*(AQ210/1000)/AE210</f>
        <v>1.4428470340518803E-2</v>
      </c>
      <c r="AI210" s="16">
        <v>0.82002079652449611</v>
      </c>
      <c r="AJ210" s="16">
        <v>1.2907349923327279E-2</v>
      </c>
      <c r="AN210" s="10">
        <v>169.416</v>
      </c>
      <c r="AP210" s="10">
        <v>82.289000000000001</v>
      </c>
      <c r="AQ210" s="10">
        <v>8.36</v>
      </c>
      <c r="AR210" s="10">
        <v>35.634618728569372</v>
      </c>
      <c r="AS210" s="10">
        <v>0.56089857143062938</v>
      </c>
      <c r="AU210" s="10">
        <v>649</v>
      </c>
      <c r="AW210" s="26">
        <f>AE210-(AN210*10/1000)-(AU210/1000)</f>
        <v>55.597840000000005</v>
      </c>
      <c r="AY210" s="1">
        <v>100</v>
      </c>
      <c r="BA210" s="1">
        <v>77.248039095870027</v>
      </c>
      <c r="BC210" s="1">
        <v>56.624272090815907</v>
      </c>
    </row>
    <row r="211" spans="1:55" x14ac:dyDescent="0.2">
      <c r="A211" s="1" t="s">
        <v>363</v>
      </c>
      <c r="B211" s="1" t="s">
        <v>224</v>
      </c>
      <c r="C211" s="8">
        <v>41471</v>
      </c>
      <c r="D211" s="14">
        <v>37.962299999999999</v>
      </c>
      <c r="E211" s="14">
        <v>-6.1891280000000002</v>
      </c>
      <c r="F211" s="65" t="s">
        <v>340</v>
      </c>
      <c r="G211" s="70"/>
      <c r="H211" s="2">
        <v>0.40507844858724895</v>
      </c>
      <c r="I211" s="2">
        <v>0.36401879169861195</v>
      </c>
      <c r="J211" s="2">
        <v>1.522594910448116</v>
      </c>
      <c r="K211" s="2">
        <v>0.11653748580307866</v>
      </c>
      <c r="L211" s="2">
        <v>7.1967811746507834E-2</v>
      </c>
      <c r="S211" s="2">
        <v>2.480197448283564</v>
      </c>
      <c r="T211" s="70"/>
      <c r="U211" s="1">
        <v>0.79011476039886497</v>
      </c>
      <c r="V211" s="1">
        <v>1.28581894056504</v>
      </c>
      <c r="W211" s="1">
        <v>3.6136496812105201</v>
      </c>
      <c r="X211" s="1">
        <v>540.92556630000001</v>
      </c>
      <c r="Y211" s="1">
        <v>467</v>
      </c>
      <c r="Z211" s="70"/>
      <c r="AA211" s="1" t="s">
        <v>86</v>
      </c>
      <c r="BA211" s="1">
        <v>109.05328040000001</v>
      </c>
      <c r="BC211" s="1">
        <v>92.535193821207429</v>
      </c>
    </row>
    <row r="212" spans="1:55" x14ac:dyDescent="0.2">
      <c r="A212" s="1" t="s">
        <v>364</v>
      </c>
      <c r="B212" s="1" t="s">
        <v>228</v>
      </c>
      <c r="C212" s="8">
        <v>41769</v>
      </c>
      <c r="D212" s="9">
        <v>46.748519999999999</v>
      </c>
      <c r="E212" s="9">
        <v>-87.881510000000006</v>
      </c>
      <c r="F212" s="65" t="s">
        <v>340</v>
      </c>
      <c r="G212" s="70"/>
      <c r="J212" s="2">
        <v>0.33688436172860803</v>
      </c>
      <c r="K212" s="2">
        <v>0.131946808941453</v>
      </c>
      <c r="L212" s="2">
        <v>2.1530855780966574E-2</v>
      </c>
      <c r="S212" s="2">
        <v>0.49036202645102761</v>
      </c>
      <c r="T212" s="70"/>
      <c r="U212" s="1">
        <v>0.573146492242813</v>
      </c>
      <c r="V212" s="1">
        <v>0.73434218401177498</v>
      </c>
      <c r="W212" s="1">
        <v>1.8384376801550399</v>
      </c>
      <c r="X212" s="1">
        <v>424.07886439999999</v>
      </c>
      <c r="Y212" s="1">
        <v>316</v>
      </c>
      <c r="Z212" s="70"/>
      <c r="AA212" s="1" t="s">
        <v>86</v>
      </c>
      <c r="AB212" s="1" t="s">
        <v>91</v>
      </c>
      <c r="AC212" s="1" t="s">
        <v>88</v>
      </c>
      <c r="AD212" s="1">
        <v>1</v>
      </c>
      <c r="AE212" s="11">
        <v>0.173648</v>
      </c>
      <c r="AF212" s="1">
        <v>3.16</v>
      </c>
      <c r="AG212" s="11">
        <v>2.4</v>
      </c>
      <c r="AH212" s="35">
        <v>0.1</v>
      </c>
      <c r="AI212" s="35">
        <f>0.6+0.9</f>
        <v>1.5</v>
      </c>
      <c r="AJ212" s="35">
        <v>0.3</v>
      </c>
      <c r="AN212" s="10">
        <v>4.1779999999999999</v>
      </c>
      <c r="AP212" s="10">
        <v>3.8769999999999998</v>
      </c>
      <c r="AQ212" s="10">
        <v>0.134298965873418</v>
      </c>
      <c r="AW212" s="26">
        <f>AE212-(AN212*10/1000)</f>
        <v>0.13186799999999999</v>
      </c>
      <c r="AY212" s="1">
        <v>0</v>
      </c>
      <c r="BA212" s="1">
        <v>775.51473405430306</v>
      </c>
      <c r="BC212" s="1">
        <v>665.43858385185263</v>
      </c>
    </row>
    <row r="213" spans="1:55" x14ac:dyDescent="0.2">
      <c r="A213" s="36" t="s">
        <v>365</v>
      </c>
      <c r="B213" s="36" t="s">
        <v>365</v>
      </c>
      <c r="C213" s="36" t="s">
        <v>365</v>
      </c>
      <c r="D213" s="36" t="s">
        <v>365</v>
      </c>
      <c r="E213" s="36" t="s">
        <v>365</v>
      </c>
      <c r="F213" s="36" t="s">
        <v>365</v>
      </c>
      <c r="G213" s="71"/>
      <c r="H213" s="36" t="s">
        <v>365</v>
      </c>
      <c r="I213" s="36" t="s">
        <v>365</v>
      </c>
      <c r="J213" s="36" t="s">
        <v>365</v>
      </c>
      <c r="K213" s="36" t="s">
        <v>365</v>
      </c>
      <c r="L213" s="36" t="s">
        <v>365</v>
      </c>
      <c r="M213" s="36" t="s">
        <v>365</v>
      </c>
      <c r="N213" s="36" t="s">
        <v>365</v>
      </c>
      <c r="O213" s="36" t="s">
        <v>365</v>
      </c>
      <c r="P213" s="36" t="s">
        <v>365</v>
      </c>
      <c r="Q213" s="36" t="s">
        <v>365</v>
      </c>
      <c r="R213" s="36" t="s">
        <v>365</v>
      </c>
      <c r="S213" s="36" t="s">
        <v>365</v>
      </c>
      <c r="T213" s="71"/>
      <c r="Z213" s="71"/>
      <c r="AA213" s="36" t="s">
        <v>365</v>
      </c>
      <c r="AB213" s="36" t="s">
        <v>365</v>
      </c>
      <c r="AC213" s="36" t="s">
        <v>365</v>
      </c>
      <c r="AD213" s="36" t="s">
        <v>365</v>
      </c>
      <c r="AE213" s="36" t="s">
        <v>365</v>
      </c>
      <c r="AF213" s="36" t="s">
        <v>365</v>
      </c>
      <c r="AG213" s="36" t="s">
        <v>365</v>
      </c>
      <c r="AH213" s="36" t="s">
        <v>365</v>
      </c>
      <c r="AI213" s="36" t="s">
        <v>365</v>
      </c>
      <c r="AJ213" s="36" t="s">
        <v>365</v>
      </c>
      <c r="AK213" s="36" t="s">
        <v>365</v>
      </c>
      <c r="AL213" s="36" t="s">
        <v>365</v>
      </c>
      <c r="AM213" s="36" t="s">
        <v>365</v>
      </c>
      <c r="AN213" s="36" t="s">
        <v>365</v>
      </c>
      <c r="AO213" s="36" t="s">
        <v>365</v>
      </c>
      <c r="AP213" s="36" t="s">
        <v>365</v>
      </c>
      <c r="AQ213" s="36" t="s">
        <v>365</v>
      </c>
      <c r="AR213" s="36" t="s">
        <v>365</v>
      </c>
      <c r="AS213" s="36" t="s">
        <v>365</v>
      </c>
      <c r="AT213" s="36" t="s">
        <v>365</v>
      </c>
      <c r="AU213" s="36" t="s">
        <v>365</v>
      </c>
      <c r="AV213" s="36" t="s">
        <v>365</v>
      </c>
      <c r="AW213" s="36" t="s">
        <v>365</v>
      </c>
      <c r="AX213" s="36" t="s">
        <v>365</v>
      </c>
      <c r="AY213" s="36" t="s">
        <v>365</v>
      </c>
      <c r="AZ213" s="36" t="s">
        <v>365</v>
      </c>
    </row>
    <row r="214" spans="1:55" s="4" customFormat="1" x14ac:dyDescent="0.2">
      <c r="A214" s="4" t="s">
        <v>11</v>
      </c>
      <c r="B214" s="4" t="s">
        <v>12</v>
      </c>
      <c r="C214" s="4" t="s">
        <v>13</v>
      </c>
      <c r="D214" s="4" t="s">
        <v>14</v>
      </c>
      <c r="E214" s="4" t="s">
        <v>15</v>
      </c>
      <c r="F214" s="63" t="s">
        <v>515</v>
      </c>
      <c r="G214" s="68"/>
      <c r="H214" s="4" t="s">
        <v>21</v>
      </c>
      <c r="I214" s="4" t="s">
        <v>22</v>
      </c>
      <c r="J214" s="4" t="s">
        <v>23</v>
      </c>
      <c r="K214" s="4" t="s">
        <v>24</v>
      </c>
      <c r="L214" s="4" t="s">
        <v>25</v>
      </c>
      <c r="M214" s="4" t="s">
        <v>26</v>
      </c>
      <c r="N214" s="4" t="s">
        <v>27</v>
      </c>
      <c r="O214" s="4" t="s">
        <v>28</v>
      </c>
      <c r="P214" s="4" t="s">
        <v>29</v>
      </c>
      <c r="Q214" s="4" t="s">
        <v>30</v>
      </c>
      <c r="R214" s="4" t="s">
        <v>31</v>
      </c>
      <c r="S214" s="4" t="s">
        <v>20</v>
      </c>
      <c r="T214" s="68"/>
      <c r="Z214" s="68"/>
      <c r="AA214" s="4" t="s">
        <v>16</v>
      </c>
      <c r="AB214" s="4" t="s">
        <v>17</v>
      </c>
      <c r="AC214" s="4" t="s">
        <v>17</v>
      </c>
      <c r="AD214" s="4" t="s">
        <v>18</v>
      </c>
      <c r="AE214" s="4" t="s">
        <v>19</v>
      </c>
      <c r="AF214" s="4" t="s">
        <v>19</v>
      </c>
      <c r="AG214" s="4" t="s">
        <v>19</v>
      </c>
      <c r="AH214" s="4" t="s">
        <v>19</v>
      </c>
      <c r="AI214" s="4" t="s">
        <v>19</v>
      </c>
      <c r="AJ214" s="4" t="s">
        <v>19</v>
      </c>
      <c r="AK214" s="4" t="s">
        <v>19</v>
      </c>
      <c r="AL214" s="4" t="s">
        <v>19</v>
      </c>
      <c r="AM214" s="4" t="s">
        <v>19</v>
      </c>
      <c r="AN214" s="4" t="s">
        <v>19</v>
      </c>
      <c r="AO214" s="4" t="s">
        <v>19</v>
      </c>
      <c r="AP214" s="4" t="s">
        <v>19</v>
      </c>
      <c r="AQ214" s="4" t="s">
        <v>19</v>
      </c>
      <c r="AR214" s="4" t="s">
        <v>19</v>
      </c>
      <c r="AS214" s="4" t="s">
        <v>19</v>
      </c>
      <c r="AT214" s="4" t="s">
        <v>19</v>
      </c>
      <c r="AU214" s="4" t="s">
        <v>19</v>
      </c>
      <c r="AV214" s="4" t="s">
        <v>19</v>
      </c>
      <c r="AW214" s="4" t="s">
        <v>19</v>
      </c>
      <c r="AX214" s="4" t="s">
        <v>19</v>
      </c>
      <c r="AY214" s="4" t="s">
        <v>19</v>
      </c>
      <c r="AZ214" s="4" t="s">
        <v>20</v>
      </c>
    </row>
    <row r="215" spans="1:55" s="4" customFormat="1" ht="13.5" x14ac:dyDescent="0.2">
      <c r="A215" s="4" t="s">
        <v>11</v>
      </c>
      <c r="B215" s="4" t="s">
        <v>12</v>
      </c>
      <c r="C215" s="4" t="s">
        <v>33</v>
      </c>
      <c r="D215" s="4" t="s">
        <v>14</v>
      </c>
      <c r="E215" s="4" t="s">
        <v>15</v>
      </c>
      <c r="F215" s="63" t="s">
        <v>516</v>
      </c>
      <c r="G215" s="68"/>
      <c r="H215" s="4" t="s">
        <v>514</v>
      </c>
      <c r="I215" s="4" t="s">
        <v>514</v>
      </c>
      <c r="J215" s="4" t="s">
        <v>514</v>
      </c>
      <c r="K215" s="4" t="s">
        <v>514</v>
      </c>
      <c r="L215" s="4" t="s">
        <v>514</v>
      </c>
      <c r="M215" s="4" t="s">
        <v>514</v>
      </c>
      <c r="N215" s="4" t="s">
        <v>514</v>
      </c>
      <c r="O215" s="4" t="s">
        <v>514</v>
      </c>
      <c r="P215" s="4" t="s">
        <v>514</v>
      </c>
      <c r="Q215" s="4" t="s">
        <v>514</v>
      </c>
      <c r="R215" s="4" t="s">
        <v>514</v>
      </c>
      <c r="S215" s="4" t="s">
        <v>514</v>
      </c>
      <c r="T215" s="68"/>
      <c r="Z215" s="68"/>
      <c r="AA215" s="4" t="s">
        <v>34</v>
      </c>
      <c r="AB215" s="4" t="s">
        <v>35</v>
      </c>
      <c r="AC215" s="4" t="s">
        <v>35</v>
      </c>
      <c r="AD215" s="4" t="s">
        <v>36</v>
      </c>
      <c r="AE215" s="4" t="s">
        <v>37</v>
      </c>
      <c r="AF215" s="4" t="s">
        <v>37</v>
      </c>
      <c r="AG215" s="4" t="s">
        <v>37</v>
      </c>
      <c r="AH215" s="4" t="s">
        <v>37</v>
      </c>
      <c r="AI215" s="4" t="s">
        <v>37</v>
      </c>
      <c r="AJ215" s="4" t="s">
        <v>37</v>
      </c>
      <c r="AK215" s="4" t="s">
        <v>37</v>
      </c>
      <c r="AL215" s="4" t="s">
        <v>37</v>
      </c>
      <c r="AM215" s="4" t="s">
        <v>37</v>
      </c>
      <c r="AN215" s="4" t="s">
        <v>37</v>
      </c>
      <c r="AO215" s="4" t="s">
        <v>37</v>
      </c>
      <c r="AP215" s="4" t="s">
        <v>37</v>
      </c>
      <c r="AQ215" s="4" t="s">
        <v>37</v>
      </c>
      <c r="AR215" s="4" t="s">
        <v>37</v>
      </c>
      <c r="AS215" s="4" t="s">
        <v>37</v>
      </c>
      <c r="AT215" s="4" t="s">
        <v>37</v>
      </c>
      <c r="AU215" s="4" t="s">
        <v>37</v>
      </c>
      <c r="AV215" s="4" t="s">
        <v>37</v>
      </c>
      <c r="AW215" s="4" t="s">
        <v>37</v>
      </c>
      <c r="AX215" s="4" t="s">
        <v>37</v>
      </c>
      <c r="AY215" s="4" t="s">
        <v>37</v>
      </c>
      <c r="AZ215" s="4" t="s">
        <v>38</v>
      </c>
    </row>
    <row r="216" spans="1:55" s="4" customFormat="1" x14ac:dyDescent="0.2">
      <c r="A216" s="4" t="s">
        <v>11</v>
      </c>
      <c r="B216" s="4" t="s">
        <v>12</v>
      </c>
      <c r="C216" s="4" t="s">
        <v>45</v>
      </c>
      <c r="D216" s="4" t="s">
        <v>14</v>
      </c>
      <c r="E216" s="4" t="s">
        <v>15</v>
      </c>
      <c r="G216" s="69"/>
      <c r="T216" s="69"/>
      <c r="Z216" s="69"/>
      <c r="AA216" s="4" t="s">
        <v>46</v>
      </c>
      <c r="AB216" s="4" t="s">
        <v>11</v>
      </c>
      <c r="AC216" s="4" t="s">
        <v>47</v>
      </c>
      <c r="AD216" s="4" t="s">
        <v>48</v>
      </c>
      <c r="AE216" s="4" t="s">
        <v>42</v>
      </c>
      <c r="AF216" s="4" t="s">
        <v>366</v>
      </c>
      <c r="AG216" s="4" t="s">
        <v>367</v>
      </c>
      <c r="AH216" s="4" t="s">
        <v>368</v>
      </c>
      <c r="AI216" s="4" t="s">
        <v>50</v>
      </c>
      <c r="AJ216" s="4" t="s">
        <v>329</v>
      </c>
      <c r="AK216" s="4" t="s">
        <v>44</v>
      </c>
      <c r="AL216" s="4" t="s">
        <v>171</v>
      </c>
      <c r="AM216" s="4" t="s">
        <v>369</v>
      </c>
      <c r="AN216" s="4" t="s">
        <v>370</v>
      </c>
      <c r="AO216" s="4" t="s">
        <v>371</v>
      </c>
      <c r="AP216" s="4" t="s">
        <v>55</v>
      </c>
      <c r="AQ216" s="4" t="s">
        <v>328</v>
      </c>
      <c r="AR216" s="4" t="s">
        <v>43</v>
      </c>
      <c r="AS216" s="4" t="s">
        <v>172</v>
      </c>
      <c r="AT216" s="4" t="s">
        <v>334</v>
      </c>
      <c r="AW216" s="4" t="s">
        <v>64</v>
      </c>
      <c r="AX216" s="4" t="s">
        <v>65</v>
      </c>
      <c r="AY216" s="4" t="s">
        <v>66</v>
      </c>
      <c r="AZ216" s="4" t="s">
        <v>67</v>
      </c>
    </row>
    <row r="217" spans="1:55" x14ac:dyDescent="0.2">
      <c r="A217" s="1" t="s">
        <v>372</v>
      </c>
      <c r="B217" s="1" t="s">
        <v>222</v>
      </c>
      <c r="C217" s="29">
        <v>42908</v>
      </c>
      <c r="D217" s="9">
        <v>-23.996828000000001</v>
      </c>
      <c r="E217" s="9">
        <v>28.922153000000002</v>
      </c>
      <c r="F217" s="65" t="s">
        <v>365</v>
      </c>
      <c r="G217" s="70"/>
      <c r="H217" s="2">
        <v>5.2102673544454472</v>
      </c>
      <c r="I217" s="2">
        <v>3.1402037997300498</v>
      </c>
      <c r="J217" s="2">
        <v>21.387448138803926</v>
      </c>
      <c r="K217" s="2">
        <v>1.5156948561517662</v>
      </c>
      <c r="L217" s="2">
        <v>0.69913802743340137</v>
      </c>
      <c r="S217" s="2">
        <v>31.952752176564594</v>
      </c>
      <c r="T217" s="70"/>
      <c r="U217" s="1">
        <v>0.88424432277679399</v>
      </c>
      <c r="V217" s="1">
        <v>0.97411132591905303</v>
      </c>
      <c r="W217" s="1">
        <v>2.9367196410894398</v>
      </c>
      <c r="X217" s="1">
        <v>1124.8778139999999</v>
      </c>
      <c r="Y217" s="1">
        <v>267</v>
      </c>
      <c r="Z217" s="70"/>
      <c r="AA217" s="1" t="s">
        <v>86</v>
      </c>
      <c r="AB217" s="1" t="s">
        <v>87</v>
      </c>
      <c r="AC217" s="1" t="s">
        <v>88</v>
      </c>
      <c r="AD217" s="1">
        <v>24</v>
      </c>
      <c r="AE217" s="10">
        <v>150.655</v>
      </c>
      <c r="AF217" s="11">
        <v>2.068797052869138</v>
      </c>
      <c r="AG217" s="11">
        <v>0.96880252231920594</v>
      </c>
      <c r="AH217" s="11">
        <v>0.12110031528990074</v>
      </c>
      <c r="AI217" s="11">
        <v>0.20519775646344296</v>
      </c>
      <c r="AJ217" s="11">
        <v>0.15183697852709835</v>
      </c>
      <c r="AK217" s="11">
        <v>9.2761607646609789E-2</v>
      </c>
      <c r="AM217" s="10">
        <v>165.14595249999999</v>
      </c>
      <c r="AN217" s="10">
        <v>174.09213875</v>
      </c>
      <c r="AO217" s="10">
        <v>11.379096250000002</v>
      </c>
      <c r="AP217" s="10">
        <v>19.584376249999998</v>
      </c>
      <c r="AQ217" s="10">
        <v>163.75</v>
      </c>
      <c r="AR217" s="10">
        <v>100.05</v>
      </c>
      <c r="AW217" s="26">
        <f>AE217-(AQ217*10/1000)</f>
        <v>149.01750000000001</v>
      </c>
      <c r="AX217" s="10">
        <v>1139.566</v>
      </c>
      <c r="AY217" s="1">
        <v>100</v>
      </c>
      <c r="AZ217" s="10">
        <f>AE217+AX217</f>
        <v>1290.221</v>
      </c>
    </row>
    <row r="218" spans="1:55" x14ac:dyDescent="0.2">
      <c r="A218" s="1" t="s">
        <v>373</v>
      </c>
      <c r="B218" s="1" t="s">
        <v>222</v>
      </c>
      <c r="C218" s="29">
        <v>42815</v>
      </c>
      <c r="D218" s="9">
        <v>-25.550243999999999</v>
      </c>
      <c r="E218" s="9">
        <v>27.216107999999998</v>
      </c>
      <c r="F218" s="65" t="s">
        <v>365</v>
      </c>
      <c r="G218" s="70"/>
      <c r="I218" s="2">
        <v>7.1052885141786009</v>
      </c>
      <c r="J218" s="2">
        <v>12.060908448693473</v>
      </c>
      <c r="K218" s="2">
        <v>1.9941767971612683</v>
      </c>
      <c r="L218" s="2">
        <v>0.75732707650850273</v>
      </c>
      <c r="Q218" s="2">
        <v>8.9491987357668501E-2</v>
      </c>
      <c r="R218" s="2"/>
      <c r="S218" s="2">
        <v>22.007192823899516</v>
      </c>
      <c r="T218" s="70"/>
      <c r="U218" s="1">
        <v>0.414443880319595</v>
      </c>
      <c r="V218" s="1">
        <v>0.52606594972784004</v>
      </c>
      <c r="W218" s="1">
        <v>1.6106148660183</v>
      </c>
      <c r="X218" s="1">
        <v>1125.870253</v>
      </c>
      <c r="Y218" s="1">
        <v>229</v>
      </c>
      <c r="Z218" s="70"/>
    </row>
    <row r="219" spans="1:55" x14ac:dyDescent="0.2">
      <c r="A219" s="1" t="s">
        <v>374</v>
      </c>
      <c r="B219" s="1" t="s">
        <v>222</v>
      </c>
      <c r="C219" s="29">
        <v>42815</v>
      </c>
      <c r="D219" s="9">
        <v>-25.470279999999999</v>
      </c>
      <c r="E219" s="9">
        <v>27.137499999999999</v>
      </c>
      <c r="F219" s="65" t="s">
        <v>365</v>
      </c>
      <c r="G219" s="70"/>
      <c r="I219" s="2">
        <v>1.2211957275507399</v>
      </c>
      <c r="J219" s="2">
        <v>0.60109519775681497</v>
      </c>
      <c r="K219" s="2">
        <v>0.258473154990702</v>
      </c>
      <c r="L219" s="2">
        <v>0.12995125845200553</v>
      </c>
      <c r="S219" s="2">
        <v>2.2107153387502625</v>
      </c>
      <c r="T219" s="70"/>
      <c r="U219" s="1">
        <v>0.52263081073760997</v>
      </c>
      <c r="V219" s="1">
        <v>0.69353669810409402</v>
      </c>
      <c r="W219" s="1">
        <v>2.6484520584344899</v>
      </c>
      <c r="X219" s="1">
        <v>1102.5718850000001</v>
      </c>
      <c r="Y219" s="1">
        <v>327</v>
      </c>
      <c r="Z219" s="70"/>
      <c r="AA219" s="1" t="s">
        <v>86</v>
      </c>
      <c r="AB219" s="1" t="s">
        <v>91</v>
      </c>
      <c r="AC219" s="1" t="s">
        <v>88</v>
      </c>
      <c r="AD219" s="1">
        <v>18</v>
      </c>
      <c r="AE219" s="10">
        <v>40.38900556966172</v>
      </c>
      <c r="AF219" s="11">
        <v>2.7865520258857828</v>
      </c>
      <c r="AG219" s="11">
        <v>1.156030871420108</v>
      </c>
      <c r="AH219" s="11">
        <v>0.1897961132182267</v>
      </c>
      <c r="AI219" s="11">
        <v>0.18548256519053968</v>
      </c>
      <c r="AJ219" s="11">
        <v>0.15840994291134733</v>
      </c>
      <c r="AK219" s="11">
        <v>9.5599194244101043E-2</v>
      </c>
      <c r="AM219" s="10">
        <v>94.122906</v>
      </c>
      <c r="AN219" s="10">
        <v>37.321151884970931</v>
      </c>
      <c r="AO219" s="10">
        <v>6.0448331785309541</v>
      </c>
      <c r="AP219" s="10">
        <v>5.4951817089290405</v>
      </c>
      <c r="AQ219" s="10">
        <v>31.950569999999999</v>
      </c>
      <c r="AR219" s="10">
        <v>19.272839999999995</v>
      </c>
      <c r="AW219" s="26">
        <f>AE219-(AQ219*10/1000)</f>
        <v>40.069499869661719</v>
      </c>
      <c r="AY219" s="1">
        <v>0</v>
      </c>
    </row>
    <row r="220" spans="1:55" x14ac:dyDescent="0.2">
      <c r="A220" s="1" t="s">
        <v>375</v>
      </c>
      <c r="B220" s="1" t="s">
        <v>222</v>
      </c>
      <c r="C220" s="29">
        <v>42462</v>
      </c>
      <c r="D220" s="9">
        <v>-24.298819000000002</v>
      </c>
      <c r="E220" s="9">
        <v>29.882939</v>
      </c>
      <c r="F220" s="65" t="s">
        <v>365</v>
      </c>
      <c r="G220" s="70"/>
      <c r="I220" s="2">
        <v>0.8301621581095171</v>
      </c>
      <c r="J220" s="2">
        <v>0.86984014509929097</v>
      </c>
      <c r="K220" s="2">
        <v>0.49165126569568818</v>
      </c>
      <c r="L220" s="2">
        <v>0.12487151056490835</v>
      </c>
      <c r="S220" s="2">
        <v>2.3165250794694048</v>
      </c>
      <c r="T220" s="70"/>
      <c r="U220" s="1">
        <v>2.8044292926788299</v>
      </c>
      <c r="V220" s="1">
        <v>2.8513365083270599</v>
      </c>
      <c r="W220" s="1">
        <v>7.9821951687336004</v>
      </c>
      <c r="X220" s="1">
        <v>893.91428570000005</v>
      </c>
      <c r="Y220" s="1">
        <v>755</v>
      </c>
      <c r="Z220" s="70"/>
      <c r="AA220" s="1" t="s">
        <v>86</v>
      </c>
      <c r="AB220" s="1" t="s">
        <v>91</v>
      </c>
      <c r="AC220" s="1" t="s">
        <v>88</v>
      </c>
    </row>
    <row r="221" spans="1:55" x14ac:dyDescent="0.2">
      <c r="A221" s="1" t="s">
        <v>376</v>
      </c>
      <c r="B221" s="1" t="s">
        <v>222</v>
      </c>
      <c r="C221" s="29">
        <v>42900</v>
      </c>
      <c r="D221" s="9">
        <v>-24.503926</v>
      </c>
      <c r="E221" s="9">
        <v>30.082384000000001</v>
      </c>
      <c r="F221" s="65" t="s">
        <v>365</v>
      </c>
      <c r="G221" s="70"/>
      <c r="I221" s="2">
        <v>0.415203102229595</v>
      </c>
      <c r="J221" s="2">
        <v>1.058017973870349</v>
      </c>
      <c r="K221" s="2">
        <v>0.60331515484069187</v>
      </c>
      <c r="L221" s="2">
        <v>7.067687869770807E-2</v>
      </c>
      <c r="S221" s="2">
        <v>2.147213109638344</v>
      </c>
      <c r="T221" s="70"/>
      <c r="U221" s="1">
        <v>1.1459264755248999</v>
      </c>
      <c r="V221" s="1">
        <v>2.4693252753716299</v>
      </c>
      <c r="W221" s="1">
        <v>9.1646443307399696</v>
      </c>
      <c r="X221" s="1">
        <v>945.43769970000005</v>
      </c>
      <c r="Y221" s="1">
        <v>798</v>
      </c>
      <c r="Z221" s="70"/>
      <c r="AA221" s="1" t="s">
        <v>86</v>
      </c>
      <c r="AB221" s="1" t="s">
        <v>91</v>
      </c>
      <c r="AC221" s="1" t="s">
        <v>88</v>
      </c>
      <c r="AD221" s="1">
        <v>14</v>
      </c>
      <c r="AE221" s="10">
        <v>19.738</v>
      </c>
      <c r="AF221" s="11">
        <v>2.2677689362687325</v>
      </c>
      <c r="AG221" s="11">
        <v>1.2384863563386437</v>
      </c>
      <c r="AH221" s="11">
        <v>0.11297003926061955</v>
      </c>
      <c r="AI221" s="11">
        <v>0.29706936250014765</v>
      </c>
      <c r="AJ221" s="11">
        <v>0.10853722222655243</v>
      </c>
      <c r="AK221" s="11">
        <v>0.20042389210019268</v>
      </c>
      <c r="AM221" s="10">
        <v>27.11609</v>
      </c>
      <c r="AN221" s="10">
        <v>27.82206</v>
      </c>
      <c r="AO221" s="10">
        <v>5.7099599999999997</v>
      </c>
      <c r="AP221" s="10">
        <v>5.0600819599999998</v>
      </c>
      <c r="AQ221" s="10">
        <v>2.7850000000000001</v>
      </c>
      <c r="AR221" s="10">
        <v>5.9339501734104054</v>
      </c>
      <c r="AW221" s="26">
        <f>AE221-(AQ221*10/1000)</f>
        <v>19.710149999999999</v>
      </c>
      <c r="AY221" s="1">
        <v>0</v>
      </c>
    </row>
    <row r="222" spans="1:55" x14ac:dyDescent="0.2">
      <c r="A222" s="1" t="s">
        <v>377</v>
      </c>
      <c r="B222" s="1" t="s">
        <v>222</v>
      </c>
      <c r="C222" s="29">
        <v>42826</v>
      </c>
      <c r="D222" s="9">
        <v>-24.829511</v>
      </c>
      <c r="E222" s="9">
        <v>27.287966999999998</v>
      </c>
      <c r="F222" s="65" t="s">
        <v>365</v>
      </c>
      <c r="G222" s="70"/>
      <c r="I222" s="2">
        <v>4.8296812420629198</v>
      </c>
      <c r="J222" s="2">
        <v>2.1936283437878061</v>
      </c>
      <c r="K222" s="2">
        <v>1.072150285306033</v>
      </c>
      <c r="L222" s="2">
        <v>0.53594613324586959</v>
      </c>
      <c r="S222" s="2">
        <v>8.6314060044026277</v>
      </c>
      <c r="T222" s="70"/>
      <c r="U222" s="1">
        <v>0.51196527481079102</v>
      </c>
      <c r="V222" s="1">
        <v>0.48890239869158097</v>
      </c>
      <c r="W222" s="1">
        <v>1.0247112438082699</v>
      </c>
      <c r="X222" s="1">
        <v>970.05750799999998</v>
      </c>
      <c r="Y222" s="1">
        <v>170</v>
      </c>
      <c r="Z222" s="70"/>
    </row>
    <row r="223" spans="1:55" x14ac:dyDescent="0.2">
      <c r="A223" s="1" t="s">
        <v>378</v>
      </c>
      <c r="B223" s="1" t="s">
        <v>222</v>
      </c>
      <c r="C223" s="29">
        <v>42826</v>
      </c>
      <c r="D223" s="9">
        <v>-24.827652</v>
      </c>
      <c r="E223" s="9">
        <v>27.342116999999998</v>
      </c>
      <c r="F223" s="65" t="s">
        <v>365</v>
      </c>
      <c r="G223" s="70"/>
      <c r="I223" s="2">
        <v>1.3043251589117</v>
      </c>
      <c r="J223" s="2">
        <v>0.8057049224495918</v>
      </c>
      <c r="K223" s="2">
        <v>0.85571458166476955</v>
      </c>
      <c r="L223" s="2">
        <v>7.2554845025304598E-2</v>
      </c>
      <c r="Q223" s="2">
        <v>3.6353733086466701E-2</v>
      </c>
      <c r="R223" s="2"/>
      <c r="S223" s="2">
        <v>3.0746532411378329</v>
      </c>
      <c r="T223" s="70"/>
      <c r="U223" s="1">
        <v>0.37111347913742099</v>
      </c>
      <c r="V223" s="1">
        <v>0.41637193063738198</v>
      </c>
      <c r="W223" s="1">
        <v>0.81929840147495303</v>
      </c>
      <c r="X223" s="1">
        <v>953.0157729</v>
      </c>
      <c r="Y223" s="1">
        <v>172</v>
      </c>
      <c r="Z223" s="70"/>
    </row>
    <row r="224" spans="1:55" x14ac:dyDescent="0.2">
      <c r="A224" s="1" t="s">
        <v>379</v>
      </c>
      <c r="B224" s="1" t="s">
        <v>222</v>
      </c>
      <c r="C224" s="29">
        <v>42894</v>
      </c>
      <c r="D224" s="9">
        <v>-24.631499999999999</v>
      </c>
      <c r="E224" s="9">
        <v>30.122</v>
      </c>
      <c r="F224" s="65" t="s">
        <v>365</v>
      </c>
      <c r="G224" s="70"/>
      <c r="I224" s="2">
        <v>0.85650018862058952</v>
      </c>
      <c r="J224" s="2">
        <v>0.94848641683331192</v>
      </c>
      <c r="K224" s="2">
        <v>0.59753107504591751</v>
      </c>
      <c r="L224" s="2">
        <v>6.2592274808116202E-2</v>
      </c>
      <c r="S224" s="2">
        <v>2.4651099553079354</v>
      </c>
      <c r="T224" s="70"/>
      <c r="U224" s="1">
        <v>3.4582998752593999</v>
      </c>
      <c r="V224" s="1">
        <v>4.4870744924575803</v>
      </c>
      <c r="W224" s="1">
        <v>10.939696788787799</v>
      </c>
      <c r="X224" s="1">
        <v>1140.520767</v>
      </c>
      <c r="Y224" s="1">
        <v>1072</v>
      </c>
      <c r="Z224" s="70"/>
      <c r="AA224" s="1" t="s">
        <v>86</v>
      </c>
      <c r="AB224" s="1" t="s">
        <v>91</v>
      </c>
      <c r="AC224" s="1" t="s">
        <v>88</v>
      </c>
      <c r="AD224" s="1">
        <v>16</v>
      </c>
      <c r="AE224" s="10">
        <v>34.981999999999999</v>
      </c>
      <c r="AF224" s="11">
        <v>1.9225975149373549</v>
      </c>
      <c r="AG224" s="11">
        <v>1.6386247804385754</v>
      </c>
      <c r="AH224" s="11">
        <v>0.35661010337707316</v>
      </c>
      <c r="AI224" s="11">
        <v>6.1667745410823968E-2</v>
      </c>
      <c r="AJ224" s="1">
        <v>0.13</v>
      </c>
      <c r="AK224" s="1">
        <v>0.03</v>
      </c>
      <c r="AM224" s="10">
        <v>56.850862200000002</v>
      </c>
      <c r="AN224" s="10">
        <v>55.030734700000004</v>
      </c>
      <c r="AO224" s="10">
        <v>11.317569900000001</v>
      </c>
      <c r="AP224" s="10">
        <v>1.5738155</v>
      </c>
      <c r="AQ224" s="10">
        <v>9.6050000000000004</v>
      </c>
      <c r="AR224" s="10">
        <v>5.8140000000000001</v>
      </c>
      <c r="AW224" s="26">
        <f>AE224-(AQ224*10/1000)</f>
        <v>34.885950000000001</v>
      </c>
      <c r="AY224" s="1">
        <v>0</v>
      </c>
    </row>
    <row r="225" spans="1:52" x14ac:dyDescent="0.2">
      <c r="A225" s="1" t="s">
        <v>380</v>
      </c>
      <c r="B225" s="1" t="s">
        <v>222</v>
      </c>
      <c r="C225" s="29">
        <v>42903</v>
      </c>
      <c r="D225" s="9">
        <v>-24.942288000000001</v>
      </c>
      <c r="E225" s="9">
        <v>30.093807000000002</v>
      </c>
      <c r="F225" s="65" t="s">
        <v>365</v>
      </c>
      <c r="G225" s="70"/>
      <c r="H225" s="2">
        <v>5.9870346747964598E-2</v>
      </c>
      <c r="I225" s="2">
        <v>0.68228182040620877</v>
      </c>
      <c r="J225" s="2">
        <v>0.76310523478481684</v>
      </c>
      <c r="K225" s="2">
        <v>0.72375759456139588</v>
      </c>
      <c r="L225" s="2">
        <v>0.1236271743495881</v>
      </c>
      <c r="S225" s="2">
        <v>2.3526421708499736</v>
      </c>
      <c r="T225" s="70"/>
      <c r="U225" s="1">
        <v>3.21203684806824</v>
      </c>
      <c r="V225" s="1">
        <v>3.2924766480168199</v>
      </c>
      <c r="W225" s="1">
        <v>10.562860965728801</v>
      </c>
      <c r="X225" s="1">
        <v>1079.4050629999999</v>
      </c>
      <c r="Y225" s="1">
        <v>1061</v>
      </c>
      <c r="Z225" s="70"/>
      <c r="AA225" s="1" t="s">
        <v>86</v>
      </c>
      <c r="AB225" s="1" t="s">
        <v>91</v>
      </c>
      <c r="AC225" s="1" t="s">
        <v>88</v>
      </c>
      <c r="AD225" s="1">
        <v>11</v>
      </c>
      <c r="AE225" s="10">
        <v>32.823999999999998</v>
      </c>
      <c r="AF225" s="11">
        <v>1.6286890543160131</v>
      </c>
      <c r="AG225" s="11">
        <v>1.3881273762689992</v>
      </c>
      <c r="AH225" s="11">
        <v>0.30209493537583487</v>
      </c>
      <c r="AI225" s="11">
        <v>5.2240565783852153E-2</v>
      </c>
      <c r="AJ225" s="11">
        <v>0.13620775969962451</v>
      </c>
      <c r="AK225" s="11">
        <v>8.620775969962452E-2</v>
      </c>
      <c r="AM225" s="10">
        <v>50.358581700000002</v>
      </c>
      <c r="AN225" s="10">
        <v>29.569631200000003</v>
      </c>
      <c r="AO225" s="10">
        <v>8.6670102000000018</v>
      </c>
      <c r="AP225" s="10">
        <v>0.71806789999999998</v>
      </c>
      <c r="AQ225" s="10">
        <v>5.3449999999999998</v>
      </c>
      <c r="AR225" s="10">
        <v>2.496</v>
      </c>
      <c r="AT225" s="10">
        <v>960.31600000000003</v>
      </c>
      <c r="AW225" s="26">
        <f>AE225-(AQ225*10/1000)-(AT225/1000)</f>
        <v>31.810234000000001</v>
      </c>
      <c r="AY225" s="1">
        <v>0</v>
      </c>
    </row>
    <row r="226" spans="1:52" x14ac:dyDescent="0.2">
      <c r="A226" s="1" t="s">
        <v>381</v>
      </c>
      <c r="B226" s="1" t="s">
        <v>222</v>
      </c>
      <c r="C226" s="29">
        <v>42894</v>
      </c>
      <c r="D226" s="9">
        <v>-24.985161000000002</v>
      </c>
      <c r="E226" s="9">
        <v>30.106020999999998</v>
      </c>
      <c r="F226" s="65" t="s">
        <v>365</v>
      </c>
      <c r="G226" s="70"/>
      <c r="I226" s="2">
        <v>0.25375413793405799</v>
      </c>
      <c r="J226" s="2">
        <v>0.33296709220437509</v>
      </c>
      <c r="K226" s="2">
        <v>0.33153897141943678</v>
      </c>
      <c r="L226" s="2">
        <v>1.18036694489885E-2</v>
      </c>
      <c r="S226" s="2">
        <v>0.93006387100685828</v>
      </c>
      <c r="T226" s="70"/>
      <c r="U226" s="1">
        <v>2.3319842815399201</v>
      </c>
      <c r="V226" s="1">
        <v>3.9023665985729101</v>
      </c>
      <c r="W226" s="1">
        <v>10.562860965728801</v>
      </c>
      <c r="X226" s="1">
        <v>1180.696203</v>
      </c>
      <c r="Y226" s="1">
        <v>1019</v>
      </c>
      <c r="Z226" s="70"/>
      <c r="AA226" s="1" t="s">
        <v>86</v>
      </c>
      <c r="AB226" s="1" t="s">
        <v>91</v>
      </c>
      <c r="AC226" s="1" t="s">
        <v>88</v>
      </c>
      <c r="AD226" s="1">
        <v>11</v>
      </c>
      <c r="AE226" s="10">
        <v>23.552</v>
      </c>
      <c r="AF226" s="11">
        <v>1.4395708220108696</v>
      </c>
      <c r="AG226" s="11">
        <v>1.505005859375</v>
      </c>
      <c r="AH226" s="11">
        <v>0.27809890879755444</v>
      </c>
      <c r="AI226" s="11">
        <v>4.9076278023097823E-2</v>
      </c>
      <c r="AJ226" s="11">
        <v>2.9296875E-2</v>
      </c>
      <c r="AK226" s="11">
        <v>1.1200747282608696E-2</v>
      </c>
      <c r="AM226" s="10">
        <v>35.068359999999998</v>
      </c>
      <c r="AN226" s="10">
        <v>20.821449999999999</v>
      </c>
      <c r="AO226" s="10">
        <v>5.5544599999999997</v>
      </c>
      <c r="AP226" s="10">
        <v>0.55979999999999996</v>
      </c>
      <c r="AQ226" s="10">
        <v>3.45</v>
      </c>
      <c r="AR226" s="10">
        <v>1.319</v>
      </c>
      <c r="AW226" s="26">
        <f>AE226-(AQ226*10/1000)-(AT226/1000)</f>
        <v>23.517499999999998</v>
      </c>
      <c r="AY226" s="1">
        <v>0</v>
      </c>
    </row>
    <row r="227" spans="1:52" x14ac:dyDescent="0.2">
      <c r="A227" s="1" t="s">
        <v>382</v>
      </c>
      <c r="B227" s="1" t="s">
        <v>222</v>
      </c>
      <c r="C227" s="29">
        <v>42530</v>
      </c>
      <c r="D227" s="9">
        <v>-25.183</v>
      </c>
      <c r="E227" s="9">
        <v>26.922000000000001</v>
      </c>
      <c r="F227" s="65" t="s">
        <v>365</v>
      </c>
      <c r="G227" s="70"/>
      <c r="H227" s="2">
        <v>2.7315252433204731</v>
      </c>
      <c r="I227" s="2">
        <v>1.3294776214683277</v>
      </c>
      <c r="J227" s="2">
        <v>9.7144922531852398</v>
      </c>
      <c r="K227" s="2">
        <v>0.92228031134892219</v>
      </c>
      <c r="L227" s="2">
        <v>0.1998605988593696</v>
      </c>
      <c r="S227" s="2">
        <v>14.897636028182333</v>
      </c>
      <c r="T227" s="70"/>
      <c r="U227" s="1">
        <v>0.79190260171890303</v>
      </c>
      <c r="V227" s="1">
        <v>1.03522267998769</v>
      </c>
      <c r="W227" s="1">
        <v>3.90792000293732</v>
      </c>
      <c r="X227" s="1">
        <v>1127.3722399999999</v>
      </c>
      <c r="Y227" s="1">
        <v>488</v>
      </c>
      <c r="Z227" s="70"/>
      <c r="AE227" s="10"/>
      <c r="AF227" s="11"/>
      <c r="AG227" s="11"/>
      <c r="AH227" s="11"/>
      <c r="AI227" s="11"/>
      <c r="AJ227" s="11"/>
      <c r="AK227" s="11"/>
      <c r="AM227" s="10"/>
      <c r="AN227" s="10"/>
      <c r="AO227" s="10"/>
      <c r="AP227" s="10"/>
      <c r="AQ227" s="10"/>
      <c r="AR227" s="10"/>
      <c r="AW227" s="26"/>
    </row>
    <row r="228" spans="1:52" x14ac:dyDescent="0.2">
      <c r="A228" s="1" t="s">
        <v>383</v>
      </c>
      <c r="B228" s="1" t="s">
        <v>222</v>
      </c>
      <c r="C228" s="29">
        <v>42826</v>
      </c>
      <c r="D228" s="9">
        <v>-24.958621999999998</v>
      </c>
      <c r="E228" s="9">
        <v>27.160361000000002</v>
      </c>
      <c r="F228" s="65" t="s">
        <v>365</v>
      </c>
      <c r="G228" s="70"/>
      <c r="I228" s="2">
        <v>3.1089357151702601</v>
      </c>
      <c r="J228" s="2">
        <v>2.3413289623500502</v>
      </c>
      <c r="K228" s="2">
        <v>1.228184077408536</v>
      </c>
      <c r="L228" s="2">
        <v>0.47046026682280606</v>
      </c>
      <c r="Q228" s="2">
        <v>0.159815873298537</v>
      </c>
      <c r="R228" s="2"/>
      <c r="S228" s="2">
        <v>7.3087248950501884</v>
      </c>
      <c r="T228" s="70"/>
      <c r="U228" s="1">
        <v>0.32201819121837599</v>
      </c>
      <c r="V228" s="1">
        <v>0.36486204368254499</v>
      </c>
      <c r="W228" s="1">
        <v>1.2667014300823201</v>
      </c>
      <c r="X228" s="1">
        <v>998.71111110000004</v>
      </c>
      <c r="Y228" s="1">
        <v>146</v>
      </c>
      <c r="Z228" s="70"/>
    </row>
    <row r="229" spans="1:52" x14ac:dyDescent="0.2">
      <c r="A229" s="1" t="s">
        <v>384</v>
      </c>
      <c r="B229" s="1" t="s">
        <v>228</v>
      </c>
      <c r="C229" s="29">
        <v>42259</v>
      </c>
      <c r="D229" s="9">
        <v>45.384892000000001</v>
      </c>
      <c r="E229" s="9">
        <v>-109.873947</v>
      </c>
      <c r="F229" s="65" t="s">
        <v>365</v>
      </c>
      <c r="G229" s="70"/>
      <c r="I229" s="2">
        <v>0.16289629799199801</v>
      </c>
      <c r="J229" s="2">
        <v>0.61343850314202397</v>
      </c>
      <c r="K229" s="2">
        <v>0.23446254998681482</v>
      </c>
      <c r="L229" s="2">
        <v>3.3184423852823698E-2</v>
      </c>
      <c r="S229" s="2">
        <v>1.0439817749736604</v>
      </c>
      <c r="T229" s="70"/>
      <c r="U229" s="1">
        <v>8.4601507186889595</v>
      </c>
      <c r="V229" s="1">
        <v>6.6889730054627403</v>
      </c>
      <c r="W229" s="1">
        <v>13.631954312324501</v>
      </c>
      <c r="X229" s="1">
        <v>2094.3301889999998</v>
      </c>
      <c r="Y229" s="1">
        <v>1798</v>
      </c>
      <c r="Z229" s="70"/>
    </row>
    <row r="230" spans="1:52" x14ac:dyDescent="0.2">
      <c r="A230" s="1" t="s">
        <v>385</v>
      </c>
      <c r="B230" s="1" t="s">
        <v>386</v>
      </c>
      <c r="C230" s="29">
        <v>41115</v>
      </c>
      <c r="D230" s="9">
        <v>-18.665192000000001</v>
      </c>
      <c r="E230" s="9">
        <v>30.355996999999999</v>
      </c>
      <c r="F230" s="65" t="s">
        <v>365</v>
      </c>
      <c r="G230" s="70"/>
      <c r="I230" s="2">
        <v>5.8459244711732152</v>
      </c>
      <c r="J230" s="2">
        <v>12.681846179563625</v>
      </c>
      <c r="K230" s="2">
        <v>1.8991550923377654</v>
      </c>
      <c r="L230" s="2">
        <v>0.27403763178709234</v>
      </c>
      <c r="S230" s="2">
        <v>20.700963374861693</v>
      </c>
      <c r="T230" s="70"/>
      <c r="U230" s="1">
        <v>0.86070811748504605</v>
      </c>
      <c r="V230" s="1">
        <v>0.580523124247601</v>
      </c>
      <c r="W230" s="1">
        <v>1.3104428052902199</v>
      </c>
      <c r="X230" s="1">
        <v>1240.6265820000001</v>
      </c>
      <c r="Y230" s="1">
        <v>190</v>
      </c>
      <c r="Z230" s="70"/>
      <c r="AA230" s="1" t="s">
        <v>86</v>
      </c>
      <c r="AB230" s="1" t="s">
        <v>101</v>
      </c>
      <c r="AC230" s="1" t="s">
        <v>88</v>
      </c>
      <c r="AY230" s="11">
        <v>32.926828109928593</v>
      </c>
    </row>
    <row r="231" spans="1:52" x14ac:dyDescent="0.2">
      <c r="A231" s="1" t="s">
        <v>387</v>
      </c>
      <c r="B231" s="1" t="s">
        <v>386</v>
      </c>
      <c r="C231" s="29">
        <v>41262</v>
      </c>
      <c r="D231" s="9">
        <v>-20.325806</v>
      </c>
      <c r="E231" s="9">
        <v>29.828821999999999</v>
      </c>
      <c r="F231" s="65" t="s">
        <v>365</v>
      </c>
      <c r="G231" s="70"/>
      <c r="H231" s="2">
        <v>1.2072628530412901E-3</v>
      </c>
      <c r="I231" s="2">
        <v>1.1739119668079321</v>
      </c>
      <c r="J231" s="2">
        <v>0.68151633092585373</v>
      </c>
      <c r="K231" s="2">
        <v>0.63907405155787145</v>
      </c>
      <c r="L231" s="2">
        <v>1.2797095712089885E-2</v>
      </c>
      <c r="O231" s="2">
        <v>1.5532859808919001E-2</v>
      </c>
      <c r="S231" s="2">
        <v>2.5240395676657075</v>
      </c>
      <c r="T231" s="70"/>
      <c r="U231" s="1">
        <v>0.64983421564102195</v>
      </c>
      <c r="V231" s="1">
        <v>0.767539708283001</v>
      </c>
      <c r="W231" s="1">
        <v>2.3662894219160102</v>
      </c>
      <c r="X231" s="1">
        <v>1052.2971250000001</v>
      </c>
      <c r="Y231" s="1">
        <v>294</v>
      </c>
      <c r="Z231" s="70"/>
      <c r="AA231" s="1" t="s">
        <v>86</v>
      </c>
      <c r="AB231" s="1" t="s">
        <v>91</v>
      </c>
      <c r="AC231" s="1" t="s">
        <v>88</v>
      </c>
      <c r="AD231" s="1">
        <v>10</v>
      </c>
      <c r="AE231" s="10">
        <v>17.457999999999998</v>
      </c>
      <c r="AF231" s="11">
        <v>1.8632575024438285</v>
      </c>
      <c r="AG231" s="11">
        <v>1.4737350273337069</v>
      </c>
      <c r="AH231" s="11">
        <v>0.1592867016696089</v>
      </c>
      <c r="AI231" s="11">
        <v>0.25750184313184549</v>
      </c>
      <c r="AJ231" s="11">
        <v>0.13639274279615796</v>
      </c>
      <c r="AK231" s="11">
        <v>0.11</v>
      </c>
      <c r="AM231" s="10">
        <v>24.719181900000002</v>
      </c>
      <c r="AN231" s="10">
        <v>18.675892100000002</v>
      </c>
      <c r="AO231" s="10">
        <v>1.9528001000000001</v>
      </c>
      <c r="AP231" s="10">
        <v>3.3194382205838169</v>
      </c>
      <c r="AQ231" s="10">
        <v>21.895</v>
      </c>
      <c r="AR231" s="10">
        <v>17.971070000000001</v>
      </c>
      <c r="AW231" s="26">
        <f>AE231-(AQ231*10/1000)</f>
        <v>17.239049999999999</v>
      </c>
      <c r="AY231" s="11">
        <v>0.73462512995842244</v>
      </c>
    </row>
    <row r="232" spans="1:52" x14ac:dyDescent="0.2">
      <c r="A232" s="1" t="s">
        <v>388</v>
      </c>
      <c r="B232" s="1" t="s">
        <v>386</v>
      </c>
      <c r="C232" s="29">
        <v>41897</v>
      </c>
      <c r="D232" s="9">
        <v>-19.622630000000001</v>
      </c>
      <c r="E232" s="9">
        <v>30.095009999999998</v>
      </c>
      <c r="F232" s="65" t="s">
        <v>365</v>
      </c>
      <c r="G232" s="70"/>
      <c r="I232" s="2">
        <v>0.91760999216102035</v>
      </c>
      <c r="J232" s="2">
        <v>2.093519199536046</v>
      </c>
      <c r="K232" s="2">
        <v>0.41980109548915523</v>
      </c>
      <c r="L232" s="2">
        <v>5.7107289538010902E-3</v>
      </c>
      <c r="S232" s="2">
        <v>3.4366410161400229</v>
      </c>
      <c r="T232" s="70"/>
      <c r="U232" s="1">
        <v>0.87940299510955799</v>
      </c>
      <c r="V232" s="1">
        <v>1.3741264849519099</v>
      </c>
      <c r="W232" s="1">
        <v>4.77140364050865</v>
      </c>
      <c r="X232" s="1">
        <v>1239.413462</v>
      </c>
      <c r="Y232" s="1">
        <v>393</v>
      </c>
      <c r="Z232" s="70"/>
      <c r="AA232" s="1" t="s">
        <v>86</v>
      </c>
      <c r="AB232" s="1" t="s">
        <v>91</v>
      </c>
      <c r="AC232" s="1" t="s">
        <v>88</v>
      </c>
      <c r="AD232" s="1">
        <v>4</v>
      </c>
      <c r="AE232" s="10">
        <v>5.9870000000000001</v>
      </c>
      <c r="AF232" s="11">
        <v>1.6354794120594622</v>
      </c>
      <c r="AG232" s="11">
        <v>1.348256788040755</v>
      </c>
      <c r="AH232" s="11">
        <v>0.14192176716218474</v>
      </c>
      <c r="AI232" s="11">
        <v>0.2534317270753299</v>
      </c>
      <c r="AJ232" s="11">
        <v>0.22</v>
      </c>
      <c r="AK232" s="11">
        <v>0.14000000000000001</v>
      </c>
      <c r="AM232" s="10">
        <v>7.5479700000000003</v>
      </c>
      <c r="AN232" s="10">
        <v>5.2869999999999999</v>
      </c>
      <c r="AO232" s="10">
        <v>0.59089999999999998</v>
      </c>
      <c r="AP232" s="10">
        <v>0.81481999999999999</v>
      </c>
      <c r="AQ232" s="10">
        <v>4.8</v>
      </c>
      <c r="AR232" s="10">
        <v>6.3</v>
      </c>
      <c r="AW232" s="26">
        <f>AE232-(AQ232*10/1000)</f>
        <v>5.9390000000000001</v>
      </c>
      <c r="AY232" s="1">
        <v>0</v>
      </c>
    </row>
    <row r="233" spans="1:52" x14ac:dyDescent="0.2">
      <c r="A233" s="1" t="s">
        <v>389</v>
      </c>
      <c r="B233" s="1" t="s">
        <v>124</v>
      </c>
      <c r="C233" s="29">
        <v>42145</v>
      </c>
      <c r="D233" s="9">
        <v>49.169170000000001</v>
      </c>
      <c r="E233" s="9">
        <v>-89.610560000000007</v>
      </c>
      <c r="F233" s="65" t="s">
        <v>365</v>
      </c>
      <c r="G233" s="70"/>
      <c r="H233" s="2">
        <v>0.40825680775027701</v>
      </c>
      <c r="I233" s="2">
        <v>2.9600294518311476</v>
      </c>
      <c r="J233" s="2">
        <v>5.5394848357252897</v>
      </c>
      <c r="K233" s="2">
        <v>0.44749101835639682</v>
      </c>
      <c r="L233" s="2">
        <v>8.7719033398385896E-2</v>
      </c>
      <c r="S233" s="2">
        <v>9.4429811470614968</v>
      </c>
      <c r="T233" s="70"/>
      <c r="U233" s="1">
        <v>0.43828964233398399</v>
      </c>
      <c r="V233" s="1">
        <v>0.38896643890748001</v>
      </c>
      <c r="W233" s="1">
        <v>0.83342055976390805</v>
      </c>
      <c r="X233" s="1">
        <v>492.49841270000002</v>
      </c>
      <c r="Y233" s="1">
        <v>90</v>
      </c>
      <c r="Z233" s="70"/>
      <c r="AA233" s="1" t="s">
        <v>86</v>
      </c>
      <c r="AB233" s="1" t="s">
        <v>96</v>
      </c>
      <c r="AC233" s="1" t="s">
        <v>88</v>
      </c>
      <c r="AD233" s="1">
        <v>22</v>
      </c>
      <c r="AE233" s="10">
        <v>52.658766788800001</v>
      </c>
      <c r="AF233" s="11">
        <v>0.200991997624685</v>
      </c>
      <c r="AG233" s="11">
        <v>2.5845312139544205</v>
      </c>
      <c r="AI233" s="11">
        <v>0.18267770189353016</v>
      </c>
      <c r="AJ233" s="2">
        <v>4.4333675977995902E-2</v>
      </c>
      <c r="AK233" s="2">
        <v>7.5521101986253461E-2</v>
      </c>
      <c r="AM233" s="10">
        <v>7.9421182960000003</v>
      </c>
      <c r="AN233" s="10">
        <v>99.179147143999984</v>
      </c>
      <c r="AP233" s="10">
        <v>7.1507466000000024</v>
      </c>
      <c r="AQ233" s="10">
        <v>16.59690592397714</v>
      </c>
      <c r="AR233" s="10">
        <v>29.72994847137803</v>
      </c>
      <c r="AW233" s="26">
        <f>AE233-(AQ233*10/1000)</f>
        <v>52.49279772956023</v>
      </c>
      <c r="AX233" s="10">
        <v>110.7772354544</v>
      </c>
      <c r="AY233" s="11">
        <v>78.595265921804057</v>
      </c>
      <c r="AZ233" s="10">
        <f>AE233+AX233</f>
        <v>163.43600224319999</v>
      </c>
    </row>
    <row r="234" spans="1:52" x14ac:dyDescent="0.2">
      <c r="A234" s="37" t="s">
        <v>390</v>
      </c>
      <c r="B234" s="37" t="s">
        <v>390</v>
      </c>
      <c r="C234" s="37" t="s">
        <v>390</v>
      </c>
      <c r="D234" s="37" t="s">
        <v>390</v>
      </c>
      <c r="E234" s="37" t="s">
        <v>390</v>
      </c>
      <c r="F234" s="37" t="s">
        <v>390</v>
      </c>
      <c r="G234" s="72"/>
      <c r="H234" s="37" t="s">
        <v>390</v>
      </c>
      <c r="I234" s="37" t="s">
        <v>390</v>
      </c>
      <c r="J234" s="37" t="s">
        <v>390</v>
      </c>
      <c r="K234" s="37" t="s">
        <v>390</v>
      </c>
      <c r="L234" s="37" t="s">
        <v>390</v>
      </c>
      <c r="M234" s="37" t="s">
        <v>390</v>
      </c>
      <c r="N234" s="37" t="s">
        <v>390</v>
      </c>
      <c r="O234" s="37" t="s">
        <v>390</v>
      </c>
      <c r="P234" s="37" t="s">
        <v>390</v>
      </c>
      <c r="Q234" s="37" t="s">
        <v>390</v>
      </c>
      <c r="R234" s="37" t="s">
        <v>390</v>
      </c>
      <c r="S234" s="37" t="s">
        <v>390</v>
      </c>
      <c r="T234" s="72"/>
      <c r="Z234" s="72"/>
      <c r="AA234" s="37" t="s">
        <v>390</v>
      </c>
      <c r="AB234" s="37" t="s">
        <v>390</v>
      </c>
      <c r="AC234" s="37" t="s">
        <v>390</v>
      </c>
      <c r="AD234" s="37" t="s">
        <v>390</v>
      </c>
      <c r="AE234" s="37" t="s">
        <v>390</v>
      </c>
      <c r="AF234" s="37" t="s">
        <v>390</v>
      </c>
      <c r="AG234" s="37" t="s">
        <v>390</v>
      </c>
      <c r="AH234" s="37" t="s">
        <v>390</v>
      </c>
      <c r="AI234" s="37" t="s">
        <v>390</v>
      </c>
      <c r="AJ234" s="37" t="s">
        <v>390</v>
      </c>
      <c r="AK234" s="37" t="s">
        <v>390</v>
      </c>
      <c r="AL234" s="37" t="s">
        <v>390</v>
      </c>
      <c r="AM234" s="37" t="s">
        <v>390</v>
      </c>
      <c r="AN234" s="37" t="s">
        <v>390</v>
      </c>
      <c r="AO234" s="37" t="s">
        <v>390</v>
      </c>
      <c r="AP234" s="37" t="s">
        <v>390</v>
      </c>
      <c r="AQ234" s="37" t="s">
        <v>390</v>
      </c>
      <c r="AR234" s="37" t="s">
        <v>390</v>
      </c>
      <c r="AS234" s="37" t="s">
        <v>390</v>
      </c>
      <c r="AT234" s="37" t="s">
        <v>390</v>
      </c>
      <c r="AU234" s="37" t="s">
        <v>390</v>
      </c>
      <c r="AV234" s="37" t="s">
        <v>390</v>
      </c>
      <c r="AW234" s="37" t="s">
        <v>390</v>
      </c>
      <c r="AX234" s="37" t="s">
        <v>390</v>
      </c>
      <c r="AY234" s="37" t="s">
        <v>390</v>
      </c>
      <c r="AZ234" s="37" t="s">
        <v>390</v>
      </c>
    </row>
    <row r="235" spans="1:52" s="4" customFormat="1" x14ac:dyDescent="0.2">
      <c r="A235" s="4" t="s">
        <v>11</v>
      </c>
      <c r="B235" s="4" t="s">
        <v>12</v>
      </c>
      <c r="C235" s="4" t="s">
        <v>13</v>
      </c>
      <c r="D235" s="4" t="s">
        <v>14</v>
      </c>
      <c r="E235" s="4" t="s">
        <v>15</v>
      </c>
      <c r="F235" s="63" t="s">
        <v>515</v>
      </c>
      <c r="G235" s="68"/>
      <c r="H235" s="4" t="s">
        <v>21</v>
      </c>
      <c r="I235" s="4" t="s">
        <v>22</v>
      </c>
      <c r="J235" s="4" t="s">
        <v>23</v>
      </c>
      <c r="K235" s="4" t="s">
        <v>24</v>
      </c>
      <c r="L235" s="4" t="s">
        <v>25</v>
      </c>
      <c r="M235" s="4" t="s">
        <v>26</v>
      </c>
      <c r="N235" s="4" t="s">
        <v>27</v>
      </c>
      <c r="O235" s="4" t="s">
        <v>28</v>
      </c>
      <c r="P235" s="4" t="s">
        <v>29</v>
      </c>
      <c r="Q235" s="4" t="s">
        <v>30</v>
      </c>
      <c r="R235" s="4" t="s">
        <v>31</v>
      </c>
      <c r="S235" s="4" t="s">
        <v>20</v>
      </c>
      <c r="T235" s="68"/>
      <c r="Z235" s="68"/>
      <c r="AA235" s="4" t="s">
        <v>16</v>
      </c>
      <c r="AB235" s="4" t="s">
        <v>17</v>
      </c>
      <c r="AC235" s="4" t="s">
        <v>17</v>
      </c>
      <c r="AD235" s="4" t="s">
        <v>18</v>
      </c>
      <c r="AE235" s="4" t="s">
        <v>19</v>
      </c>
      <c r="AF235" s="4" t="s">
        <v>19</v>
      </c>
      <c r="AG235" s="4" t="s">
        <v>19</v>
      </c>
      <c r="AH235" s="4" t="s">
        <v>19</v>
      </c>
      <c r="AI235" s="4" t="s">
        <v>19</v>
      </c>
      <c r="AJ235" s="4" t="s">
        <v>19</v>
      </c>
      <c r="AK235" s="4" t="s">
        <v>19</v>
      </c>
      <c r="AL235" s="4" t="s">
        <v>19</v>
      </c>
      <c r="AM235" s="4" t="s">
        <v>19</v>
      </c>
      <c r="AN235" s="4" t="s">
        <v>19</v>
      </c>
      <c r="AO235" s="4" t="s">
        <v>19</v>
      </c>
      <c r="AP235" s="4" t="s">
        <v>19</v>
      </c>
      <c r="AQ235" s="4" t="s">
        <v>19</v>
      </c>
      <c r="AR235" s="4" t="s">
        <v>19</v>
      </c>
      <c r="AS235" s="4" t="s">
        <v>19</v>
      </c>
      <c r="AT235" s="4" t="s">
        <v>19</v>
      </c>
      <c r="AU235" s="4" t="s">
        <v>19</v>
      </c>
      <c r="AV235" s="4" t="s">
        <v>19</v>
      </c>
      <c r="AW235" s="4" t="s">
        <v>19</v>
      </c>
      <c r="AX235" s="4" t="s">
        <v>19</v>
      </c>
      <c r="AY235" s="4" t="s">
        <v>19</v>
      </c>
      <c r="AZ235" s="4" t="s">
        <v>20</v>
      </c>
    </row>
    <row r="236" spans="1:52" s="4" customFormat="1" ht="13.5" x14ac:dyDescent="0.2">
      <c r="A236" s="4" t="s">
        <v>11</v>
      </c>
      <c r="B236" s="4" t="s">
        <v>12</v>
      </c>
      <c r="C236" s="4" t="s">
        <v>33</v>
      </c>
      <c r="D236" s="4" t="s">
        <v>14</v>
      </c>
      <c r="E236" s="4" t="s">
        <v>15</v>
      </c>
      <c r="F236" s="63" t="s">
        <v>516</v>
      </c>
      <c r="G236" s="68"/>
      <c r="H236" s="4" t="s">
        <v>514</v>
      </c>
      <c r="I236" s="4" t="s">
        <v>514</v>
      </c>
      <c r="J236" s="4" t="s">
        <v>514</v>
      </c>
      <c r="K236" s="4" t="s">
        <v>514</v>
      </c>
      <c r="L236" s="4" t="s">
        <v>514</v>
      </c>
      <c r="M236" s="4" t="s">
        <v>514</v>
      </c>
      <c r="N236" s="4" t="s">
        <v>514</v>
      </c>
      <c r="O236" s="4" t="s">
        <v>514</v>
      </c>
      <c r="P236" s="4" t="s">
        <v>514</v>
      </c>
      <c r="Q236" s="4" t="s">
        <v>514</v>
      </c>
      <c r="R236" s="4" t="s">
        <v>514</v>
      </c>
      <c r="S236" s="4" t="s">
        <v>514</v>
      </c>
      <c r="T236" s="68"/>
      <c r="Z236" s="68"/>
      <c r="AA236" s="4" t="s">
        <v>34</v>
      </c>
      <c r="AB236" s="4" t="s">
        <v>35</v>
      </c>
      <c r="AC236" s="4" t="s">
        <v>35</v>
      </c>
      <c r="AD236" s="4" t="s">
        <v>36</v>
      </c>
      <c r="AE236" s="4" t="s">
        <v>37</v>
      </c>
      <c r="AF236" s="4" t="s">
        <v>37</v>
      </c>
      <c r="AG236" s="4" t="s">
        <v>37</v>
      </c>
      <c r="AH236" s="4" t="s">
        <v>37</v>
      </c>
      <c r="AI236" s="4" t="s">
        <v>37</v>
      </c>
      <c r="AJ236" s="4" t="s">
        <v>37</v>
      </c>
      <c r="AK236" s="4" t="s">
        <v>37</v>
      </c>
      <c r="AL236" s="4" t="s">
        <v>37</v>
      </c>
      <c r="AM236" s="4" t="s">
        <v>37</v>
      </c>
      <c r="AN236" s="4" t="s">
        <v>37</v>
      </c>
      <c r="AO236" s="4" t="s">
        <v>37</v>
      </c>
      <c r="AP236" s="4" t="s">
        <v>37</v>
      </c>
      <c r="AQ236" s="4" t="s">
        <v>37</v>
      </c>
      <c r="AR236" s="4" t="s">
        <v>37</v>
      </c>
      <c r="AS236" s="4" t="s">
        <v>37</v>
      </c>
      <c r="AT236" s="4" t="s">
        <v>37</v>
      </c>
      <c r="AU236" s="4" t="s">
        <v>37</v>
      </c>
      <c r="AV236" s="4" t="s">
        <v>37</v>
      </c>
      <c r="AW236" s="4" t="s">
        <v>37</v>
      </c>
      <c r="AX236" s="4" t="s">
        <v>37</v>
      </c>
      <c r="AY236" s="4" t="s">
        <v>37</v>
      </c>
      <c r="AZ236" s="4" t="s">
        <v>38</v>
      </c>
    </row>
    <row r="237" spans="1:52" s="4" customFormat="1" x14ac:dyDescent="0.2">
      <c r="A237" s="4" t="s">
        <v>11</v>
      </c>
      <c r="B237" s="4" t="s">
        <v>12</v>
      </c>
      <c r="C237" s="4" t="s">
        <v>45</v>
      </c>
      <c r="D237" s="4" t="s">
        <v>14</v>
      </c>
      <c r="E237" s="4" t="s">
        <v>15</v>
      </c>
      <c r="G237" s="69"/>
      <c r="T237" s="69"/>
      <c r="Z237" s="69"/>
      <c r="AA237" s="4" t="s">
        <v>46</v>
      </c>
      <c r="AB237" s="4" t="s">
        <v>11</v>
      </c>
      <c r="AC237" s="4" t="s">
        <v>47</v>
      </c>
      <c r="AD237" s="4" t="s">
        <v>48</v>
      </c>
      <c r="AE237" s="4" t="s">
        <v>42</v>
      </c>
      <c r="AF237" s="4" t="s">
        <v>50</v>
      </c>
      <c r="AG237" s="4" t="s">
        <v>51</v>
      </c>
      <c r="AH237" s="4" t="s">
        <v>44</v>
      </c>
      <c r="AI237" s="4" t="s">
        <v>53</v>
      </c>
      <c r="AJ237" s="4" t="s">
        <v>53</v>
      </c>
      <c r="AM237" s="4" t="s">
        <v>55</v>
      </c>
      <c r="AN237" s="4" t="s">
        <v>56</v>
      </c>
      <c r="AO237" s="4" t="s">
        <v>43</v>
      </c>
      <c r="AP237" s="4" t="s">
        <v>53</v>
      </c>
      <c r="AQ237" s="4" t="s">
        <v>53</v>
      </c>
      <c r="AT237" s="4" t="s">
        <v>61</v>
      </c>
      <c r="AU237" s="4" t="s">
        <v>50</v>
      </c>
      <c r="AV237" s="4" t="s">
        <v>55</v>
      </c>
      <c r="AW237" s="4" t="s">
        <v>64</v>
      </c>
      <c r="AX237" s="4" t="s">
        <v>65</v>
      </c>
      <c r="AY237" s="4" t="s">
        <v>66</v>
      </c>
      <c r="AZ237" s="4" t="s">
        <v>67</v>
      </c>
    </row>
    <row r="238" spans="1:52" x14ac:dyDescent="0.2">
      <c r="A238" s="1" t="s">
        <v>391</v>
      </c>
      <c r="B238" s="1" t="s">
        <v>84</v>
      </c>
      <c r="C238" s="8">
        <v>41988</v>
      </c>
      <c r="D238" s="9">
        <v>-29.371390000000002</v>
      </c>
      <c r="E238" s="9">
        <v>-69.952780000000004</v>
      </c>
      <c r="F238" s="65" t="s">
        <v>390</v>
      </c>
      <c r="G238" s="70"/>
      <c r="H238" s="2">
        <v>2.5789699395133314</v>
      </c>
      <c r="I238" s="2" t="s">
        <v>114</v>
      </c>
      <c r="J238" s="2">
        <v>4.4067066444790832</v>
      </c>
      <c r="K238" s="2">
        <v>1.2566086610956211</v>
      </c>
      <c r="L238" s="2">
        <v>0.1051541410569623</v>
      </c>
      <c r="M238" s="2">
        <v>1.68497359339237</v>
      </c>
      <c r="N238" s="2" t="s">
        <v>114</v>
      </c>
      <c r="O238" s="2" t="s">
        <v>114</v>
      </c>
      <c r="P238" s="2" t="s">
        <v>114</v>
      </c>
      <c r="Q238" s="2" t="s">
        <v>114</v>
      </c>
      <c r="R238" s="2" t="s">
        <v>114</v>
      </c>
      <c r="S238" s="2">
        <v>10.032412979537368</v>
      </c>
      <c r="T238" s="70"/>
      <c r="U238" s="1">
        <v>4.67887210845947</v>
      </c>
      <c r="V238" s="1">
        <v>5.8342401404411399</v>
      </c>
      <c r="W238" s="1">
        <v>10.8782123327255</v>
      </c>
      <c r="X238" s="1">
        <v>4184.128205</v>
      </c>
      <c r="Y238" s="1">
        <v>1567</v>
      </c>
      <c r="Z238" s="70"/>
      <c r="AA238" s="1" t="s">
        <v>86</v>
      </c>
      <c r="AB238" s="1" t="s">
        <v>87</v>
      </c>
      <c r="AC238" s="1" t="s">
        <v>113</v>
      </c>
      <c r="AD238" s="1">
        <v>10</v>
      </c>
      <c r="AT238" s="10">
        <v>233.70009440000001</v>
      </c>
      <c r="AU238" s="11">
        <v>1.1634725865134268</v>
      </c>
      <c r="AV238" s="10">
        <v>198.85339999999999</v>
      </c>
      <c r="AX238" s="10">
        <v>533.99539040000002</v>
      </c>
      <c r="AY238" s="1">
        <v>100</v>
      </c>
      <c r="AZ238" s="10">
        <f>AT238+AX238</f>
        <v>767.69548480000003</v>
      </c>
    </row>
    <row r="239" spans="1:52" x14ac:dyDescent="0.2">
      <c r="A239" s="1" t="s">
        <v>392</v>
      </c>
      <c r="B239" s="1" t="s">
        <v>84</v>
      </c>
      <c r="C239" s="8">
        <v>38605</v>
      </c>
      <c r="D239" s="9">
        <v>-48.398609999999998</v>
      </c>
      <c r="E239" s="9">
        <v>-68.29083</v>
      </c>
      <c r="F239" s="65" t="s">
        <v>393</v>
      </c>
      <c r="G239" s="70"/>
      <c r="H239" s="2">
        <v>1.2796517836347634</v>
      </c>
      <c r="I239" s="2">
        <v>0.63519073457467501</v>
      </c>
      <c r="J239" s="2">
        <v>3.6358277287775329</v>
      </c>
      <c r="K239" s="2">
        <v>0.46989609267514881</v>
      </c>
      <c r="L239" s="2">
        <v>0.12993069841325999</v>
      </c>
      <c r="M239" s="2" t="s">
        <v>114</v>
      </c>
      <c r="N239" s="2" t="s">
        <v>114</v>
      </c>
      <c r="O239" s="2" t="s">
        <v>114</v>
      </c>
      <c r="P239" s="2" t="s">
        <v>114</v>
      </c>
      <c r="Q239" s="2" t="s">
        <v>114</v>
      </c>
      <c r="R239" s="2" t="s">
        <v>114</v>
      </c>
      <c r="S239" s="2">
        <v>6.1504970380753798</v>
      </c>
      <c r="T239" s="70"/>
      <c r="U239" s="1">
        <v>0.29073904454708099</v>
      </c>
      <c r="V239" s="1">
        <v>0.30146928448876398</v>
      </c>
      <c r="W239" s="1">
        <v>0.381505757570267</v>
      </c>
      <c r="X239" s="1">
        <v>261.1009464</v>
      </c>
      <c r="Y239" s="1">
        <v>135</v>
      </c>
      <c r="Z239" s="70"/>
    </row>
    <row r="240" spans="1:52" x14ac:dyDescent="0.2">
      <c r="A240" s="1" t="s">
        <v>394</v>
      </c>
      <c r="B240" s="1" t="s">
        <v>84</v>
      </c>
      <c r="C240" s="8">
        <v>40789</v>
      </c>
      <c r="D240" s="9">
        <v>-31.210830000000001</v>
      </c>
      <c r="E240" s="9">
        <v>-69.629180000000005</v>
      </c>
      <c r="F240" s="65" t="s">
        <v>393</v>
      </c>
      <c r="G240" s="70"/>
      <c r="H240" s="2" t="s">
        <v>114</v>
      </c>
      <c r="I240" s="2" t="s">
        <v>114</v>
      </c>
      <c r="J240" s="2">
        <v>0.27242483628926434</v>
      </c>
      <c r="K240" s="2">
        <v>0.1005166466933563</v>
      </c>
      <c r="L240" s="2">
        <v>3.1071788334213141E-3</v>
      </c>
      <c r="M240" s="2">
        <v>3.6715954956442101E-2</v>
      </c>
      <c r="N240" s="2" t="s">
        <v>114</v>
      </c>
      <c r="O240" s="2" t="s">
        <v>114</v>
      </c>
      <c r="P240" s="2" t="s">
        <v>114</v>
      </c>
      <c r="Q240" s="2" t="s">
        <v>114</v>
      </c>
      <c r="R240" s="2" t="s">
        <v>114</v>
      </c>
      <c r="S240" s="2">
        <v>0.41276461677248405</v>
      </c>
      <c r="T240" s="70"/>
      <c r="U240" s="1">
        <v>5.0206894874572798</v>
      </c>
      <c r="V240" s="1">
        <v>4.6558137132897697</v>
      </c>
      <c r="W240" s="1">
        <v>5.4344353675842303</v>
      </c>
      <c r="X240" s="1">
        <v>2326.0355989999998</v>
      </c>
      <c r="Y240" s="1">
        <v>1604</v>
      </c>
      <c r="Z240" s="70"/>
    </row>
    <row r="241" spans="1:52" x14ac:dyDescent="0.2">
      <c r="A241" s="1" t="s">
        <v>395</v>
      </c>
      <c r="B241" s="1" t="s">
        <v>90</v>
      </c>
      <c r="C241" s="34">
        <v>42303</v>
      </c>
      <c r="D241" s="9">
        <v>-30.775706</v>
      </c>
      <c r="E241" s="9">
        <v>121.504745</v>
      </c>
      <c r="F241" s="65" t="s">
        <v>390</v>
      </c>
      <c r="G241" s="70"/>
      <c r="H241" s="2">
        <v>3.3406824803382298</v>
      </c>
      <c r="I241" s="2">
        <v>6.048167999394642</v>
      </c>
      <c r="J241" s="2">
        <v>18.196934663664855</v>
      </c>
      <c r="K241" s="2">
        <v>0.89421429887724946</v>
      </c>
      <c r="L241" s="2">
        <v>0.4291935613191869</v>
      </c>
      <c r="M241" s="2" t="s">
        <v>114</v>
      </c>
      <c r="N241" s="2" t="s">
        <v>114</v>
      </c>
      <c r="O241" s="2" t="s">
        <v>114</v>
      </c>
      <c r="P241" s="2" t="s">
        <v>114</v>
      </c>
      <c r="Q241" s="2" t="s">
        <v>114</v>
      </c>
      <c r="R241" s="2" t="s">
        <v>114</v>
      </c>
      <c r="S241" s="2">
        <v>28.909193003594165</v>
      </c>
      <c r="T241" s="70"/>
      <c r="U241" s="1">
        <v>0.41269701719284102</v>
      </c>
      <c r="V241" s="1">
        <v>0.37893677507631301</v>
      </c>
      <c r="W241" s="1">
        <v>0.83545881509780895</v>
      </c>
      <c r="X241" s="1">
        <v>360.46006390000002</v>
      </c>
      <c r="Y241" s="1">
        <v>98</v>
      </c>
      <c r="Z241" s="70"/>
    </row>
    <row r="242" spans="1:52" x14ac:dyDescent="0.2">
      <c r="A242" s="1" t="s">
        <v>396</v>
      </c>
      <c r="B242" s="1" t="s">
        <v>90</v>
      </c>
      <c r="C242" s="8">
        <v>42336</v>
      </c>
      <c r="D242" s="9">
        <v>-28.812000000000001</v>
      </c>
      <c r="E242" s="9">
        <v>122.423</v>
      </c>
      <c r="F242" s="65" t="s">
        <v>390</v>
      </c>
      <c r="G242" s="70"/>
      <c r="H242" s="2">
        <v>1.0544726708466288</v>
      </c>
      <c r="I242" s="2">
        <v>2.4579095385608056</v>
      </c>
      <c r="J242" s="2">
        <v>3.6617833230306358</v>
      </c>
      <c r="K242" s="2">
        <v>0.44473439241460627</v>
      </c>
      <c r="L242" s="2">
        <v>2.9897832056598673E-2</v>
      </c>
      <c r="M242" s="2" t="s">
        <v>114</v>
      </c>
      <c r="N242" s="2" t="s">
        <v>114</v>
      </c>
      <c r="O242" s="2" t="s">
        <v>114</v>
      </c>
      <c r="P242" s="2" t="s">
        <v>114</v>
      </c>
      <c r="Q242" s="2" t="s">
        <v>114</v>
      </c>
      <c r="R242" s="2" t="s">
        <v>114</v>
      </c>
      <c r="S242" s="2">
        <v>7.6487977569092758</v>
      </c>
      <c r="T242" s="70"/>
      <c r="U242" s="1">
        <v>0.222202032804489</v>
      </c>
      <c r="V242" s="1">
        <v>0.24533442598303401</v>
      </c>
      <c r="W242" s="1">
        <v>0.53804492205381405</v>
      </c>
      <c r="X242" s="1">
        <v>427.98392280000002</v>
      </c>
      <c r="Y242" s="1">
        <v>82</v>
      </c>
      <c r="Z242" s="70"/>
    </row>
    <row r="243" spans="1:52" x14ac:dyDescent="0.2">
      <c r="A243" s="1" t="s">
        <v>397</v>
      </c>
      <c r="B243" s="1" t="s">
        <v>90</v>
      </c>
      <c r="C243" s="8">
        <v>41345</v>
      </c>
      <c r="D243" s="9">
        <v>-33.637360000000001</v>
      </c>
      <c r="E243" s="9">
        <v>147.40530000000001</v>
      </c>
      <c r="F243" s="65" t="s">
        <v>393</v>
      </c>
      <c r="G243" s="70"/>
      <c r="H243" s="2">
        <v>1.6314689120364101</v>
      </c>
      <c r="I243" s="2">
        <v>2.95476102448391</v>
      </c>
      <c r="J243" s="2">
        <v>5.7572589915083743</v>
      </c>
      <c r="K243" s="2">
        <v>0.30402687864032302</v>
      </c>
      <c r="L243" s="2">
        <v>0.16505002736599333</v>
      </c>
      <c r="M243" s="2" t="s">
        <v>114</v>
      </c>
      <c r="N243" s="2" t="s">
        <v>114</v>
      </c>
      <c r="O243" s="2" t="s">
        <v>114</v>
      </c>
      <c r="P243" s="2" t="s">
        <v>114</v>
      </c>
      <c r="Q243" s="2" t="s">
        <v>114</v>
      </c>
      <c r="R243" s="2" t="s">
        <v>114</v>
      </c>
      <c r="S243" s="2">
        <v>10.812565834035011</v>
      </c>
      <c r="T243" s="70"/>
      <c r="U243" s="1">
        <v>0.23445583879947701</v>
      </c>
      <c r="V243" s="1">
        <v>0.26451840430504803</v>
      </c>
      <c r="W243" s="1">
        <v>0.77492849685950205</v>
      </c>
      <c r="X243" s="1">
        <v>224.0128205</v>
      </c>
      <c r="Y243" s="1">
        <v>77</v>
      </c>
      <c r="Z243" s="70"/>
      <c r="AA243" s="1" t="s">
        <v>86</v>
      </c>
      <c r="AB243" s="1" t="s">
        <v>87</v>
      </c>
      <c r="AC243" s="1" t="s">
        <v>398</v>
      </c>
      <c r="AD243" s="1">
        <v>8</v>
      </c>
      <c r="AE243" s="10">
        <v>48.107908799999997</v>
      </c>
      <c r="AF243" s="11">
        <v>1.3656829228045764</v>
      </c>
      <c r="AM243" s="10">
        <v>52.87</v>
      </c>
      <c r="AW243" s="10">
        <v>48.107908799999997</v>
      </c>
      <c r="AX243" s="10">
        <v>182.6075664</v>
      </c>
      <c r="AY243" s="1">
        <v>100</v>
      </c>
      <c r="AZ243" s="10">
        <f>AE243+AX243</f>
        <v>230.71547519999999</v>
      </c>
    </row>
    <row r="244" spans="1:52" x14ac:dyDescent="0.2">
      <c r="A244" s="1" t="s">
        <v>399</v>
      </c>
      <c r="B244" s="1" t="s">
        <v>90</v>
      </c>
      <c r="C244" s="8">
        <v>42691</v>
      </c>
      <c r="D244" s="9">
        <v>-36.719729999999998</v>
      </c>
      <c r="E244" s="9">
        <v>144.49888999999999</v>
      </c>
      <c r="F244" s="65" t="s">
        <v>390</v>
      </c>
      <c r="G244" s="70"/>
      <c r="H244" s="2">
        <v>0.66086738380556853</v>
      </c>
      <c r="I244" s="2">
        <v>0.58530833346018862</v>
      </c>
      <c r="J244" s="2">
        <v>1.0678633581018433</v>
      </c>
      <c r="K244" s="2">
        <v>0.18105141453153589</v>
      </c>
      <c r="L244" s="2">
        <v>0.14076870482746454</v>
      </c>
      <c r="M244" s="2">
        <v>0.44961363324822301</v>
      </c>
      <c r="N244" s="2" t="s">
        <v>114</v>
      </c>
      <c r="O244" s="2" t="s">
        <v>114</v>
      </c>
      <c r="P244" s="2" t="s">
        <v>114</v>
      </c>
      <c r="Q244" s="2" t="s">
        <v>114</v>
      </c>
      <c r="R244" s="2" t="s">
        <v>114</v>
      </c>
      <c r="S244" s="2">
        <v>3.085472827974824</v>
      </c>
      <c r="T244" s="70"/>
      <c r="U244" s="1">
        <v>0.34586912393569902</v>
      </c>
      <c r="V244" s="1">
        <v>0.31488294976825898</v>
      </c>
      <c r="W244" s="1">
        <v>1.0398612767458</v>
      </c>
      <c r="X244" s="1">
        <v>166.8626198</v>
      </c>
      <c r="Y244" s="1">
        <v>110</v>
      </c>
      <c r="Z244" s="70"/>
    </row>
    <row r="245" spans="1:52" x14ac:dyDescent="0.2">
      <c r="A245" s="1" t="s">
        <v>400</v>
      </c>
      <c r="B245" s="1" t="s">
        <v>90</v>
      </c>
      <c r="C245" s="8">
        <v>42494</v>
      </c>
      <c r="D245" s="9">
        <v>-25.27</v>
      </c>
      <c r="E245" s="9">
        <v>151.77000000000001</v>
      </c>
      <c r="F245" s="65" t="s">
        <v>393</v>
      </c>
      <c r="G245" s="70"/>
      <c r="H245" s="2">
        <v>0.67707824314731302</v>
      </c>
      <c r="I245" s="2">
        <v>1.1608875873715401</v>
      </c>
      <c r="J245" s="2">
        <v>2.1899935370363397</v>
      </c>
      <c r="K245" s="2">
        <v>0.16682804122354078</v>
      </c>
      <c r="L245" s="2">
        <v>0.10276102749777204</v>
      </c>
      <c r="M245" s="2" t="s">
        <v>114</v>
      </c>
      <c r="N245" s="2" t="s">
        <v>114</v>
      </c>
      <c r="O245" s="2" t="s">
        <v>114</v>
      </c>
      <c r="P245" s="2" t="s">
        <v>114</v>
      </c>
      <c r="Q245" s="2" t="s">
        <v>114</v>
      </c>
      <c r="R245" s="2" t="s">
        <v>114</v>
      </c>
      <c r="S245" s="2">
        <v>4.2975484362765055</v>
      </c>
      <c r="T245" s="70"/>
      <c r="U245" s="1">
        <v>1.23374223709106</v>
      </c>
      <c r="V245" s="1">
        <v>1.74090056225752</v>
      </c>
      <c r="W245" s="1">
        <v>4.3943891823291796</v>
      </c>
      <c r="X245" s="1">
        <v>189.81528660000001</v>
      </c>
      <c r="Y245" s="1">
        <v>560</v>
      </c>
      <c r="Z245" s="70"/>
      <c r="AA245" s="1" t="s">
        <v>86</v>
      </c>
      <c r="AB245" s="1" t="s">
        <v>87</v>
      </c>
      <c r="AC245" s="1" t="s">
        <v>401</v>
      </c>
      <c r="AD245" s="1">
        <v>16</v>
      </c>
      <c r="AE245" s="10">
        <v>49.307814</v>
      </c>
      <c r="AF245" s="11">
        <v>1.0213341895465089</v>
      </c>
      <c r="AM245" s="10">
        <v>45.025802499999998</v>
      </c>
      <c r="AW245" s="10">
        <v>49.307814</v>
      </c>
      <c r="AX245" s="10">
        <v>163.55039846707899</v>
      </c>
      <c r="AY245" s="1">
        <v>100</v>
      </c>
      <c r="AZ245" s="10">
        <f>AE245+AX245</f>
        <v>212.858212467079</v>
      </c>
    </row>
    <row r="246" spans="1:52" x14ac:dyDescent="0.2">
      <c r="A246" s="1" t="s">
        <v>402</v>
      </c>
      <c r="B246" s="1" t="s">
        <v>90</v>
      </c>
      <c r="C246" s="8">
        <v>42706</v>
      </c>
      <c r="D246" s="9">
        <v>-25.311959999999999</v>
      </c>
      <c r="E246" s="9">
        <v>150.31145000000001</v>
      </c>
      <c r="F246" s="65" t="s">
        <v>393</v>
      </c>
      <c r="G246" s="70"/>
      <c r="H246" s="2">
        <v>0.1982809784211951</v>
      </c>
      <c r="I246" s="2">
        <v>0.27333612068767998</v>
      </c>
      <c r="J246" s="2">
        <v>0.63184875538568375</v>
      </c>
      <c r="K246" s="2">
        <v>0.16586956618712256</v>
      </c>
      <c r="L246" s="2">
        <v>7.8141132063344002E-3</v>
      </c>
      <c r="M246" s="2" t="s">
        <v>114</v>
      </c>
      <c r="N246" s="2" t="s">
        <v>114</v>
      </c>
      <c r="O246" s="2" t="s">
        <v>114</v>
      </c>
      <c r="P246" s="2" t="s">
        <v>114</v>
      </c>
      <c r="Q246" s="2" t="s">
        <v>114</v>
      </c>
      <c r="R246" s="2" t="s">
        <v>114</v>
      </c>
      <c r="S246" s="2">
        <v>1.2771495338880157</v>
      </c>
      <c r="T246" s="70"/>
      <c r="U246" s="1">
        <v>1.0079243183136</v>
      </c>
      <c r="V246" s="1">
        <v>0.95591402034850603</v>
      </c>
      <c r="W246" s="1">
        <v>2.7083746492862701</v>
      </c>
      <c r="X246" s="1">
        <v>352.9426752</v>
      </c>
      <c r="Y246" s="1">
        <v>255</v>
      </c>
      <c r="Z246" s="70"/>
    </row>
    <row r="247" spans="1:52" x14ac:dyDescent="0.2">
      <c r="A247" s="1" t="s">
        <v>403</v>
      </c>
      <c r="B247" s="1" t="s">
        <v>90</v>
      </c>
      <c r="C247" s="8">
        <v>38663</v>
      </c>
      <c r="D247" s="9">
        <v>-22.507683</v>
      </c>
      <c r="E247" s="9">
        <v>116.14267</v>
      </c>
      <c r="F247" s="65" t="s">
        <v>390</v>
      </c>
      <c r="G247" s="70"/>
      <c r="H247" s="2" t="s">
        <v>114</v>
      </c>
      <c r="I247" s="2">
        <v>9.8050213631026409E-2</v>
      </c>
      <c r="J247" s="2">
        <v>7.8886531717779873E-2</v>
      </c>
      <c r="K247" s="2">
        <v>6.0339869757284371E-2</v>
      </c>
      <c r="L247" s="2">
        <v>5.1837610845509811E-3</v>
      </c>
      <c r="M247" s="2" t="s">
        <v>114</v>
      </c>
      <c r="N247" s="2" t="s">
        <v>114</v>
      </c>
      <c r="O247" s="2" t="s">
        <v>114</v>
      </c>
      <c r="P247" s="2" t="s">
        <v>114</v>
      </c>
      <c r="Q247" s="2" t="s">
        <v>114</v>
      </c>
      <c r="R247" s="2" t="s">
        <v>114</v>
      </c>
      <c r="S247" s="2">
        <v>0.24246037619064165</v>
      </c>
      <c r="T247" s="70"/>
      <c r="U247" s="1">
        <v>0.473506510257721</v>
      </c>
      <c r="V247" s="1">
        <v>0.47804319624692099</v>
      </c>
      <c r="W247" s="1">
        <v>1.3262851685285599</v>
      </c>
      <c r="X247" s="1">
        <v>190.09779180000001</v>
      </c>
      <c r="Y247" s="1">
        <v>195</v>
      </c>
      <c r="Z247" s="70"/>
    </row>
    <row r="248" spans="1:52" x14ac:dyDescent="0.2">
      <c r="A248" s="1" t="s">
        <v>404</v>
      </c>
      <c r="B248" s="1" t="s">
        <v>90</v>
      </c>
      <c r="C248" s="8">
        <v>42308</v>
      </c>
      <c r="D248" s="9">
        <v>-29.877780000000001</v>
      </c>
      <c r="E248" s="9">
        <v>133.58722</v>
      </c>
      <c r="F248" s="65" t="s">
        <v>390</v>
      </c>
      <c r="G248" s="70"/>
      <c r="H248" s="2">
        <v>0.15885773609872439</v>
      </c>
      <c r="I248" s="2">
        <v>0.40087341494122797</v>
      </c>
      <c r="J248" s="2">
        <v>0.52308927900304381</v>
      </c>
      <c r="K248" s="2">
        <v>0.44336137187610342</v>
      </c>
      <c r="L248" s="2">
        <v>1.1972500216886388E-2</v>
      </c>
      <c r="M248" s="2" t="s">
        <v>114</v>
      </c>
      <c r="N248" s="2" t="s">
        <v>114</v>
      </c>
      <c r="O248" s="2" t="s">
        <v>114</v>
      </c>
      <c r="P248" s="2" t="s">
        <v>114</v>
      </c>
      <c r="Q248" s="2" t="s">
        <v>114</v>
      </c>
      <c r="R248" s="2" t="s">
        <v>114</v>
      </c>
      <c r="S248" s="2">
        <v>1.538154302135986</v>
      </c>
      <c r="T248" s="70"/>
      <c r="U248" s="1">
        <v>0.115214936435223</v>
      </c>
      <c r="V248" s="1">
        <v>0.12807974515712001</v>
      </c>
      <c r="W248" s="1">
        <v>0.35894443371762502</v>
      </c>
      <c r="X248" s="1">
        <v>183.54487180000001</v>
      </c>
      <c r="Y248" s="1">
        <v>37</v>
      </c>
      <c r="Z248" s="70"/>
    </row>
    <row r="249" spans="1:52" x14ac:dyDescent="0.2">
      <c r="A249" s="1" t="s">
        <v>405</v>
      </c>
      <c r="B249" s="1" t="s">
        <v>90</v>
      </c>
      <c r="C249" s="8">
        <v>41840</v>
      </c>
      <c r="D249" s="9">
        <v>-20.53</v>
      </c>
      <c r="E249" s="9">
        <v>146.44999999999999</v>
      </c>
      <c r="F249" s="65" t="s">
        <v>393</v>
      </c>
      <c r="G249" s="70"/>
      <c r="H249" s="2">
        <v>0.18243180640846152</v>
      </c>
      <c r="I249" s="2">
        <v>0.37671385918220707</v>
      </c>
      <c r="J249" s="2">
        <v>0.88639634673821466</v>
      </c>
      <c r="K249" s="2">
        <v>0.17488508690249011</v>
      </c>
      <c r="L249" s="2">
        <v>2.1194674451575368E-2</v>
      </c>
      <c r="M249" s="2" t="s">
        <v>114</v>
      </c>
      <c r="N249" s="2" t="s">
        <v>114</v>
      </c>
      <c r="O249" s="2" t="s">
        <v>114</v>
      </c>
      <c r="P249" s="2" t="s">
        <v>114</v>
      </c>
      <c r="Q249" s="2" t="s">
        <v>114</v>
      </c>
      <c r="R249" s="2" t="s">
        <v>114</v>
      </c>
      <c r="S249" s="2">
        <v>1.6416217736829486</v>
      </c>
      <c r="T249" s="70"/>
      <c r="U249" s="1">
        <v>1.08113276958466</v>
      </c>
      <c r="V249" s="1">
        <v>0.74997399445575996</v>
      </c>
      <c r="W249" s="1">
        <v>1.8658493906259499</v>
      </c>
      <c r="X249" s="1">
        <v>291.0981013</v>
      </c>
      <c r="Y249" s="1">
        <v>282</v>
      </c>
      <c r="Z249" s="70"/>
    </row>
    <row r="250" spans="1:52" x14ac:dyDescent="0.2">
      <c r="A250" s="1" t="s">
        <v>406</v>
      </c>
      <c r="B250" s="1" t="s">
        <v>90</v>
      </c>
      <c r="C250" s="34">
        <v>42691</v>
      </c>
      <c r="D250" s="9">
        <v>-36.874169999999999</v>
      </c>
      <c r="E250" s="9">
        <v>144.79389</v>
      </c>
      <c r="F250" s="65" t="s">
        <v>390</v>
      </c>
      <c r="G250" s="70"/>
      <c r="H250" s="2">
        <v>1.9272365099137601E-2</v>
      </c>
      <c r="I250" s="2">
        <v>0.12174326897256998</v>
      </c>
      <c r="J250" s="2">
        <v>0.16226509491986529</v>
      </c>
      <c r="K250" s="2">
        <v>8.3637561912190114E-2</v>
      </c>
      <c r="L250" s="2">
        <v>5.9345878685722553E-2</v>
      </c>
      <c r="M250" s="2" t="s">
        <v>114</v>
      </c>
      <c r="N250" s="2" t="s">
        <v>114</v>
      </c>
      <c r="O250" s="2" t="s">
        <v>114</v>
      </c>
      <c r="P250" s="2" t="s">
        <v>114</v>
      </c>
      <c r="Q250" s="2" t="s">
        <v>114</v>
      </c>
      <c r="R250" s="2" t="s">
        <v>114</v>
      </c>
      <c r="S250" s="2">
        <v>0.4462641695894855</v>
      </c>
      <c r="T250" s="70"/>
      <c r="U250" s="1">
        <v>0.68285962939262401</v>
      </c>
      <c r="V250" s="1">
        <v>0.66791420896785203</v>
      </c>
      <c r="W250" s="1">
        <v>1.12754242122173</v>
      </c>
      <c r="X250" s="1">
        <v>227.92721520000001</v>
      </c>
      <c r="Y250" s="1">
        <v>329</v>
      </c>
      <c r="Z250" s="70"/>
    </row>
    <row r="251" spans="1:52" x14ac:dyDescent="0.2">
      <c r="A251" s="1" t="s">
        <v>407</v>
      </c>
      <c r="B251" s="1" t="s">
        <v>90</v>
      </c>
      <c r="C251" s="34">
        <v>42948</v>
      </c>
      <c r="D251" s="9">
        <v>-37.067500000000003</v>
      </c>
      <c r="E251" s="9">
        <v>142.80778000000001</v>
      </c>
      <c r="F251" s="65" t="s">
        <v>390</v>
      </c>
      <c r="G251" s="70"/>
      <c r="H251" s="2">
        <v>0.21033868691279267</v>
      </c>
      <c r="I251" s="2">
        <v>1.0313431110423801</v>
      </c>
      <c r="J251" s="2">
        <v>0.66609296324176015</v>
      </c>
      <c r="K251" s="2">
        <v>7.5030367838595902E-2</v>
      </c>
      <c r="L251" s="2">
        <v>4.7638316989436588E-2</v>
      </c>
      <c r="M251" s="2" t="s">
        <v>114</v>
      </c>
      <c r="N251" s="2" t="s">
        <v>114</v>
      </c>
      <c r="O251" s="2" t="s">
        <v>114</v>
      </c>
      <c r="P251" s="2" t="s">
        <v>114</v>
      </c>
      <c r="Q251" s="2" t="s">
        <v>114</v>
      </c>
      <c r="R251" s="2" t="s">
        <v>114</v>
      </c>
      <c r="S251" s="2">
        <v>2.0304434460249654</v>
      </c>
      <c r="T251" s="70"/>
      <c r="U251" s="1">
        <v>0.43556162714958202</v>
      </c>
      <c r="V251" s="1">
        <v>0.688506730375396</v>
      </c>
      <c r="W251" s="1">
        <v>2.9586300477385499</v>
      </c>
      <c r="X251" s="1">
        <v>246.8184713</v>
      </c>
      <c r="Y251" s="1">
        <v>280</v>
      </c>
      <c r="Z251" s="70"/>
    </row>
    <row r="252" spans="1:52" x14ac:dyDescent="0.2">
      <c r="A252" s="1" t="s">
        <v>408</v>
      </c>
      <c r="B252" s="1" t="s">
        <v>120</v>
      </c>
      <c r="C252" s="8">
        <v>42899</v>
      </c>
      <c r="D252" s="9" t="s">
        <v>409</v>
      </c>
      <c r="E252" s="9">
        <v>-46.873609999999999</v>
      </c>
      <c r="F252" s="65" t="s">
        <v>390</v>
      </c>
      <c r="G252" s="70"/>
      <c r="H252" s="2">
        <v>2.5499335270446397</v>
      </c>
      <c r="I252" s="2">
        <v>16.929079661943312</v>
      </c>
      <c r="J252" s="2">
        <v>8.8673455926142939</v>
      </c>
      <c r="K252" s="2">
        <v>0.85565413920204236</v>
      </c>
      <c r="L252" s="2">
        <v>0.25190568717259454</v>
      </c>
      <c r="M252" s="2" t="s">
        <v>114</v>
      </c>
      <c r="N252" s="2" t="s">
        <v>114</v>
      </c>
      <c r="O252" s="2" t="s">
        <v>114</v>
      </c>
      <c r="P252" s="2" t="s">
        <v>114</v>
      </c>
      <c r="Q252" s="2" t="s">
        <v>114</v>
      </c>
      <c r="R252" s="2" t="s">
        <v>114</v>
      </c>
      <c r="S252" s="2">
        <v>29.453918607976885</v>
      </c>
      <c r="T252" s="70"/>
      <c r="U252" s="1">
        <v>1.4511462450027499</v>
      </c>
      <c r="V252" s="1">
        <v>1.0354561579991699</v>
      </c>
      <c r="W252" s="1">
        <v>3.22242894209921</v>
      </c>
      <c r="X252" s="1">
        <v>693.91639869999995</v>
      </c>
      <c r="Y252" s="1">
        <v>313</v>
      </c>
      <c r="Z252" s="70"/>
      <c r="AA252" s="1" t="s">
        <v>86</v>
      </c>
      <c r="AB252" s="1" t="s">
        <v>87</v>
      </c>
      <c r="AC252" s="1" t="s">
        <v>401</v>
      </c>
      <c r="AD252" s="1">
        <v>30</v>
      </c>
      <c r="AE252" s="10">
        <v>690.88400000000001</v>
      </c>
      <c r="AF252" s="11">
        <v>0.44304724092611786</v>
      </c>
      <c r="AM252" s="10">
        <v>231.3252521</v>
      </c>
      <c r="AW252" s="10">
        <v>690.88400000000001</v>
      </c>
      <c r="AY252" s="1">
        <v>100</v>
      </c>
    </row>
    <row r="253" spans="1:52" x14ac:dyDescent="0.2">
      <c r="A253" s="1" t="s">
        <v>410</v>
      </c>
      <c r="B253" s="1" t="s">
        <v>411</v>
      </c>
      <c r="C253" s="34">
        <v>42857</v>
      </c>
      <c r="D253" s="9">
        <v>14.38176</v>
      </c>
      <c r="E253" s="9">
        <v>7.6819999999999999E-2</v>
      </c>
      <c r="F253" s="65" t="s">
        <v>390</v>
      </c>
      <c r="G253" s="70"/>
      <c r="H253" s="2">
        <v>2.520631672583554</v>
      </c>
      <c r="I253" s="2">
        <v>4.5830608428894202</v>
      </c>
      <c r="J253" s="2">
        <v>6.1957342297571278</v>
      </c>
      <c r="K253" s="2">
        <v>1.1190966749313915</v>
      </c>
      <c r="L253" s="2">
        <v>1.0683353398388125</v>
      </c>
      <c r="M253" s="2" t="s">
        <v>114</v>
      </c>
      <c r="N253" s="2" t="s">
        <v>114</v>
      </c>
      <c r="O253" s="2" t="s">
        <v>114</v>
      </c>
      <c r="P253" s="2" t="s">
        <v>114</v>
      </c>
      <c r="Q253" s="2" t="s">
        <v>114</v>
      </c>
      <c r="R253" s="2" t="s">
        <v>114</v>
      </c>
      <c r="S253" s="2">
        <f>SUM(H253:R253)</f>
        <v>15.486858760000306</v>
      </c>
      <c r="T253" s="70"/>
      <c r="U253" s="1">
        <v>0.75407847762107805</v>
      </c>
      <c r="V253" s="1">
        <v>0.54756668244256401</v>
      </c>
      <c r="W253" s="1">
        <v>1.1543594445101899</v>
      </c>
      <c r="X253" s="1">
        <v>289.03154569999998</v>
      </c>
      <c r="Y253" s="1">
        <v>95</v>
      </c>
      <c r="Z253" s="70"/>
    </row>
    <row r="254" spans="1:52" x14ac:dyDescent="0.2">
      <c r="A254" s="1" t="s">
        <v>412</v>
      </c>
      <c r="B254" s="1" t="s">
        <v>411</v>
      </c>
      <c r="C254" s="8">
        <v>42844</v>
      </c>
      <c r="D254" s="9">
        <v>11.09488</v>
      </c>
      <c r="E254" s="9">
        <v>-0.46440999999999999</v>
      </c>
      <c r="F254" s="65" t="s">
        <v>390</v>
      </c>
      <c r="G254" s="70"/>
      <c r="H254" s="2">
        <v>0.7166062089765971</v>
      </c>
      <c r="I254" s="2">
        <v>0.50029768532401298</v>
      </c>
      <c r="J254" s="2">
        <v>3.3506928287419457</v>
      </c>
      <c r="K254" s="2">
        <v>0.147103088373184</v>
      </c>
      <c r="L254" s="2">
        <v>3.3254264888899328E-2</v>
      </c>
      <c r="M254" s="2" t="s">
        <v>114</v>
      </c>
      <c r="N254" s="2" t="s">
        <v>114</v>
      </c>
      <c r="O254" s="2" t="s">
        <v>114</v>
      </c>
      <c r="P254" s="2" t="s">
        <v>114</v>
      </c>
      <c r="Q254" s="2" t="s">
        <v>114</v>
      </c>
      <c r="R254" s="2" t="s">
        <v>114</v>
      </c>
      <c r="S254" s="2">
        <v>4.7479540763046399</v>
      </c>
      <c r="T254" s="70"/>
      <c r="U254" s="1">
        <v>0.31497180461883501</v>
      </c>
      <c r="V254" s="1">
        <v>0.47752105544050499</v>
      </c>
      <c r="W254" s="1">
        <v>2.2904525231570001</v>
      </c>
      <c r="X254" s="1">
        <v>211.30351440000001</v>
      </c>
      <c r="Y254" s="1">
        <v>225</v>
      </c>
      <c r="Z254" s="70"/>
    </row>
    <row r="255" spans="1:52" x14ac:dyDescent="0.2">
      <c r="A255" s="1" t="s">
        <v>413</v>
      </c>
      <c r="B255" s="1" t="s">
        <v>124</v>
      </c>
      <c r="C255" s="8">
        <v>42581</v>
      </c>
      <c r="D255" s="9">
        <v>48.112929999999999</v>
      </c>
      <c r="E255" s="9">
        <v>-78.133290000000002</v>
      </c>
      <c r="F255" s="65" t="s">
        <v>393</v>
      </c>
      <c r="G255" s="70"/>
      <c r="H255" s="2">
        <v>1.8049252119359684</v>
      </c>
      <c r="I255" s="2">
        <v>4.8311017195354697</v>
      </c>
      <c r="J255" s="2">
        <v>4.1584398481383893</v>
      </c>
      <c r="K255" s="2">
        <v>0.91394162235094467</v>
      </c>
      <c r="L255" s="2">
        <v>1.3972764163859661</v>
      </c>
      <c r="M255" s="2" t="s">
        <v>114</v>
      </c>
      <c r="N255" s="2" t="s">
        <v>114</v>
      </c>
      <c r="O255" s="2" t="s">
        <v>114</v>
      </c>
      <c r="P255" s="2" t="s">
        <v>114</v>
      </c>
      <c r="Q255" s="2" t="s">
        <v>114</v>
      </c>
      <c r="R255" s="2" t="s">
        <v>114</v>
      </c>
      <c r="S255" s="2">
        <v>13.105684818346736</v>
      </c>
      <c r="T255" s="70"/>
      <c r="U255" s="1">
        <v>0.309412151575089</v>
      </c>
      <c r="V255" s="1">
        <v>0.27118941644432099</v>
      </c>
      <c r="W255" s="1">
        <v>0.53325282037258104</v>
      </c>
      <c r="X255" s="1">
        <v>326.4617834</v>
      </c>
      <c r="Y255" s="1">
        <v>92</v>
      </c>
      <c r="Z255" s="70"/>
    </row>
    <row r="256" spans="1:52" x14ac:dyDescent="0.2">
      <c r="A256" s="1" t="s">
        <v>414</v>
      </c>
      <c r="B256" s="1" t="s">
        <v>124</v>
      </c>
      <c r="C256" s="8">
        <v>41816</v>
      </c>
      <c r="D256" s="9">
        <v>52.612780000000001</v>
      </c>
      <c r="E256" s="9">
        <v>-90.363609999999994</v>
      </c>
      <c r="F256" s="65" t="s">
        <v>390</v>
      </c>
      <c r="G256" s="70"/>
      <c r="H256" s="2">
        <v>0.24435533764801903</v>
      </c>
      <c r="I256" s="2">
        <v>1.42207581453146</v>
      </c>
      <c r="J256" s="2">
        <v>1.1326228516025278</v>
      </c>
      <c r="K256" s="2">
        <v>0.84770139912272902</v>
      </c>
      <c r="L256" s="2">
        <v>0.11996113016408211</v>
      </c>
      <c r="M256" s="2" t="s">
        <v>114</v>
      </c>
      <c r="N256" s="2" t="s">
        <v>114</v>
      </c>
      <c r="O256" s="2" t="s">
        <v>114</v>
      </c>
      <c r="P256" s="2" t="s">
        <v>114</v>
      </c>
      <c r="Q256" s="2" t="s">
        <v>114</v>
      </c>
      <c r="R256" s="2" t="s">
        <v>114</v>
      </c>
      <c r="S256" s="2">
        <v>3.7667165330688182</v>
      </c>
      <c r="T256" s="70"/>
      <c r="U256" s="1">
        <v>5.4431479424238198E-2</v>
      </c>
      <c r="V256" s="1">
        <v>5.8180715732398802E-2</v>
      </c>
      <c r="W256" s="1">
        <v>0.18810312356799799</v>
      </c>
      <c r="X256" s="1">
        <v>298.70192309999999</v>
      </c>
      <c r="Y256" s="1">
        <v>17</v>
      </c>
      <c r="Z256" s="70"/>
    </row>
    <row r="257" spans="1:52" x14ac:dyDescent="0.2">
      <c r="A257" s="1" t="s">
        <v>415</v>
      </c>
      <c r="B257" s="1" t="s">
        <v>124</v>
      </c>
      <c r="C257" s="8">
        <v>41399</v>
      </c>
      <c r="D257" s="9">
        <v>48.69755</v>
      </c>
      <c r="E257" s="9">
        <v>-85.925160000000005</v>
      </c>
      <c r="F257" s="65" t="s">
        <v>390</v>
      </c>
      <c r="G257" s="70"/>
      <c r="H257" s="2">
        <v>0.480089727173239</v>
      </c>
      <c r="I257" s="2">
        <v>3.6959073607491821</v>
      </c>
      <c r="J257" s="2">
        <v>1.6745333205776578</v>
      </c>
      <c r="K257" s="2">
        <v>0.5526704336661532</v>
      </c>
      <c r="L257" s="2">
        <v>7.7270957736696927E-2</v>
      </c>
      <c r="M257" s="2" t="s">
        <v>114</v>
      </c>
      <c r="N257" s="2" t="s">
        <v>114</v>
      </c>
      <c r="O257" s="2" t="s">
        <v>114</v>
      </c>
      <c r="P257" s="2" t="s">
        <v>114</v>
      </c>
      <c r="Q257" s="2" t="s">
        <v>114</v>
      </c>
      <c r="R257" s="2" t="s">
        <v>114</v>
      </c>
      <c r="S257" s="2">
        <v>6.4804717999029293</v>
      </c>
      <c r="T257" s="70"/>
      <c r="U257" s="1">
        <v>0.42590320110321001</v>
      </c>
      <c r="V257" s="1">
        <v>0.431106503934989</v>
      </c>
      <c r="W257" s="1">
        <v>1.14272077381611</v>
      </c>
      <c r="X257" s="1">
        <v>331.806962</v>
      </c>
      <c r="Y257" s="1">
        <v>179</v>
      </c>
      <c r="Z257" s="70"/>
      <c r="AA257" s="1" t="s">
        <v>86</v>
      </c>
      <c r="AB257" s="1" t="s">
        <v>96</v>
      </c>
      <c r="AC257" s="1" t="s">
        <v>401</v>
      </c>
      <c r="AD257" s="1">
        <v>32</v>
      </c>
      <c r="AE257" s="10">
        <v>108.1433686</v>
      </c>
      <c r="AF257" s="11">
        <v>6.4736815635868776</v>
      </c>
      <c r="AM257" s="10">
        <v>694.97751840000001</v>
      </c>
      <c r="AW257" s="10">
        <v>108.1433686</v>
      </c>
      <c r="AX257" s="10">
        <v>77.540839199999994</v>
      </c>
      <c r="AY257" s="1">
        <v>100</v>
      </c>
      <c r="AZ257" s="10">
        <f>AE257+AX257</f>
        <v>185.6842078</v>
      </c>
    </row>
    <row r="258" spans="1:52" x14ac:dyDescent="0.2">
      <c r="A258" s="1" t="s">
        <v>416</v>
      </c>
      <c r="B258" s="1" t="s">
        <v>124</v>
      </c>
      <c r="C258" s="8">
        <v>42604</v>
      </c>
      <c r="D258" s="9">
        <v>48.553060000000002</v>
      </c>
      <c r="E258" s="9">
        <v>-81.178060000000002</v>
      </c>
      <c r="F258" s="65" t="s">
        <v>390</v>
      </c>
      <c r="G258" s="70"/>
      <c r="H258" s="2" t="s">
        <v>114</v>
      </c>
      <c r="I258" s="2">
        <v>0.85634556444185805</v>
      </c>
      <c r="J258" s="2">
        <v>1.1820984649729209</v>
      </c>
      <c r="K258" s="2">
        <v>0.26984023617508218</v>
      </c>
      <c r="L258" s="2">
        <v>1.14222392630577E-2</v>
      </c>
      <c r="M258" s="2" t="s">
        <v>114</v>
      </c>
      <c r="N258" s="2" t="s">
        <v>114</v>
      </c>
      <c r="O258" s="2" t="s">
        <v>114</v>
      </c>
      <c r="P258" s="2" t="s">
        <v>114</v>
      </c>
      <c r="Q258" s="2" t="s">
        <v>114</v>
      </c>
      <c r="R258" s="2" t="s">
        <v>114</v>
      </c>
      <c r="S258" s="2">
        <v>2.3197065048529191</v>
      </c>
      <c r="T258" s="70"/>
      <c r="U258" s="1">
        <v>0.11688461154699301</v>
      </c>
      <c r="V258" s="1">
        <v>0.141155717703394</v>
      </c>
      <c r="W258" s="1">
        <v>0.792321056127548</v>
      </c>
      <c r="X258" s="1">
        <v>307.93589739999999</v>
      </c>
      <c r="Y258" s="1">
        <v>60</v>
      </c>
      <c r="Z258" s="70"/>
    </row>
    <row r="259" spans="1:52" x14ac:dyDescent="0.2">
      <c r="A259" s="1" t="s">
        <v>417</v>
      </c>
      <c r="B259" s="1" t="s">
        <v>124</v>
      </c>
      <c r="C259" s="8">
        <v>41543</v>
      </c>
      <c r="D259" s="9">
        <v>48.522559999999999</v>
      </c>
      <c r="E259" s="9">
        <v>-79.746979999999994</v>
      </c>
      <c r="F259" s="65" t="s">
        <v>390</v>
      </c>
      <c r="G259" s="70"/>
      <c r="H259" s="2">
        <v>0.16692779578833455</v>
      </c>
      <c r="I259" s="2">
        <v>1.68181180835086</v>
      </c>
      <c r="J259" s="2">
        <v>0.16523254682924185</v>
      </c>
      <c r="K259" s="2">
        <v>0.1793487699994889</v>
      </c>
      <c r="L259" s="2">
        <v>1.7303499113395801E-3</v>
      </c>
      <c r="M259" s="2" t="s">
        <v>114</v>
      </c>
      <c r="N259" s="2" t="s">
        <v>114</v>
      </c>
      <c r="O259" s="2" t="s">
        <v>114</v>
      </c>
      <c r="P259" s="2" t="s">
        <v>114</v>
      </c>
      <c r="Q259" s="2" t="s">
        <v>114</v>
      </c>
      <c r="R259" s="2" t="s">
        <v>114</v>
      </c>
      <c r="S259" s="2">
        <v>2.1950512708792647</v>
      </c>
      <c r="T259" s="70"/>
      <c r="U259" s="1">
        <v>0.496213719248772</v>
      </c>
      <c r="V259" s="1">
        <v>0.48700493543197598</v>
      </c>
      <c r="W259" s="1">
        <v>1.66323886811733</v>
      </c>
      <c r="X259" s="1">
        <v>307.82428119999997</v>
      </c>
      <c r="Y259" s="1">
        <v>158</v>
      </c>
      <c r="Z259" s="70"/>
      <c r="AA259" s="1" t="s">
        <v>86</v>
      </c>
      <c r="AB259" s="1" t="s">
        <v>91</v>
      </c>
      <c r="AC259" s="1" t="s">
        <v>401</v>
      </c>
      <c r="AD259" s="1">
        <v>29</v>
      </c>
      <c r="AE259" s="10">
        <v>16.386641999999998</v>
      </c>
      <c r="AF259" s="11">
        <v>5.5678149473546963</v>
      </c>
      <c r="AM259" s="10">
        <v>86.219711799999999</v>
      </c>
      <c r="AW259" s="10">
        <v>16.386641999999998</v>
      </c>
      <c r="AY259" s="1">
        <v>100</v>
      </c>
    </row>
    <row r="260" spans="1:52" x14ac:dyDescent="0.2">
      <c r="A260" s="1" t="s">
        <v>418</v>
      </c>
      <c r="B260" s="1" t="s">
        <v>135</v>
      </c>
      <c r="C260" s="8">
        <v>37948</v>
      </c>
      <c r="D260" s="9">
        <v>-24.411519999999999</v>
      </c>
      <c r="E260" s="9">
        <v>-69.496579999999994</v>
      </c>
      <c r="F260" s="65" t="s">
        <v>393</v>
      </c>
      <c r="G260" s="70"/>
      <c r="H260" s="2">
        <v>9.6800126955682797E-2</v>
      </c>
      <c r="I260" s="2" t="s">
        <v>114</v>
      </c>
      <c r="J260" s="2">
        <v>0.75203857679856889</v>
      </c>
      <c r="K260" s="2">
        <v>0.20138323598870581</v>
      </c>
      <c r="L260" s="2">
        <v>4.9542787196338103E-3</v>
      </c>
      <c r="M260" s="2">
        <v>0.37135984190471999</v>
      </c>
      <c r="N260" s="2" t="s">
        <v>114</v>
      </c>
      <c r="O260" s="2" t="s">
        <v>114</v>
      </c>
      <c r="P260" s="2" t="s">
        <v>114</v>
      </c>
      <c r="Q260" s="2" t="s">
        <v>114</v>
      </c>
      <c r="R260" s="2" t="s">
        <v>114</v>
      </c>
      <c r="S260" s="2">
        <v>1.4265360603673114</v>
      </c>
      <c r="T260" s="70"/>
      <c r="U260" s="1">
        <v>1.5585641860961901</v>
      </c>
      <c r="V260" s="1">
        <v>1.7570987567780101</v>
      </c>
      <c r="W260" s="1">
        <v>3.7106045484542798</v>
      </c>
      <c r="X260" s="1">
        <v>1821.627389</v>
      </c>
      <c r="Y260" s="1">
        <v>488</v>
      </c>
      <c r="Z260" s="70"/>
    </row>
    <row r="261" spans="1:52" x14ac:dyDescent="0.2">
      <c r="A261" s="1" t="s">
        <v>419</v>
      </c>
      <c r="B261" s="1" t="s">
        <v>135</v>
      </c>
      <c r="C261" s="8">
        <v>39160</v>
      </c>
      <c r="D261" s="9">
        <v>-27.551670000000001</v>
      </c>
      <c r="E261" s="9">
        <v>-69.295829999999995</v>
      </c>
      <c r="F261" s="65" t="s">
        <v>390</v>
      </c>
      <c r="G261" s="70"/>
      <c r="H261" s="2">
        <v>0.83739795874539702</v>
      </c>
      <c r="I261" s="2" t="s">
        <v>114</v>
      </c>
      <c r="J261" s="2">
        <v>1.0565088032437631</v>
      </c>
      <c r="K261" s="2">
        <v>0.43634692748013054</v>
      </c>
      <c r="L261" s="2">
        <v>7.1715225123546986E-2</v>
      </c>
      <c r="M261" s="2">
        <v>1.5407805625884199</v>
      </c>
      <c r="N261" s="2" t="s">
        <v>114</v>
      </c>
      <c r="O261" s="2" t="s">
        <v>114</v>
      </c>
      <c r="P261" s="2" t="s">
        <v>114</v>
      </c>
      <c r="Q261" s="2" t="s">
        <v>114</v>
      </c>
      <c r="R261" s="2" t="s">
        <v>114</v>
      </c>
      <c r="S261" s="2">
        <v>3.9427494771812577</v>
      </c>
      <c r="T261" s="70"/>
      <c r="U261" s="1">
        <v>4.6615800857543901</v>
      </c>
      <c r="V261" s="1">
        <v>5.2795400984825598</v>
      </c>
      <c r="W261" s="1">
        <v>12.1412266492844</v>
      </c>
      <c r="X261" s="1">
        <v>4331.5419350000002</v>
      </c>
      <c r="Y261" s="1">
        <v>1234</v>
      </c>
      <c r="Z261" s="70"/>
    </row>
    <row r="262" spans="1:52" x14ac:dyDescent="0.2">
      <c r="A262" s="1" t="s">
        <v>420</v>
      </c>
      <c r="B262" s="1" t="s">
        <v>421</v>
      </c>
      <c r="C262" s="8">
        <v>41579</v>
      </c>
      <c r="D262" s="9">
        <v>3.1123799999999999</v>
      </c>
      <c r="E262" s="9">
        <v>29.581130000000002</v>
      </c>
      <c r="F262" s="65" t="s">
        <v>390</v>
      </c>
      <c r="G262" s="70"/>
      <c r="H262" s="2">
        <v>0.54932901873611995</v>
      </c>
      <c r="I262" s="2">
        <v>0.744913161198278</v>
      </c>
      <c r="J262" s="2">
        <v>4.1324593641306588</v>
      </c>
      <c r="K262" s="2">
        <v>0.8170587485385834</v>
      </c>
      <c r="L262" s="2" t="s">
        <v>114</v>
      </c>
      <c r="M262" s="2" t="s">
        <v>114</v>
      </c>
      <c r="N262" s="2" t="s">
        <v>114</v>
      </c>
      <c r="O262" s="2" t="s">
        <v>114</v>
      </c>
      <c r="P262" s="2" t="s">
        <v>114</v>
      </c>
      <c r="Q262" s="2" t="s">
        <v>114</v>
      </c>
      <c r="R262" s="2" t="s">
        <v>114</v>
      </c>
      <c r="S262" s="2">
        <v>6.24376029260364</v>
      </c>
      <c r="T262" s="70"/>
      <c r="U262" s="1">
        <v>0.59049236774444602</v>
      </c>
      <c r="V262" s="1">
        <v>0.80437511021205499</v>
      </c>
      <c r="W262" s="1">
        <v>3.29541241377592</v>
      </c>
      <c r="X262" s="1">
        <v>831.244373</v>
      </c>
      <c r="Y262" s="1">
        <v>308</v>
      </c>
      <c r="Z262" s="70"/>
    </row>
    <row r="263" spans="1:52" x14ac:dyDescent="0.2">
      <c r="A263" s="1" t="s">
        <v>422</v>
      </c>
      <c r="B263" s="1" t="s">
        <v>421</v>
      </c>
      <c r="C263" s="8">
        <v>42062</v>
      </c>
      <c r="D263" s="9">
        <v>-2.8724799999999999</v>
      </c>
      <c r="E263" s="9">
        <v>28.743760000000002</v>
      </c>
      <c r="F263" s="65" t="s">
        <v>390</v>
      </c>
      <c r="G263" s="70"/>
      <c r="H263" s="2">
        <v>0.13983629326325001</v>
      </c>
      <c r="I263" s="2">
        <v>0.14246844717585699</v>
      </c>
      <c r="J263" s="2">
        <v>0.48341964683433075</v>
      </c>
      <c r="K263" s="2">
        <v>0.15921068745351724</v>
      </c>
      <c r="L263" s="2" t="s">
        <v>114</v>
      </c>
      <c r="M263" s="2" t="s">
        <v>114</v>
      </c>
      <c r="N263" s="2" t="s">
        <v>114</v>
      </c>
      <c r="O263" s="2" t="s">
        <v>114</v>
      </c>
      <c r="P263" s="2" t="s">
        <v>114</v>
      </c>
      <c r="Q263" s="2" t="s">
        <v>114</v>
      </c>
      <c r="R263" s="2" t="s">
        <v>114</v>
      </c>
      <c r="S263" s="2">
        <v>0.92493507472695502</v>
      </c>
      <c r="T263" s="70"/>
      <c r="U263" s="1">
        <v>4.6238367557525599</v>
      </c>
      <c r="V263" s="1">
        <v>5.1198336711005599</v>
      </c>
      <c r="W263" s="1">
        <v>9.4780875444412196</v>
      </c>
      <c r="X263" s="1">
        <v>2361.736508</v>
      </c>
      <c r="Y263" s="1">
        <v>1607</v>
      </c>
      <c r="Z263" s="70"/>
    </row>
    <row r="264" spans="1:52" x14ac:dyDescent="0.2">
      <c r="A264" s="1" t="s">
        <v>423</v>
      </c>
      <c r="B264" s="1" t="s">
        <v>424</v>
      </c>
      <c r="C264" s="8">
        <v>42817</v>
      </c>
      <c r="D264" s="9">
        <v>9.8495200000000001</v>
      </c>
      <c r="E264" s="9">
        <v>-5.7351000000000001</v>
      </c>
      <c r="F264" s="65" t="s">
        <v>390</v>
      </c>
      <c r="G264" s="70"/>
      <c r="H264" s="2">
        <v>1.374330097230243</v>
      </c>
      <c r="I264" s="2">
        <v>2.5063041551133902</v>
      </c>
      <c r="J264" s="2">
        <v>3.432909027772606</v>
      </c>
      <c r="K264" s="2">
        <v>1.1055610246621217</v>
      </c>
      <c r="L264" s="2">
        <v>4.50221804201602E-2</v>
      </c>
      <c r="M264" s="2" t="s">
        <v>114</v>
      </c>
      <c r="N264" s="2" t="s">
        <v>114</v>
      </c>
      <c r="O264" s="2" t="s">
        <v>114</v>
      </c>
      <c r="P264" s="2" t="s">
        <v>114</v>
      </c>
      <c r="Q264" s="2" t="s">
        <v>114</v>
      </c>
      <c r="R264" s="2" t="s">
        <v>114</v>
      </c>
      <c r="S264" s="2">
        <v>8.4641264851985216</v>
      </c>
      <c r="T264" s="70"/>
      <c r="U264" s="1">
        <v>0.22259971499443101</v>
      </c>
      <c r="V264" s="1">
        <v>0.24580304430137501</v>
      </c>
      <c r="W264" s="1">
        <v>0.61554189398884795</v>
      </c>
      <c r="X264" s="1">
        <v>325.24050629999999</v>
      </c>
      <c r="Y264" s="1">
        <v>62</v>
      </c>
      <c r="Z264" s="70"/>
    </row>
    <row r="265" spans="1:52" x14ac:dyDescent="0.2">
      <c r="A265" s="1" t="s">
        <v>425</v>
      </c>
      <c r="B265" s="1" t="s">
        <v>424</v>
      </c>
      <c r="C265" s="8">
        <v>42371</v>
      </c>
      <c r="D265" s="9">
        <v>6.0979200000000002</v>
      </c>
      <c r="E265" s="9">
        <v>-5.2226100000000004</v>
      </c>
      <c r="F265" s="65" t="s">
        <v>390</v>
      </c>
      <c r="G265" s="70"/>
      <c r="H265" s="2">
        <v>0.60966694818884848</v>
      </c>
      <c r="I265" s="2">
        <v>1.1705228620146428</v>
      </c>
      <c r="J265" s="2">
        <v>1.8866637028839301</v>
      </c>
      <c r="K265" s="2">
        <v>0.33393272345144276</v>
      </c>
      <c r="L265" s="2">
        <v>2.1910979738980498E-3</v>
      </c>
      <c r="M265" s="2" t="s">
        <v>114</v>
      </c>
      <c r="N265" s="2" t="s">
        <v>114</v>
      </c>
      <c r="O265" s="2" t="s">
        <v>114</v>
      </c>
      <c r="P265" s="2" t="s">
        <v>114</v>
      </c>
      <c r="Q265" s="2" t="s">
        <v>114</v>
      </c>
      <c r="R265" s="2" t="s">
        <v>114</v>
      </c>
      <c r="S265" s="2">
        <v>4.0029773345127628</v>
      </c>
      <c r="T265" s="70"/>
      <c r="U265" s="1">
        <v>0.31761255860328702</v>
      </c>
      <c r="V265" s="1">
        <v>0.52994840201107996</v>
      </c>
      <c r="W265" s="1">
        <v>1.71210582833737</v>
      </c>
      <c r="X265" s="1">
        <v>176.5867508</v>
      </c>
      <c r="Y265" s="1">
        <v>178</v>
      </c>
      <c r="Z265" s="70"/>
    </row>
    <row r="266" spans="1:52" x14ac:dyDescent="0.2">
      <c r="A266" s="1" t="s">
        <v>426</v>
      </c>
      <c r="B266" s="1" t="s">
        <v>424</v>
      </c>
      <c r="C266" s="8">
        <v>42371</v>
      </c>
      <c r="D266" s="9">
        <v>6.22424</v>
      </c>
      <c r="E266" s="9">
        <v>-5.3745000000000003</v>
      </c>
      <c r="F266" s="65" t="s">
        <v>393</v>
      </c>
      <c r="G266" s="70"/>
      <c r="H266" s="2">
        <v>0.5890061839061379</v>
      </c>
      <c r="I266" s="2">
        <v>1.0066614606108899</v>
      </c>
      <c r="J266" s="2">
        <v>2.8394895032702041</v>
      </c>
      <c r="K266" s="2">
        <v>0.2696710761429218</v>
      </c>
      <c r="L266" s="2">
        <v>9.4810637541497007E-3</v>
      </c>
      <c r="M266" s="2" t="s">
        <v>114</v>
      </c>
      <c r="N266" s="2" t="s">
        <v>114</v>
      </c>
      <c r="O266" s="2" t="s">
        <v>114</v>
      </c>
      <c r="P266" s="2" t="s">
        <v>114</v>
      </c>
      <c r="Q266" s="2" t="s">
        <v>114</v>
      </c>
      <c r="R266" s="2" t="s">
        <v>114</v>
      </c>
      <c r="S266" s="2">
        <v>4.714309287684304</v>
      </c>
      <c r="T266" s="70"/>
      <c r="U266" s="1">
        <v>0.11296894401311899</v>
      </c>
      <c r="V266" s="1">
        <v>0.28635299517469098</v>
      </c>
      <c r="W266" s="1">
        <v>1.1671229600906401</v>
      </c>
      <c r="X266" s="1">
        <v>217.78025479999999</v>
      </c>
      <c r="Y266" s="1">
        <v>94</v>
      </c>
      <c r="Z266" s="70"/>
      <c r="AA266" s="1" t="s">
        <v>86</v>
      </c>
      <c r="AB266" s="1" t="s">
        <v>87</v>
      </c>
      <c r="AC266" s="13" t="s">
        <v>427</v>
      </c>
      <c r="AD266" s="1">
        <v>8</v>
      </c>
      <c r="AE266" s="18">
        <v>13.568</v>
      </c>
      <c r="AF266" s="11">
        <v>1.8603147110849056</v>
      </c>
      <c r="AG266" s="12">
        <v>0.31959177230738994</v>
      </c>
      <c r="AM266" s="10">
        <v>23.556321799999999</v>
      </c>
      <c r="AN266" s="10">
        <v>2.6017326999999999</v>
      </c>
      <c r="AW266" s="18">
        <v>13.568</v>
      </c>
      <c r="AY266" s="1">
        <v>100</v>
      </c>
      <c r="AZ266" s="10">
        <f>AE266+AX266</f>
        <v>13.568</v>
      </c>
    </row>
    <row r="267" spans="1:52" x14ac:dyDescent="0.2">
      <c r="A267" s="1" t="s">
        <v>428</v>
      </c>
      <c r="B267" s="1" t="s">
        <v>424</v>
      </c>
      <c r="C267" s="8">
        <v>41710</v>
      </c>
      <c r="D267" s="9">
        <v>6.8830600000000004</v>
      </c>
      <c r="E267" s="9">
        <v>-8.1166699999999992</v>
      </c>
      <c r="F267" s="65" t="s">
        <v>390</v>
      </c>
      <c r="G267" s="70"/>
      <c r="H267" s="2">
        <v>0.38188922214829502</v>
      </c>
      <c r="I267" s="2" t="s">
        <v>114</v>
      </c>
      <c r="J267" s="2">
        <v>1.2797229668162919</v>
      </c>
      <c r="K267" s="2">
        <v>0.14192080248782313</v>
      </c>
      <c r="L267" s="2">
        <v>2.3959153803721E-2</v>
      </c>
      <c r="M267" s="2">
        <v>0.29155310276791402</v>
      </c>
      <c r="N267" s="2" t="s">
        <v>114</v>
      </c>
      <c r="O267" s="2" t="s">
        <v>114</v>
      </c>
      <c r="P267" s="2" t="s">
        <v>114</v>
      </c>
      <c r="Q267" s="2" t="s">
        <v>114</v>
      </c>
      <c r="R267" s="2" t="s">
        <v>114</v>
      </c>
      <c r="S267" s="2">
        <v>2.1190452480240451</v>
      </c>
      <c r="T267" s="70"/>
      <c r="U267" s="1">
        <v>0.92658993601799</v>
      </c>
      <c r="V267" s="1">
        <v>0.58199412697525299</v>
      </c>
      <c r="W267" s="1">
        <v>1.87648057565093</v>
      </c>
      <c r="X267" s="1">
        <v>324.82911389999998</v>
      </c>
      <c r="Y267" s="1">
        <v>163</v>
      </c>
      <c r="Z267" s="70"/>
    </row>
    <row r="268" spans="1:52" x14ac:dyDescent="0.2">
      <c r="A268" s="1" t="s">
        <v>429</v>
      </c>
      <c r="B268" s="1" t="s">
        <v>430</v>
      </c>
      <c r="C268" s="8">
        <v>42762</v>
      </c>
      <c r="D268" s="9">
        <v>18.938610000000001</v>
      </c>
      <c r="E268" s="9">
        <v>-70.17389</v>
      </c>
      <c r="F268" s="65" t="s">
        <v>390</v>
      </c>
      <c r="G268" s="70"/>
      <c r="H268" s="2">
        <v>1.2268514094773297</v>
      </c>
      <c r="I268" s="2">
        <v>1.98133924117496</v>
      </c>
      <c r="J268" s="2">
        <v>5.494748906136544</v>
      </c>
      <c r="K268" s="2">
        <v>1.1430834028508152</v>
      </c>
      <c r="L268" s="2">
        <v>0.27756425044904981</v>
      </c>
      <c r="M268" s="2"/>
      <c r="N268" s="2"/>
      <c r="O268" s="2"/>
      <c r="P268" s="2"/>
      <c r="Q268" s="2"/>
      <c r="R268" s="2"/>
      <c r="S268" s="2">
        <v>10.123587210088701</v>
      </c>
      <c r="T268" s="70"/>
      <c r="U268" s="1">
        <v>2.2934007644653298</v>
      </c>
      <c r="V268" s="1">
        <v>1.99338385767449</v>
      </c>
      <c r="W268" s="1">
        <v>5.1758503913879403</v>
      </c>
      <c r="X268" s="1">
        <v>183.68051120000001</v>
      </c>
      <c r="Y268" s="1">
        <v>469</v>
      </c>
      <c r="Z268" s="70"/>
      <c r="AA268" s="1" t="s">
        <v>86</v>
      </c>
      <c r="AB268" s="1" t="s">
        <v>87</v>
      </c>
      <c r="AC268" s="1" t="s">
        <v>427</v>
      </c>
      <c r="AD268" s="1">
        <v>5</v>
      </c>
      <c r="AE268" s="18">
        <v>10.241400000000001</v>
      </c>
      <c r="AF268" s="11">
        <v>5.4024612845899975</v>
      </c>
      <c r="AG268" s="12">
        <v>33.671432616634448</v>
      </c>
      <c r="AH268" s="2">
        <v>7.8114320307770425E-3</v>
      </c>
      <c r="AM268" s="10">
        <v>50.307360000000003</v>
      </c>
      <c r="AN268" s="10">
        <v>145.66195999999999</v>
      </c>
      <c r="AO268" s="10">
        <v>0.4</v>
      </c>
      <c r="AW268" s="18">
        <f>AE268-(AO268/1000)</f>
        <v>10.241</v>
      </c>
      <c r="AX268" s="18">
        <v>24.421399999999998</v>
      </c>
      <c r="AY268" s="1">
        <v>100</v>
      </c>
      <c r="AZ268" s="10">
        <f>AE268+AX268</f>
        <v>34.662799999999997</v>
      </c>
    </row>
    <row r="269" spans="1:52" x14ac:dyDescent="0.2">
      <c r="A269" s="1" t="s">
        <v>431</v>
      </c>
      <c r="B269" s="1" t="s">
        <v>290</v>
      </c>
      <c r="C269" s="8">
        <v>42606</v>
      </c>
      <c r="D269" s="9">
        <v>67.913899999999998</v>
      </c>
      <c r="E269" s="9">
        <v>25.40117</v>
      </c>
      <c r="F269" s="65" t="s">
        <v>393</v>
      </c>
      <c r="G269" s="70"/>
      <c r="H269" s="2">
        <v>0.34022661883851829</v>
      </c>
      <c r="I269" s="2">
        <v>0.95597366898679703</v>
      </c>
      <c r="J269" s="2">
        <v>1.7805733822963898</v>
      </c>
      <c r="K269" s="2">
        <v>0.31143231032884111</v>
      </c>
      <c r="L269" s="2">
        <v>2.5589203410729729E-2</v>
      </c>
      <c r="M269" s="2" t="s">
        <v>114</v>
      </c>
      <c r="N269" s="2" t="s">
        <v>114</v>
      </c>
      <c r="O269" s="2" t="s">
        <v>114</v>
      </c>
      <c r="P269" s="2" t="s">
        <v>114</v>
      </c>
      <c r="Q269" s="2" t="s">
        <v>114</v>
      </c>
      <c r="R269" s="2" t="s">
        <v>114</v>
      </c>
      <c r="S269" s="2">
        <v>3.4137951838612763</v>
      </c>
      <c r="T269" s="70"/>
      <c r="U269" s="1">
        <v>0.141781806945801</v>
      </c>
      <c r="V269" s="1">
        <v>0.135570027034671</v>
      </c>
      <c r="W269" s="1">
        <v>0.50815152190625701</v>
      </c>
      <c r="X269" s="1">
        <v>218.42222219999999</v>
      </c>
      <c r="Y269" s="1">
        <v>61</v>
      </c>
      <c r="Z269" s="70"/>
    </row>
    <row r="270" spans="1:52" x14ac:dyDescent="0.2">
      <c r="A270" s="1" t="s">
        <v>432</v>
      </c>
      <c r="B270" s="1" t="s">
        <v>433</v>
      </c>
      <c r="C270" s="8">
        <v>43092</v>
      </c>
      <c r="D270" s="9">
        <v>5.3335999999999997</v>
      </c>
      <c r="E270" s="9">
        <v>-2.0018799999999999</v>
      </c>
      <c r="F270" s="65" t="s">
        <v>390</v>
      </c>
      <c r="G270" s="70"/>
      <c r="H270" s="2">
        <v>5.9608447930857027</v>
      </c>
      <c r="I270" s="2">
        <v>6.3229279138569705</v>
      </c>
      <c r="J270" s="2">
        <v>20.7041501311692</v>
      </c>
      <c r="K270" s="2">
        <v>1.2756419534584054</v>
      </c>
      <c r="L270" s="2">
        <v>0.92684445431687579</v>
      </c>
      <c r="M270" s="2">
        <v>2.3620540669034398</v>
      </c>
      <c r="N270" s="2" t="s">
        <v>114</v>
      </c>
      <c r="O270" s="2" t="s">
        <v>114</v>
      </c>
      <c r="P270" s="2" t="s">
        <v>114</v>
      </c>
      <c r="Q270" s="2" t="s">
        <v>114</v>
      </c>
      <c r="R270" s="2" t="s">
        <v>114</v>
      </c>
      <c r="S270" s="2">
        <v>37.552463312790593</v>
      </c>
      <c r="T270" s="70"/>
      <c r="U270" s="1">
        <v>8.5144314914941802E-2</v>
      </c>
      <c r="V270" s="1">
        <v>0.15378114121064301</v>
      </c>
      <c r="W270" s="1">
        <v>1.79917004983872</v>
      </c>
      <c r="X270" s="1">
        <v>74.066666670000004</v>
      </c>
      <c r="Y270" s="1">
        <v>132</v>
      </c>
      <c r="Z270" s="70"/>
    </row>
    <row r="271" spans="1:52" x14ac:dyDescent="0.2">
      <c r="A271" s="1" t="s">
        <v>434</v>
      </c>
      <c r="B271" s="1" t="s">
        <v>433</v>
      </c>
      <c r="C271" s="8">
        <v>42021</v>
      </c>
      <c r="D271" s="9">
        <v>6.3425000000000002</v>
      </c>
      <c r="E271" s="9">
        <v>-1.0247200000000001</v>
      </c>
      <c r="F271" s="65" t="s">
        <v>390</v>
      </c>
      <c r="G271" s="70"/>
      <c r="H271" s="2">
        <v>0.98288190097299521</v>
      </c>
      <c r="I271" s="2">
        <v>1.6813760940022899</v>
      </c>
      <c r="J271" s="2">
        <v>6.8640379425660889</v>
      </c>
      <c r="K271" s="2">
        <v>0.6162818228919873</v>
      </c>
      <c r="L271" s="2">
        <v>0.43589913624686405</v>
      </c>
      <c r="M271" s="2" t="s">
        <v>114</v>
      </c>
      <c r="N271" s="2" t="s">
        <v>114</v>
      </c>
      <c r="O271" s="2" t="s">
        <v>114</v>
      </c>
      <c r="P271" s="2" t="s">
        <v>114</v>
      </c>
      <c r="Q271" s="2" t="s">
        <v>114</v>
      </c>
      <c r="R271" s="2" t="s">
        <v>114</v>
      </c>
      <c r="S271" s="2">
        <v>10.580476896680226</v>
      </c>
      <c r="T271" s="70"/>
      <c r="U271" s="1">
        <v>1.0264849662780799</v>
      </c>
      <c r="V271" s="1">
        <v>0.64832097857858295</v>
      </c>
      <c r="W271" s="1">
        <v>2.2041734643280502</v>
      </c>
      <c r="X271" s="1">
        <v>172.52547770000001</v>
      </c>
      <c r="Y271" s="1">
        <v>192</v>
      </c>
      <c r="Z271" s="70"/>
    </row>
    <row r="272" spans="1:52" x14ac:dyDescent="0.2">
      <c r="A272" s="1" t="s">
        <v>435</v>
      </c>
      <c r="B272" s="1" t="s">
        <v>433</v>
      </c>
      <c r="C272" s="8">
        <v>42740</v>
      </c>
      <c r="D272" s="9">
        <v>7.0286099999999996</v>
      </c>
      <c r="E272" s="9">
        <v>-2.3477800000000002</v>
      </c>
      <c r="F272" s="65" t="s">
        <v>390</v>
      </c>
      <c r="G272" s="70"/>
      <c r="H272" s="2">
        <v>2.7179868728583401</v>
      </c>
      <c r="I272" s="2">
        <v>4.1557851675705901</v>
      </c>
      <c r="J272" s="2">
        <v>8.3057741843403381</v>
      </c>
      <c r="K272" s="2">
        <v>0.95484021470260216</v>
      </c>
      <c r="L272" s="2">
        <v>0.1187784029653257</v>
      </c>
      <c r="M272" s="2" t="s">
        <v>114</v>
      </c>
      <c r="N272" s="2" t="s">
        <v>114</v>
      </c>
      <c r="O272" s="2" t="s">
        <v>114</v>
      </c>
      <c r="P272" s="2" t="s">
        <v>114</v>
      </c>
      <c r="Q272" s="2" t="s">
        <v>114</v>
      </c>
      <c r="R272" s="2" t="s">
        <v>114</v>
      </c>
      <c r="S272" s="2">
        <v>16.253164842437197</v>
      </c>
      <c r="T272" s="70"/>
      <c r="U272" s="1">
        <v>0.22247692942619299</v>
      </c>
      <c r="V272" s="1">
        <v>0.195854233329295</v>
      </c>
      <c r="W272" s="1">
        <v>0.67941680364310697</v>
      </c>
      <c r="X272" s="1">
        <v>220.903537</v>
      </c>
      <c r="Y272" s="1">
        <v>52</v>
      </c>
      <c r="Z272" s="70"/>
    </row>
    <row r="273" spans="1:52" x14ac:dyDescent="0.2">
      <c r="A273" s="1" t="s">
        <v>436</v>
      </c>
      <c r="B273" s="1" t="s">
        <v>433</v>
      </c>
      <c r="C273" s="8">
        <v>42356</v>
      </c>
      <c r="D273" s="9">
        <v>6.3109999999999999</v>
      </c>
      <c r="E273" s="9">
        <v>-2.383</v>
      </c>
      <c r="F273" s="65" t="s">
        <v>390</v>
      </c>
      <c r="G273" s="70"/>
      <c r="H273" s="2">
        <v>1.2808903247189374</v>
      </c>
      <c r="I273" s="2">
        <v>1.1197393702544138</v>
      </c>
      <c r="J273" s="2">
        <v>2.2104538253300645</v>
      </c>
      <c r="K273" s="2">
        <v>0.36361123912933285</v>
      </c>
      <c r="L273" s="2">
        <v>2.2699138058549687E-2</v>
      </c>
      <c r="M273" s="2" t="s">
        <v>114</v>
      </c>
      <c r="N273" s="2" t="s">
        <v>114</v>
      </c>
      <c r="O273" s="2" t="s">
        <v>114</v>
      </c>
      <c r="P273" s="2" t="s">
        <v>114</v>
      </c>
      <c r="Q273" s="2" t="s">
        <v>114</v>
      </c>
      <c r="R273" s="2" t="s">
        <v>114</v>
      </c>
      <c r="S273" s="2">
        <v>4.9973938974912988</v>
      </c>
      <c r="T273" s="70"/>
      <c r="U273" s="1">
        <v>1.7127163410186801</v>
      </c>
      <c r="V273" s="1">
        <v>1.5089850808590699</v>
      </c>
      <c r="W273" s="1">
        <v>4.0343170538544699</v>
      </c>
      <c r="X273" s="1">
        <v>222.10725550000001</v>
      </c>
      <c r="Y273" s="1">
        <v>328</v>
      </c>
      <c r="Z273" s="70"/>
    </row>
    <row r="274" spans="1:52" x14ac:dyDescent="0.2">
      <c r="A274" s="1" t="s">
        <v>437</v>
      </c>
      <c r="B274" s="1" t="s">
        <v>438</v>
      </c>
      <c r="C274" s="8">
        <v>42470</v>
      </c>
      <c r="D274" s="9">
        <v>15.233995</v>
      </c>
      <c r="E274" s="9">
        <v>-91.694367999999997</v>
      </c>
      <c r="F274" s="65" t="s">
        <v>393</v>
      </c>
      <c r="G274" s="70"/>
      <c r="H274" s="2">
        <v>0.238878991873307</v>
      </c>
      <c r="I274" s="2">
        <v>0.47724935047957301</v>
      </c>
      <c r="J274" s="2">
        <v>0.62996470186621567</v>
      </c>
      <c r="K274" s="2">
        <v>0.46767577004280431</v>
      </c>
      <c r="L274" s="2">
        <v>1.1053262096846931E-2</v>
      </c>
      <c r="M274" s="2" t="s">
        <v>114</v>
      </c>
      <c r="N274" s="2" t="s">
        <v>114</v>
      </c>
      <c r="O274" s="2" t="s">
        <v>114</v>
      </c>
      <c r="P274" s="2" t="s">
        <v>114</v>
      </c>
      <c r="Q274" s="2" t="s">
        <v>114</v>
      </c>
      <c r="R274" s="2" t="s">
        <v>114</v>
      </c>
      <c r="S274" s="2">
        <v>1.824822076358747</v>
      </c>
      <c r="T274" s="70"/>
      <c r="U274" s="1">
        <v>5.3584680557251003</v>
      </c>
      <c r="V274" s="1">
        <v>4.5952748445015903</v>
      </c>
      <c r="W274" s="1">
        <v>7.8239358663559004</v>
      </c>
      <c r="X274" s="1">
        <v>2117.4430379999999</v>
      </c>
      <c r="Y274" s="1">
        <v>1178</v>
      </c>
      <c r="Z274" s="70"/>
    </row>
    <row r="275" spans="1:52" x14ac:dyDescent="0.2">
      <c r="A275" s="1" t="s">
        <v>439</v>
      </c>
      <c r="B275" s="1" t="s">
        <v>184</v>
      </c>
      <c r="C275" s="8">
        <v>42517</v>
      </c>
      <c r="D275" s="9">
        <v>1.14219</v>
      </c>
      <c r="E275" s="9">
        <v>127.69994</v>
      </c>
      <c r="F275" s="65" t="s">
        <v>393</v>
      </c>
      <c r="G275" s="70"/>
      <c r="H275" s="2">
        <v>0.267446313166123</v>
      </c>
      <c r="I275" s="2">
        <v>0.39727575129428</v>
      </c>
      <c r="J275" s="2">
        <v>0.75965825161726241</v>
      </c>
      <c r="K275" s="2">
        <v>0.52222570571907501</v>
      </c>
      <c r="L275" s="2">
        <v>0.13642345769861178</v>
      </c>
      <c r="M275" s="2" t="s">
        <v>114</v>
      </c>
      <c r="N275" s="2" t="s">
        <v>114</v>
      </c>
      <c r="O275" s="2" t="s">
        <v>114</v>
      </c>
      <c r="P275" s="2" t="s">
        <v>114</v>
      </c>
      <c r="Q275" s="2" t="s">
        <v>114</v>
      </c>
      <c r="R275" s="2" t="s">
        <v>114</v>
      </c>
      <c r="S275" s="2">
        <v>2.0830294794953521</v>
      </c>
      <c r="T275" s="70"/>
      <c r="U275" s="1">
        <v>1.81445753574371</v>
      </c>
      <c r="V275" s="1">
        <v>2.3159132578950001</v>
      </c>
      <c r="W275" s="1">
        <v>6.2970519363880202</v>
      </c>
      <c r="X275" s="1">
        <v>243.9018987</v>
      </c>
      <c r="Y275" s="1">
        <v>907</v>
      </c>
      <c r="Z275" s="70"/>
      <c r="AA275" s="1" t="s">
        <v>86</v>
      </c>
      <c r="AB275" s="1" t="s">
        <v>96</v>
      </c>
      <c r="AC275" s="1" t="s">
        <v>440</v>
      </c>
      <c r="AD275" s="1">
        <v>17</v>
      </c>
      <c r="AE275" s="18">
        <v>7.5759999999999996</v>
      </c>
      <c r="AF275" s="11">
        <v>21.321430834213306</v>
      </c>
      <c r="AG275" s="12">
        <v>9.7525409186906025</v>
      </c>
      <c r="AM275" s="10">
        <v>153.68876710000001</v>
      </c>
      <c r="AN275" s="10">
        <v>64.984694000000005</v>
      </c>
      <c r="AW275" s="18">
        <v>7.5759999999999996</v>
      </c>
      <c r="AX275" s="18">
        <v>42.518000000000001</v>
      </c>
      <c r="AY275" s="12">
        <v>82.145893688461555</v>
      </c>
      <c r="AZ275" s="10">
        <f>AE275+AX275</f>
        <v>50.094000000000001</v>
      </c>
    </row>
    <row r="276" spans="1:52" x14ac:dyDescent="0.2">
      <c r="A276" s="1" t="s">
        <v>441</v>
      </c>
      <c r="B276" s="1" t="s">
        <v>442</v>
      </c>
      <c r="C276" s="8">
        <v>42365</v>
      </c>
      <c r="D276" s="9">
        <v>-42.171222999999998</v>
      </c>
      <c r="E276" s="9">
        <v>171.89858000000001</v>
      </c>
      <c r="F276" s="65" t="s">
        <v>393</v>
      </c>
      <c r="G276" s="70"/>
      <c r="H276" s="2">
        <v>0.48122548370269597</v>
      </c>
      <c r="I276" s="2">
        <v>0.621984909658297</v>
      </c>
      <c r="J276" s="2">
        <v>2.7515091767751891</v>
      </c>
      <c r="K276" s="2">
        <v>0.13113514191562473</v>
      </c>
      <c r="L276" s="2">
        <v>2.5731617027495001E-2</v>
      </c>
      <c r="M276" s="2" t="s">
        <v>114</v>
      </c>
      <c r="N276" s="2" t="s">
        <v>114</v>
      </c>
      <c r="O276" s="2" t="s">
        <v>114</v>
      </c>
      <c r="P276" s="2" t="s">
        <v>114</v>
      </c>
      <c r="Q276" s="2" t="s">
        <v>114</v>
      </c>
      <c r="R276" s="2" t="s">
        <v>114</v>
      </c>
      <c r="S276" s="2">
        <v>4.0115863290793019</v>
      </c>
      <c r="T276" s="70"/>
      <c r="U276" s="1">
        <v>2.3503478765487702</v>
      </c>
      <c r="V276" s="1">
        <v>2.6263907654927299</v>
      </c>
      <c r="W276" s="1">
        <v>8.1231713891029393</v>
      </c>
      <c r="X276" s="1">
        <v>450.91025639999998</v>
      </c>
      <c r="Y276" s="1">
        <v>631</v>
      </c>
      <c r="Z276" s="70"/>
    </row>
    <row r="277" spans="1:52" x14ac:dyDescent="0.2">
      <c r="A277" s="1" t="s">
        <v>443</v>
      </c>
      <c r="B277" s="1" t="s">
        <v>442</v>
      </c>
      <c r="C277" s="8">
        <v>42352</v>
      </c>
      <c r="D277" s="9">
        <v>-3.1250040000000001</v>
      </c>
      <c r="E277" s="9">
        <v>152.63351599999999</v>
      </c>
      <c r="F277" s="65" t="s">
        <v>390</v>
      </c>
      <c r="G277" s="70"/>
      <c r="H277" s="2">
        <v>3.0255762920714862</v>
      </c>
      <c r="I277" s="2">
        <v>2.2275177680975338</v>
      </c>
      <c r="J277" s="2">
        <v>9.3005325430060832</v>
      </c>
      <c r="K277" s="2">
        <v>0.30142873019700001</v>
      </c>
      <c r="L277" s="2">
        <v>9.2032613006224853E-2</v>
      </c>
      <c r="M277" s="2" t="s">
        <v>114</v>
      </c>
      <c r="N277" s="2" t="s">
        <v>114</v>
      </c>
      <c r="O277" s="2" t="s">
        <v>114</v>
      </c>
      <c r="P277" s="2" t="s">
        <v>114</v>
      </c>
      <c r="Q277" s="2" t="s">
        <v>114</v>
      </c>
      <c r="R277" s="2" t="s">
        <v>114</v>
      </c>
      <c r="S277" s="2">
        <v>14.947087946378328</v>
      </c>
      <c r="T277" s="70"/>
      <c r="U277" s="1">
        <v>2.5151169300079301</v>
      </c>
      <c r="V277" s="1">
        <v>2.9410258548797201</v>
      </c>
      <c r="W277" s="1">
        <v>5.6821271777152997</v>
      </c>
      <c r="X277" s="1">
        <v>197.6519337</v>
      </c>
      <c r="Y277" s="1">
        <v>755</v>
      </c>
      <c r="Z277" s="70"/>
    </row>
    <row r="278" spans="1:52" x14ac:dyDescent="0.2">
      <c r="A278" s="1" t="s">
        <v>444</v>
      </c>
      <c r="B278" s="1" t="s">
        <v>442</v>
      </c>
      <c r="C278" s="8">
        <v>41672</v>
      </c>
      <c r="D278" s="9">
        <v>-5.510427</v>
      </c>
      <c r="E278" s="9">
        <v>143.07499799999999</v>
      </c>
      <c r="F278" s="65" t="s">
        <v>390</v>
      </c>
      <c r="G278" s="70"/>
      <c r="H278" s="2">
        <v>0.59427192216720393</v>
      </c>
      <c r="I278" s="2">
        <v>0.52792102611790903</v>
      </c>
      <c r="J278" s="2">
        <v>1.1962747867474355</v>
      </c>
      <c r="K278" s="2">
        <v>0.10055216913088</v>
      </c>
      <c r="L278" s="2">
        <v>6.7923191488418633E-2</v>
      </c>
      <c r="M278" s="2" t="s">
        <v>114</v>
      </c>
      <c r="N278" s="2" t="s">
        <v>114</v>
      </c>
      <c r="O278" s="2" t="s">
        <v>114</v>
      </c>
      <c r="P278" s="2" t="s">
        <v>114</v>
      </c>
      <c r="Q278" s="2" t="s">
        <v>114</v>
      </c>
      <c r="R278" s="2" t="s">
        <v>114</v>
      </c>
      <c r="S278" s="2">
        <v>2.4869430956518475</v>
      </c>
      <c r="T278" s="70"/>
      <c r="U278" s="1">
        <v>8.9231643676757795</v>
      </c>
      <c r="V278" s="1">
        <v>6.7574209733099897</v>
      </c>
      <c r="W278" s="1">
        <v>12.5166770219803</v>
      </c>
      <c r="X278" s="1">
        <v>2998.6487339999999</v>
      </c>
      <c r="Y278" s="1">
        <v>1842</v>
      </c>
      <c r="Z278" s="70"/>
    </row>
    <row r="279" spans="1:52" x14ac:dyDescent="0.2">
      <c r="A279" s="1" t="s">
        <v>445</v>
      </c>
      <c r="B279" s="1" t="s">
        <v>205</v>
      </c>
      <c r="C279" s="8">
        <v>42503</v>
      </c>
      <c r="D279" s="9">
        <v>-7.4666699999999997</v>
      </c>
      <c r="E279" s="9">
        <v>146.55416600000001</v>
      </c>
      <c r="F279" s="65" t="s">
        <v>393</v>
      </c>
      <c r="G279" s="70"/>
      <c r="H279" s="2">
        <v>2.5244441329626701</v>
      </c>
      <c r="I279" s="2" t="s">
        <v>114</v>
      </c>
      <c r="J279" s="2">
        <v>2.7731333864659846</v>
      </c>
      <c r="K279" s="2">
        <v>0.7885908035864565</v>
      </c>
      <c r="L279" s="2" t="s">
        <v>114</v>
      </c>
      <c r="M279" s="2" t="s">
        <v>114</v>
      </c>
      <c r="N279" s="2" t="s">
        <v>114</v>
      </c>
      <c r="O279" s="2" t="s">
        <v>114</v>
      </c>
      <c r="P279" s="2" t="s">
        <v>114</v>
      </c>
      <c r="Q279" s="2" t="s">
        <v>114</v>
      </c>
      <c r="R279" s="2" t="s">
        <v>114</v>
      </c>
      <c r="S279" s="2">
        <v>6.0861683230151105</v>
      </c>
      <c r="T279" s="70"/>
      <c r="U279" s="1">
        <v>9.5274300575256294</v>
      </c>
      <c r="V279" s="1">
        <v>8.2983528207509902</v>
      </c>
      <c r="W279" s="1">
        <v>13.712352514267</v>
      </c>
      <c r="X279" s="1">
        <v>2113.4358969999998</v>
      </c>
      <c r="Y279" s="1">
        <v>2174</v>
      </c>
      <c r="Z279" s="70"/>
      <c r="AA279" s="1" t="s">
        <v>86</v>
      </c>
      <c r="AB279" s="1" t="s">
        <v>87</v>
      </c>
      <c r="AC279" s="1" t="s">
        <v>440</v>
      </c>
      <c r="AD279" s="1">
        <v>19</v>
      </c>
      <c r="AE279" s="18">
        <v>97.003</v>
      </c>
      <c r="AF279" s="11">
        <v>4.5308007999752586</v>
      </c>
      <c r="AG279" s="12">
        <v>0.2490703545251178</v>
      </c>
      <c r="AM279" s="10">
        <v>379.50390779999998</v>
      </c>
      <c r="AN279" s="10">
        <v>8.2980554000000009</v>
      </c>
      <c r="AW279" s="18">
        <v>97.003</v>
      </c>
      <c r="AX279" s="10">
        <v>535.92100000000005</v>
      </c>
      <c r="AY279" s="1">
        <v>100</v>
      </c>
      <c r="AZ279" s="10">
        <f>AE279+AX279</f>
        <v>632.92400000000009</v>
      </c>
    </row>
    <row r="280" spans="1:52" x14ac:dyDescent="0.2">
      <c r="A280" s="1" t="s">
        <v>446</v>
      </c>
      <c r="B280" s="1" t="s">
        <v>205</v>
      </c>
      <c r="C280" s="8">
        <v>42623</v>
      </c>
      <c r="D280" s="9">
        <v>-7.9480599999999999</v>
      </c>
      <c r="E280" s="9">
        <v>-78.244720000000001</v>
      </c>
      <c r="F280" s="65" t="s">
        <v>393</v>
      </c>
      <c r="G280" s="70"/>
      <c r="H280" s="2">
        <v>1.24973368624103</v>
      </c>
      <c r="I280" s="2" t="s">
        <v>114</v>
      </c>
      <c r="J280" s="2">
        <v>5.1464473428514692</v>
      </c>
      <c r="K280" s="2">
        <v>0.57100412855960514</v>
      </c>
      <c r="L280" s="2">
        <v>3.5174319866433705E-2</v>
      </c>
      <c r="M280" s="2" t="s">
        <v>114</v>
      </c>
      <c r="N280" s="2" t="s">
        <v>114</v>
      </c>
      <c r="O280" s="2" t="s">
        <v>114</v>
      </c>
      <c r="P280" s="2" t="s">
        <v>114</v>
      </c>
      <c r="Q280" s="2" t="s">
        <v>114</v>
      </c>
      <c r="R280" s="2">
        <v>5.0413848268941992</v>
      </c>
      <c r="S280" s="2">
        <v>7.0023594775185378</v>
      </c>
      <c r="T280" s="70"/>
      <c r="U280" s="1">
        <v>1.5963286757469199</v>
      </c>
      <c r="V280" s="1">
        <v>3.2744658721290598</v>
      </c>
      <c r="W280" s="1">
        <v>9.3198408707976306</v>
      </c>
      <c r="X280" s="1">
        <v>3839.88535</v>
      </c>
      <c r="Y280" s="1">
        <v>823</v>
      </c>
      <c r="Z280" s="70"/>
      <c r="AA280" s="1" t="s">
        <v>86</v>
      </c>
      <c r="AB280" s="1" t="s">
        <v>96</v>
      </c>
      <c r="AC280" s="1" t="s">
        <v>440</v>
      </c>
      <c r="AD280" s="1">
        <v>24</v>
      </c>
      <c r="AE280" s="10">
        <v>107.38379624561399</v>
      </c>
      <c r="AF280" s="11">
        <v>6.1784460588735479</v>
      </c>
      <c r="AG280" s="12">
        <v>1.898504068793001</v>
      </c>
      <c r="AM280" s="10">
        <v>572.667968918714</v>
      </c>
      <c r="AN280" s="10">
        <v>101.934287047368</v>
      </c>
      <c r="AW280" s="10">
        <v>107.38379624561399</v>
      </c>
      <c r="AX280" s="10">
        <v>879.11791686315803</v>
      </c>
      <c r="AY280" s="12">
        <v>82.145893688461555</v>
      </c>
      <c r="AZ280" s="10">
        <f>AE280+AX280</f>
        <v>986.50171310877204</v>
      </c>
    </row>
    <row r="281" spans="1:52" x14ac:dyDescent="0.2">
      <c r="A281" s="1" t="s">
        <v>447</v>
      </c>
      <c r="B281" s="1" t="s">
        <v>205</v>
      </c>
      <c r="C281" s="8">
        <v>42695</v>
      </c>
      <c r="D281" s="9">
        <v>-9.4469399999999997</v>
      </c>
      <c r="E281" s="9">
        <v>-77.586939999999998</v>
      </c>
      <c r="F281" s="65" t="s">
        <v>393</v>
      </c>
      <c r="G281" s="70"/>
      <c r="H281" s="2">
        <v>0.60706900794795093</v>
      </c>
      <c r="I281" s="2">
        <v>0.62471327017796008</v>
      </c>
      <c r="J281" s="2">
        <v>2.2313177951707988</v>
      </c>
      <c r="K281" s="2">
        <v>0.59305571090759335</v>
      </c>
      <c r="L281" s="2" t="s">
        <v>114</v>
      </c>
      <c r="M281" s="2" t="s">
        <v>114</v>
      </c>
      <c r="N281" s="2" t="s">
        <v>114</v>
      </c>
      <c r="O281" s="2" t="s">
        <v>114</v>
      </c>
      <c r="P281" s="2" t="s">
        <v>114</v>
      </c>
      <c r="Q281" s="2" t="s">
        <v>114</v>
      </c>
      <c r="R281" s="2" t="s">
        <v>114</v>
      </c>
      <c r="S281" s="2">
        <v>4.0561557842043037</v>
      </c>
      <c r="T281" s="70"/>
      <c r="U281" s="1">
        <v>10.7181997299194</v>
      </c>
      <c r="V281" s="1">
        <v>9.8364473427556902</v>
      </c>
      <c r="W281" s="1">
        <v>19.3159056305885</v>
      </c>
      <c r="X281" s="1">
        <v>3632.3662420000001</v>
      </c>
      <c r="Y281" s="1">
        <v>2176</v>
      </c>
      <c r="Z281" s="70"/>
      <c r="AA281" s="1" t="s">
        <v>86</v>
      </c>
      <c r="AB281" s="1" t="s">
        <v>87</v>
      </c>
      <c r="AC281" s="1" t="s">
        <v>398</v>
      </c>
      <c r="AD281" s="1">
        <v>7</v>
      </c>
      <c r="AE281" s="18">
        <v>24.366</v>
      </c>
      <c r="AF281" s="11">
        <v>1.7586932611015349</v>
      </c>
      <c r="AG281" s="12">
        <v>25.861699088894362</v>
      </c>
      <c r="AM281" s="10">
        <v>34.701690999999997</v>
      </c>
      <c r="AN281" s="10">
        <v>379.62654459999999</v>
      </c>
      <c r="AW281" s="18">
        <v>24.366</v>
      </c>
      <c r="AX281" s="10">
        <v>104.99</v>
      </c>
      <c r="AY281" s="1">
        <v>100</v>
      </c>
      <c r="AZ281" s="10">
        <f>AE281+AX281</f>
        <v>129.35599999999999</v>
      </c>
    </row>
    <row r="282" spans="1:52" x14ac:dyDescent="0.2">
      <c r="A282" s="1" t="s">
        <v>448</v>
      </c>
      <c r="B282" s="1" t="s">
        <v>209</v>
      </c>
      <c r="C282" s="8">
        <v>42564</v>
      </c>
      <c r="D282" s="9">
        <v>12.470470000000001</v>
      </c>
      <c r="E282" s="9">
        <v>123.39063</v>
      </c>
      <c r="F282" s="65" t="s">
        <v>390</v>
      </c>
      <c r="G282" s="70"/>
      <c r="H282" s="2">
        <v>1.5120339602162771</v>
      </c>
      <c r="I282" s="2" t="s">
        <v>114</v>
      </c>
      <c r="J282" s="2">
        <v>2.5515534351168401</v>
      </c>
      <c r="K282" s="2">
        <v>0.27238775279794963</v>
      </c>
      <c r="L282" s="2">
        <v>0.46538321990036297</v>
      </c>
      <c r="M282" s="2">
        <v>2.16617262527611</v>
      </c>
      <c r="N282" s="2" t="s">
        <v>114</v>
      </c>
      <c r="O282" s="2" t="s">
        <v>114</v>
      </c>
      <c r="P282" s="2" t="s">
        <v>114</v>
      </c>
      <c r="Q282" s="2" t="s">
        <v>114</v>
      </c>
      <c r="R282" s="2" t="s">
        <v>114</v>
      </c>
      <c r="S282" s="2">
        <v>6.9675309933075402</v>
      </c>
      <c r="T282" s="70"/>
      <c r="U282" s="1">
        <v>1.1743374466896099</v>
      </c>
      <c r="V282" s="1">
        <v>1.1161137108358901</v>
      </c>
      <c r="W282" s="1">
        <v>2.6565305441618001</v>
      </c>
      <c r="X282" s="1">
        <v>66.641304349999999</v>
      </c>
      <c r="Y282" s="1">
        <v>298</v>
      </c>
      <c r="Z282" s="70"/>
      <c r="AA282" s="1" t="s">
        <v>86</v>
      </c>
      <c r="AB282" s="1" t="s">
        <v>87</v>
      </c>
      <c r="AC282" s="1" t="s">
        <v>113</v>
      </c>
      <c r="AT282" s="10">
        <v>225.1992492</v>
      </c>
      <c r="AU282" s="11">
        <v>1.4767608536947112</v>
      </c>
      <c r="AV282" s="10">
        <v>271.44857500000001</v>
      </c>
      <c r="AX282" s="10">
        <v>136.3535512</v>
      </c>
      <c r="AY282" s="1">
        <v>100</v>
      </c>
      <c r="AZ282" s="10">
        <f>AT282+AX282</f>
        <v>361.55280040000002</v>
      </c>
    </row>
    <row r="283" spans="1:52" x14ac:dyDescent="0.2">
      <c r="A283" s="1" t="s">
        <v>449</v>
      </c>
      <c r="B283" s="1" t="s">
        <v>209</v>
      </c>
      <c r="C283" s="8">
        <v>42606</v>
      </c>
      <c r="D283" s="9">
        <v>8.2536100000000001</v>
      </c>
      <c r="E283" s="9">
        <v>126.03888999999999</v>
      </c>
      <c r="F283" s="65" t="s">
        <v>390</v>
      </c>
      <c r="G283" s="70"/>
      <c r="H283" s="2">
        <v>1.6865343428862896</v>
      </c>
      <c r="I283" s="2" t="s">
        <v>114</v>
      </c>
      <c r="J283" s="2">
        <v>3.1286628861378647</v>
      </c>
      <c r="K283" s="2">
        <v>0.19044677412534911</v>
      </c>
      <c r="L283" s="2">
        <v>0.18839087228303456</v>
      </c>
      <c r="M283" s="2">
        <v>1.3794967178916349</v>
      </c>
      <c r="N283" s="2" t="s">
        <v>114</v>
      </c>
      <c r="O283" s="2" t="s">
        <v>114</v>
      </c>
      <c r="P283" s="2" t="s">
        <v>114</v>
      </c>
      <c r="Q283" s="2" t="s">
        <v>114</v>
      </c>
      <c r="R283" s="2" t="s">
        <v>114</v>
      </c>
      <c r="S283" s="2">
        <f>SUM(H283:R283)</f>
        <v>6.573531593324172</v>
      </c>
      <c r="T283" s="70"/>
      <c r="U283" s="1">
        <v>1.60989582538605</v>
      </c>
      <c r="V283" s="1">
        <v>2.2329919375717999</v>
      </c>
      <c r="W283" s="1">
        <v>7.0183163806796101</v>
      </c>
      <c r="X283" s="1">
        <v>197.125</v>
      </c>
      <c r="Y283" s="1">
        <v>790</v>
      </c>
      <c r="Z283" s="70"/>
      <c r="AA283" s="1" t="s">
        <v>86</v>
      </c>
      <c r="AB283" s="1" t="s">
        <v>87</v>
      </c>
      <c r="AC283" s="1" t="s">
        <v>113</v>
      </c>
      <c r="AD283" s="1">
        <v>16</v>
      </c>
      <c r="AT283" s="10">
        <v>169.592994228571</v>
      </c>
      <c r="AU283" s="11">
        <v>1.6767436418285828</v>
      </c>
      <c r="AV283" s="10">
        <v>245.25326269999999</v>
      </c>
      <c r="AX283" s="10">
        <v>279.11456379428603</v>
      </c>
      <c r="AY283" s="1">
        <v>100</v>
      </c>
      <c r="AZ283" s="10">
        <f>AT283+AX283</f>
        <v>448.70755802285703</v>
      </c>
    </row>
    <row r="284" spans="1:52" x14ac:dyDescent="0.2">
      <c r="A284" s="1" t="s">
        <v>450</v>
      </c>
      <c r="B284" s="1" t="s">
        <v>184</v>
      </c>
      <c r="C284" s="8">
        <v>42625</v>
      </c>
      <c r="D284" s="9">
        <v>59.872500000000002</v>
      </c>
      <c r="E284" s="9">
        <v>92.913330000000002</v>
      </c>
      <c r="F284" s="65" t="s">
        <v>393</v>
      </c>
      <c r="G284" s="70"/>
      <c r="H284" s="2">
        <v>1.016729781659824</v>
      </c>
      <c r="I284" s="2">
        <v>2.1780743580630681</v>
      </c>
      <c r="J284" s="2">
        <v>2.3678453181635355</v>
      </c>
      <c r="K284" s="2">
        <v>0.34491884468176903</v>
      </c>
      <c r="L284" s="2" t="s">
        <v>114</v>
      </c>
      <c r="M284" s="2" t="s">
        <v>114</v>
      </c>
      <c r="N284" s="2" t="s">
        <v>114</v>
      </c>
      <c r="O284" s="2" t="s">
        <v>114</v>
      </c>
      <c r="P284" s="2" t="s">
        <v>114</v>
      </c>
      <c r="Q284" s="2" t="s">
        <v>114</v>
      </c>
      <c r="R284" s="2" t="s">
        <v>114</v>
      </c>
      <c r="S284" s="2">
        <v>5.9075683025681966</v>
      </c>
      <c r="T284" s="70"/>
      <c r="U284" s="1">
        <v>0.97211942076683</v>
      </c>
      <c r="V284" s="1">
        <v>1.47422217494383</v>
      </c>
      <c r="W284" s="1">
        <v>4.1241863965988204</v>
      </c>
      <c r="X284" s="1">
        <v>702.53674120000005</v>
      </c>
      <c r="Y284" s="1">
        <v>516</v>
      </c>
      <c r="Z284" s="70"/>
    </row>
    <row r="285" spans="1:52" x14ac:dyDescent="0.2">
      <c r="A285" s="1" t="s">
        <v>451</v>
      </c>
      <c r="B285" s="1" t="s">
        <v>216</v>
      </c>
      <c r="C285" s="8">
        <v>42735</v>
      </c>
      <c r="D285" s="9">
        <v>66.790000000000006</v>
      </c>
      <c r="E285" s="9">
        <v>169.56193999999999</v>
      </c>
      <c r="F285" s="65" t="s">
        <v>393</v>
      </c>
      <c r="G285" s="70"/>
      <c r="H285" s="2" t="s">
        <v>114</v>
      </c>
      <c r="I285" s="2" t="s">
        <v>114</v>
      </c>
      <c r="J285" s="2">
        <v>1.2833327861751651E-2</v>
      </c>
      <c r="K285" s="2">
        <v>0.1153983812742605</v>
      </c>
      <c r="L285" s="2" t="s">
        <v>114</v>
      </c>
      <c r="M285" s="2" t="s">
        <v>114</v>
      </c>
      <c r="N285" s="2" t="s">
        <v>114</v>
      </c>
      <c r="O285" s="2" t="s">
        <v>114</v>
      </c>
      <c r="P285" s="2" t="s">
        <v>114</v>
      </c>
      <c r="Q285" s="2" t="s">
        <v>114</v>
      </c>
      <c r="R285" s="2" t="s">
        <v>114</v>
      </c>
      <c r="S285" s="2">
        <v>0.12823170913601215</v>
      </c>
      <c r="T285" s="70"/>
      <c r="U285" s="1">
        <v>1.2546284794807401</v>
      </c>
      <c r="V285" s="1">
        <v>1.19978266484868</v>
      </c>
      <c r="W285" s="1">
        <v>2.53196865320206</v>
      </c>
      <c r="X285" s="1">
        <v>571.89067520000003</v>
      </c>
      <c r="Y285" s="1">
        <v>340</v>
      </c>
      <c r="Z285" s="70"/>
    </row>
    <row r="286" spans="1:52" x14ac:dyDescent="0.2">
      <c r="A286" s="1" t="s">
        <v>452</v>
      </c>
      <c r="B286" s="1" t="s">
        <v>360</v>
      </c>
      <c r="C286" s="8">
        <v>41949</v>
      </c>
      <c r="D286" s="9">
        <v>13.18472</v>
      </c>
      <c r="E286" s="9">
        <v>-12.112500000000001</v>
      </c>
      <c r="F286" s="65" t="s">
        <v>393</v>
      </c>
      <c r="G286" s="70"/>
      <c r="H286" s="2">
        <v>3.5034415090889306</v>
      </c>
      <c r="I286" s="2">
        <v>4.5425457081373235</v>
      </c>
      <c r="J286" s="2">
        <v>22.799240339286751</v>
      </c>
      <c r="K286" s="2">
        <v>2.3417724574729655</v>
      </c>
      <c r="L286" s="2">
        <v>8.5820625334828912E-3</v>
      </c>
      <c r="M286" s="2" t="s">
        <v>114</v>
      </c>
      <c r="N286" s="2" t="s">
        <v>114</v>
      </c>
      <c r="O286" s="2" t="s">
        <v>114</v>
      </c>
      <c r="P286" s="2" t="s">
        <v>114</v>
      </c>
      <c r="Q286" s="2" t="s">
        <v>114</v>
      </c>
      <c r="R286" s="2" t="s">
        <v>114</v>
      </c>
      <c r="S286" s="2">
        <v>33.19558207651945</v>
      </c>
      <c r="T286" s="70"/>
      <c r="U286" s="1">
        <v>0.78500437736511197</v>
      </c>
      <c r="V286" s="1">
        <v>0.59596086471311505</v>
      </c>
      <c r="W286" s="1">
        <v>1.4010645449161501</v>
      </c>
      <c r="X286" s="1">
        <v>185.35806450000001</v>
      </c>
      <c r="Y286" s="1">
        <v>205</v>
      </c>
      <c r="Z286" s="70"/>
    </row>
    <row r="287" spans="1:52" x14ac:dyDescent="0.2">
      <c r="A287" s="1" t="s">
        <v>453</v>
      </c>
      <c r="B287" s="1" t="s">
        <v>360</v>
      </c>
      <c r="C287" s="8">
        <v>42826</v>
      </c>
      <c r="D287" s="9">
        <v>-24.829511</v>
      </c>
      <c r="E287" s="9">
        <v>27.287966999999998</v>
      </c>
      <c r="F287" s="65" t="s">
        <v>393</v>
      </c>
      <c r="G287" s="70"/>
      <c r="H287" s="2" t="s">
        <v>114</v>
      </c>
      <c r="I287" s="2">
        <v>0.70016395594137892</v>
      </c>
      <c r="J287" s="2">
        <v>1.9909775928265698</v>
      </c>
      <c r="K287" s="2">
        <v>1.3021066335440794</v>
      </c>
      <c r="L287" s="2" t="s">
        <v>114</v>
      </c>
      <c r="M287" s="2" t="s">
        <v>114</v>
      </c>
      <c r="N287" s="2" t="s">
        <v>114</v>
      </c>
      <c r="O287" s="2" t="s">
        <v>114</v>
      </c>
      <c r="P287" s="2" t="s">
        <v>114</v>
      </c>
      <c r="Q287" s="2" t="s">
        <v>114</v>
      </c>
      <c r="R287" s="2" t="s">
        <v>114</v>
      </c>
      <c r="S287" s="2">
        <v>3.9932481823120285</v>
      </c>
      <c r="T287" s="70"/>
      <c r="U287" s="1">
        <v>0.51196527481079102</v>
      </c>
      <c r="V287" s="1">
        <v>0.48890239869158097</v>
      </c>
      <c r="W287" s="1">
        <v>1.0247112438082699</v>
      </c>
      <c r="X287" s="1">
        <v>970.05750799999998</v>
      </c>
      <c r="Y287" s="1">
        <v>170</v>
      </c>
      <c r="Z287" s="70"/>
    </row>
    <row r="288" spans="1:52" x14ac:dyDescent="0.2">
      <c r="A288" s="1" t="s">
        <v>454</v>
      </c>
      <c r="B288" s="1" t="s">
        <v>455</v>
      </c>
      <c r="C288" s="8">
        <v>42530</v>
      </c>
      <c r="D288" s="9">
        <v>-25.183</v>
      </c>
      <c r="E288" s="9">
        <v>26.922000000000001</v>
      </c>
      <c r="F288" s="65" t="s">
        <v>390</v>
      </c>
      <c r="G288" s="70"/>
      <c r="H288" s="2">
        <v>0.69581004758067411</v>
      </c>
      <c r="I288" s="2">
        <v>3.6699379629759328</v>
      </c>
      <c r="J288" s="2">
        <v>3.1935332703644712</v>
      </c>
      <c r="K288" s="2">
        <v>0.86307949744506729</v>
      </c>
      <c r="L288" s="2" t="s">
        <v>114</v>
      </c>
      <c r="M288" s="2" t="s">
        <v>114</v>
      </c>
      <c r="N288" s="2" t="s">
        <v>114</v>
      </c>
      <c r="O288" s="2" t="s">
        <v>114</v>
      </c>
      <c r="P288" s="2" t="s">
        <v>114</v>
      </c>
      <c r="Q288" s="2" t="s">
        <v>114</v>
      </c>
      <c r="R288" s="2" t="s">
        <v>114</v>
      </c>
      <c r="S288" s="2">
        <v>8.4223607783661443</v>
      </c>
      <c r="T288" s="70"/>
      <c r="U288" s="1">
        <v>0.79190260171890303</v>
      </c>
      <c r="V288" s="1">
        <v>1.03522267998769</v>
      </c>
      <c r="W288" s="1">
        <v>3.90792000293732</v>
      </c>
      <c r="X288" s="1">
        <v>1127.3722399999999</v>
      </c>
      <c r="Y288" s="1">
        <v>488</v>
      </c>
      <c r="Z288" s="70"/>
    </row>
    <row r="289" spans="1:52" x14ac:dyDescent="0.2">
      <c r="A289" s="1" t="s">
        <v>456</v>
      </c>
      <c r="B289" s="1" t="s">
        <v>226</v>
      </c>
      <c r="C289" s="8">
        <v>39448</v>
      </c>
      <c r="D289" s="9">
        <v>64.933059999999998</v>
      </c>
      <c r="E289" s="9">
        <v>20.58333</v>
      </c>
      <c r="F289" s="65" t="s">
        <v>390</v>
      </c>
      <c r="G289" s="70"/>
      <c r="H289" s="2">
        <v>0.44696873986840219</v>
      </c>
      <c r="I289" s="2">
        <v>1.337092090746977</v>
      </c>
      <c r="J289" s="2">
        <v>1.4635415841026667</v>
      </c>
      <c r="K289" s="2">
        <v>6.3137580003246666E-2</v>
      </c>
      <c r="L289" s="2">
        <v>1.8391740651383902E-2</v>
      </c>
      <c r="M289" s="2" t="s">
        <v>114</v>
      </c>
      <c r="N289" s="2" t="s">
        <v>114</v>
      </c>
      <c r="O289" s="2" t="s">
        <v>114</v>
      </c>
      <c r="P289" s="2" t="s">
        <v>114</v>
      </c>
      <c r="Q289" s="2" t="s">
        <v>114</v>
      </c>
      <c r="R289" s="2" t="s">
        <v>114</v>
      </c>
      <c r="S289" s="2">
        <v>3.3291317353726764</v>
      </c>
      <c r="T289" s="70"/>
      <c r="U289" s="1">
        <v>0.52448487281799305</v>
      </c>
      <c r="V289" s="1">
        <v>0.48073968305429299</v>
      </c>
      <c r="W289" s="1">
        <v>1.25178661197424</v>
      </c>
      <c r="X289" s="1">
        <v>154.81645570000001</v>
      </c>
      <c r="Y289" s="1">
        <v>128</v>
      </c>
      <c r="Z289" s="70"/>
    </row>
    <row r="290" spans="1:52" x14ac:dyDescent="0.2">
      <c r="A290" s="1" t="s">
        <v>457</v>
      </c>
      <c r="B290" s="1" t="s">
        <v>458</v>
      </c>
      <c r="C290" s="8">
        <v>42937</v>
      </c>
      <c r="D290" s="9">
        <v>-1.47333</v>
      </c>
      <c r="E290" s="9">
        <v>34.516390000000001</v>
      </c>
      <c r="F290" s="65" t="s">
        <v>390</v>
      </c>
      <c r="G290" s="70"/>
      <c r="H290" s="38">
        <v>0.57146658102011905</v>
      </c>
      <c r="I290" s="38">
        <v>1.54992573091339</v>
      </c>
      <c r="J290" s="38">
        <v>1.8915632341240713</v>
      </c>
      <c r="K290" s="38">
        <v>0.34019168603090894</v>
      </c>
      <c r="L290" s="38">
        <v>0.14092222228839696</v>
      </c>
      <c r="M290" s="39" t="s">
        <v>114</v>
      </c>
      <c r="N290" s="39" t="s">
        <v>114</v>
      </c>
      <c r="O290" s="39" t="s">
        <v>114</v>
      </c>
      <c r="P290" s="39" t="s">
        <v>114</v>
      </c>
      <c r="Q290" s="39" t="s">
        <v>114</v>
      </c>
      <c r="R290" s="39" t="s">
        <v>114</v>
      </c>
      <c r="S290" s="38">
        <v>4.4940694543768869</v>
      </c>
      <c r="T290" s="70"/>
      <c r="U290" s="1">
        <v>0.18133634328842199</v>
      </c>
      <c r="V290" s="1">
        <v>1.1247889152003701</v>
      </c>
      <c r="W290" s="1">
        <v>4.13086772710085</v>
      </c>
      <c r="X290" s="1">
        <v>1262.936508</v>
      </c>
      <c r="Y290" s="1">
        <v>336</v>
      </c>
      <c r="Z290" s="70"/>
      <c r="AA290" s="1" t="s">
        <v>86</v>
      </c>
      <c r="AB290" s="1" t="s">
        <v>87</v>
      </c>
      <c r="AC290" s="1" t="s">
        <v>401</v>
      </c>
      <c r="AD290" s="1">
        <v>16</v>
      </c>
      <c r="AE290" s="10">
        <v>43.288543695648002</v>
      </c>
      <c r="AF290" s="11">
        <v>3.3180085117156772</v>
      </c>
      <c r="AM290" s="10">
        <v>111.027143903691</v>
      </c>
      <c r="AW290" s="10">
        <v>43.288543695648002</v>
      </c>
      <c r="AX290" s="10">
        <v>177.31842850343301</v>
      </c>
      <c r="AY290" s="1">
        <v>100</v>
      </c>
      <c r="AZ290" s="10">
        <f>AE290+AX290</f>
        <v>220.60697219908101</v>
      </c>
    </row>
    <row r="291" spans="1:52" x14ac:dyDescent="0.2">
      <c r="A291" s="1" t="s">
        <v>459</v>
      </c>
      <c r="B291" s="1" t="s">
        <v>458</v>
      </c>
      <c r="C291" s="8">
        <v>42875</v>
      </c>
      <c r="D291" s="9">
        <v>-3.2234400000000001</v>
      </c>
      <c r="E291" s="9">
        <v>32.486159999999998</v>
      </c>
      <c r="F291" s="65" t="s">
        <v>390</v>
      </c>
      <c r="G291" s="70"/>
      <c r="H291" s="38" t="s">
        <v>114</v>
      </c>
      <c r="I291" s="38">
        <v>1.1803745587076688</v>
      </c>
      <c r="J291" s="38">
        <v>0.57587222534762839</v>
      </c>
      <c r="K291" s="38">
        <v>0.97297608130086055</v>
      </c>
      <c r="L291" s="38">
        <v>0.36246352821641492</v>
      </c>
      <c r="M291" s="39" t="s">
        <v>114</v>
      </c>
      <c r="N291" s="39" t="s">
        <v>114</v>
      </c>
      <c r="O291" s="39" t="s">
        <v>114</v>
      </c>
      <c r="P291" s="39" t="s">
        <v>114</v>
      </c>
      <c r="Q291" s="39" t="s">
        <v>114</v>
      </c>
      <c r="R291" s="39" t="s">
        <v>114</v>
      </c>
      <c r="S291" s="38">
        <v>3.0916863935725725</v>
      </c>
      <c r="T291" s="70"/>
      <c r="U291" s="1">
        <v>0.30929443240165699</v>
      </c>
      <c r="V291" s="1">
        <v>0.488883811007639</v>
      </c>
      <c r="W291" s="1">
        <v>1.3667358607053799</v>
      </c>
      <c r="X291" s="1">
        <v>1194.875796</v>
      </c>
      <c r="Y291" s="1">
        <v>123</v>
      </c>
      <c r="Z291" s="70"/>
    </row>
    <row r="292" spans="1:52" x14ac:dyDescent="0.2">
      <c r="A292" s="1" t="s">
        <v>460</v>
      </c>
      <c r="B292" s="1" t="s">
        <v>458</v>
      </c>
      <c r="C292" s="8">
        <v>41446</v>
      </c>
      <c r="D292" s="1">
        <v>-3.20167</v>
      </c>
      <c r="E292" s="1">
        <v>31.52833</v>
      </c>
      <c r="F292" s="65" t="s">
        <v>393</v>
      </c>
      <c r="G292" s="70"/>
      <c r="H292" s="38">
        <v>0.35495849814946895</v>
      </c>
      <c r="I292" s="38">
        <v>0.13201517927241102</v>
      </c>
      <c r="J292" s="38">
        <v>0.93014726268947023</v>
      </c>
      <c r="K292" s="38">
        <v>0.48934993559899914</v>
      </c>
      <c r="L292" s="38">
        <v>0.13558234515489739</v>
      </c>
      <c r="M292" s="39" t="s">
        <v>114</v>
      </c>
      <c r="N292" s="39" t="s">
        <v>114</v>
      </c>
      <c r="O292" s="39" t="s">
        <v>114</v>
      </c>
      <c r="P292" s="39" t="s">
        <v>114</v>
      </c>
      <c r="Q292" s="39" t="s">
        <v>114</v>
      </c>
      <c r="R292" s="39" t="s">
        <v>114</v>
      </c>
      <c r="S292" s="38">
        <v>2.0420532208652467</v>
      </c>
      <c r="T292" s="70"/>
      <c r="U292" s="1">
        <v>0.29877264797687503</v>
      </c>
      <c r="V292" s="1">
        <v>0.35703192227564701</v>
      </c>
      <c r="W292" s="1">
        <v>1.1009915173053699</v>
      </c>
      <c r="X292" s="1">
        <v>1214.8498400000001</v>
      </c>
      <c r="Y292" s="1">
        <v>90</v>
      </c>
      <c r="Z292" s="70"/>
      <c r="AA292" s="1" t="s">
        <v>86</v>
      </c>
      <c r="AB292" s="1" t="s">
        <v>96</v>
      </c>
      <c r="AC292" s="1" t="s">
        <v>401</v>
      </c>
      <c r="AD292" s="1">
        <v>9</v>
      </c>
      <c r="AE292" s="18">
        <v>3.3765454758873599</v>
      </c>
      <c r="AF292" s="11">
        <v>9.0824100373084811</v>
      </c>
      <c r="AG292" s="1">
        <v>29427.317153621771</v>
      </c>
      <c r="AM292" s="10">
        <v>29.4273171536218</v>
      </c>
      <c r="AW292" s="18">
        <v>3.3765454758873599</v>
      </c>
      <c r="AX292" s="10">
        <v>25.169151263870098</v>
      </c>
      <c r="AY292" s="12">
        <v>57.842312918552679</v>
      </c>
      <c r="AZ292" s="10">
        <f>AE292+AX292</f>
        <v>28.54569673975746</v>
      </c>
    </row>
    <row r="293" spans="1:52" x14ac:dyDescent="0.2">
      <c r="A293" s="1" t="s">
        <v>461</v>
      </c>
      <c r="B293" s="1" t="s">
        <v>462</v>
      </c>
      <c r="C293" s="8">
        <v>42774</v>
      </c>
      <c r="D293" s="9">
        <v>16.290279999999999</v>
      </c>
      <c r="E293" s="9">
        <v>100.64610999999999</v>
      </c>
      <c r="F293" s="65" t="s">
        <v>390</v>
      </c>
      <c r="G293" s="70"/>
      <c r="H293" s="38">
        <v>0.95763279318463868</v>
      </c>
      <c r="I293" s="38">
        <v>1.3943142174407599</v>
      </c>
      <c r="J293" s="38">
        <v>3.7149127233722123</v>
      </c>
      <c r="K293" s="38">
        <v>0.32328150222263868</v>
      </c>
      <c r="L293" s="38">
        <v>0.22446923552570436</v>
      </c>
      <c r="M293" s="39" t="s">
        <v>114</v>
      </c>
      <c r="N293" s="39" t="s">
        <v>114</v>
      </c>
      <c r="O293" s="39" t="s">
        <v>114</v>
      </c>
      <c r="P293" s="39" t="s">
        <v>114</v>
      </c>
      <c r="Q293" s="39" t="s">
        <v>114</v>
      </c>
      <c r="R293" s="39" t="s">
        <v>114</v>
      </c>
      <c r="S293" s="38">
        <v>6.6146104717459542</v>
      </c>
      <c r="T293" s="70"/>
      <c r="U293" s="1">
        <v>0.18469621241092701</v>
      </c>
      <c r="V293" s="1">
        <v>0.16041468502356601</v>
      </c>
      <c r="W293" s="1">
        <v>0.54254447109997295</v>
      </c>
      <c r="X293" s="1">
        <v>73.660256410000002</v>
      </c>
      <c r="Y293" s="1">
        <v>74</v>
      </c>
      <c r="Z293" s="70"/>
    </row>
    <row r="294" spans="1:52" x14ac:dyDescent="0.2">
      <c r="A294" s="1" t="s">
        <v>463</v>
      </c>
      <c r="B294" s="1" t="s">
        <v>228</v>
      </c>
      <c r="C294" s="8">
        <v>41825</v>
      </c>
      <c r="D294" s="9">
        <v>40.981389999999998</v>
      </c>
      <c r="E294" s="9">
        <v>-116.37111</v>
      </c>
      <c r="F294" s="65" t="s">
        <v>390</v>
      </c>
      <c r="G294" s="70"/>
      <c r="H294" s="38">
        <v>4.5986798278808649</v>
      </c>
      <c r="I294" s="38">
        <v>3.1781096343442718</v>
      </c>
      <c r="J294" s="38">
        <v>18.921437584667519</v>
      </c>
      <c r="K294" s="38">
        <v>1.3681659816075959</v>
      </c>
      <c r="L294" s="38">
        <v>8.3941236429810502E-3</v>
      </c>
      <c r="M294" s="39" t="s">
        <v>114</v>
      </c>
      <c r="N294" s="39" t="s">
        <v>114</v>
      </c>
      <c r="O294" s="39" t="s">
        <v>114</v>
      </c>
      <c r="P294" s="39" t="s">
        <v>114</v>
      </c>
      <c r="Q294" s="39" t="s">
        <v>114</v>
      </c>
      <c r="R294" s="39" t="s">
        <v>114</v>
      </c>
      <c r="S294" s="38">
        <v>28.074787152143237</v>
      </c>
      <c r="T294" s="70"/>
      <c r="U294" s="1">
        <v>1.4537940025329601</v>
      </c>
      <c r="V294" s="1">
        <v>2.1449232158752598</v>
      </c>
      <c r="W294" s="1">
        <v>4.84321200847626</v>
      </c>
      <c r="X294" s="1">
        <v>1738.3461540000001</v>
      </c>
      <c r="Y294" s="1">
        <v>718</v>
      </c>
      <c r="Z294" s="70"/>
    </row>
    <row r="295" spans="1:52" x14ac:dyDescent="0.2">
      <c r="A295" s="1" t="s">
        <v>464</v>
      </c>
      <c r="B295" s="1" t="s">
        <v>228</v>
      </c>
      <c r="C295" s="8">
        <v>40404</v>
      </c>
      <c r="D295" s="9">
        <v>64.453059999999994</v>
      </c>
      <c r="E295" s="9">
        <v>-144.91</v>
      </c>
      <c r="F295" s="65" t="s">
        <v>390</v>
      </c>
      <c r="G295" s="70"/>
      <c r="H295" s="2">
        <v>2.6424092874646098E-2</v>
      </c>
      <c r="I295" s="2" t="s">
        <v>114</v>
      </c>
      <c r="J295" s="2">
        <v>0.37159380812129289</v>
      </c>
      <c r="K295" s="2">
        <v>0.5702366217871</v>
      </c>
      <c r="L295" s="2">
        <v>4.0288650385778307E-2</v>
      </c>
      <c r="M295" s="2" t="s">
        <v>114</v>
      </c>
      <c r="N295" s="2" t="s">
        <v>114</v>
      </c>
      <c r="O295" s="2" t="s">
        <v>114</v>
      </c>
      <c r="P295" s="2" t="s">
        <v>114</v>
      </c>
      <c r="Q295" s="2" t="s">
        <v>114</v>
      </c>
      <c r="R295" s="2" t="s">
        <v>114</v>
      </c>
      <c r="S295" s="2">
        <f>SUM(H295:R295)</f>
        <v>1.0085431731688173</v>
      </c>
      <c r="T295" s="70"/>
      <c r="U295" s="1">
        <v>3.17063212394714</v>
      </c>
      <c r="V295" s="1">
        <v>2.5783213771189399</v>
      </c>
      <c r="W295" s="1">
        <v>5.2497050464153299</v>
      </c>
      <c r="X295" s="1">
        <v>605.66453669999999</v>
      </c>
      <c r="Y295" s="1">
        <v>679</v>
      </c>
      <c r="Z295" s="70"/>
    </row>
    <row r="296" spans="1:52" x14ac:dyDescent="0.2">
      <c r="A296" s="1" t="s">
        <v>465</v>
      </c>
      <c r="B296" s="1" t="s">
        <v>228</v>
      </c>
      <c r="C296" s="8">
        <v>41791</v>
      </c>
      <c r="D296" s="9">
        <v>40.734169999999999</v>
      </c>
      <c r="E296" s="9">
        <v>-117.175</v>
      </c>
      <c r="F296" s="65" t="s">
        <v>390</v>
      </c>
      <c r="G296" s="70"/>
      <c r="H296" s="2">
        <v>3.6158660559128935</v>
      </c>
      <c r="I296" s="2" t="s">
        <v>114</v>
      </c>
      <c r="J296" s="2">
        <v>7.2068455437703989</v>
      </c>
      <c r="K296" s="2">
        <v>0.23506346971999104</v>
      </c>
      <c r="L296" s="2">
        <v>6.5345323724575341E-2</v>
      </c>
      <c r="M296" s="2">
        <v>2.6866633741354597</v>
      </c>
      <c r="N296" s="2" t="s">
        <v>114</v>
      </c>
      <c r="O296" s="2" t="s">
        <v>114</v>
      </c>
      <c r="P296" s="2" t="s">
        <v>114</v>
      </c>
      <c r="Q296" s="2" t="s">
        <v>114</v>
      </c>
      <c r="R296" s="2" t="s">
        <v>114</v>
      </c>
      <c r="S296" s="2">
        <v>13.809783767263319</v>
      </c>
      <c r="T296" s="70"/>
      <c r="U296" s="1">
        <v>1.7795407176017799</v>
      </c>
      <c r="V296" s="1">
        <v>2.3915682692246798</v>
      </c>
      <c r="W296" s="1">
        <v>8.7174582481384295</v>
      </c>
      <c r="X296" s="1">
        <v>1597.8152869999999</v>
      </c>
      <c r="Y296" s="1">
        <v>1193</v>
      </c>
      <c r="Z296" s="70"/>
      <c r="AA296" s="1" t="s">
        <v>86</v>
      </c>
      <c r="AB296" s="1" t="s">
        <v>87</v>
      </c>
      <c r="AC296" s="1" t="s">
        <v>113</v>
      </c>
      <c r="AD296" s="1">
        <v>28</v>
      </c>
      <c r="AT296" s="10">
        <v>206.04438950880001</v>
      </c>
      <c r="AU296" s="11">
        <v>0.6760104779851388</v>
      </c>
      <c r="AV296" s="10">
        <v>129.4991249</v>
      </c>
      <c r="AX296" s="10">
        <v>657.35516852640001</v>
      </c>
      <c r="AY296" s="1">
        <v>100</v>
      </c>
      <c r="AZ296" s="10">
        <f>AT296+AX296</f>
        <v>863.39955803520002</v>
      </c>
    </row>
    <row r="297" spans="1:52" x14ac:dyDescent="0.2">
      <c r="A297" s="1" t="s">
        <v>466</v>
      </c>
      <c r="B297" s="1" t="s">
        <v>228</v>
      </c>
      <c r="C297" s="8">
        <v>42871</v>
      </c>
      <c r="D297" s="9">
        <v>58.869940999999997</v>
      </c>
      <c r="E297" s="9">
        <v>-135.09580800000001</v>
      </c>
      <c r="F297" s="65" t="s">
        <v>390</v>
      </c>
      <c r="G297" s="70"/>
      <c r="H297" s="2" t="s">
        <v>114</v>
      </c>
      <c r="I297" s="2" t="s">
        <v>114</v>
      </c>
      <c r="J297" s="2">
        <v>3.7045611406251698E-2</v>
      </c>
      <c r="K297" s="2">
        <v>6.2773228919804098E-3</v>
      </c>
      <c r="L297" s="2">
        <v>3.7737656986564397E-3</v>
      </c>
      <c r="M297" s="2" t="s">
        <v>114</v>
      </c>
      <c r="N297" s="2" t="s">
        <v>114</v>
      </c>
      <c r="O297" s="2" t="s">
        <v>114</v>
      </c>
      <c r="P297" s="2" t="s">
        <v>114</v>
      </c>
      <c r="Q297" s="2" t="s">
        <v>114</v>
      </c>
      <c r="R297" s="2" t="s">
        <v>114</v>
      </c>
      <c r="S297" s="2">
        <v>4.709669999688855E-2</v>
      </c>
      <c r="T297" s="70"/>
      <c r="U297" s="1">
        <v>5.2159581184387198</v>
      </c>
      <c r="V297" s="1">
        <v>7.0449019487827096</v>
      </c>
      <c r="W297" s="1">
        <v>14.380963921546901</v>
      </c>
      <c r="X297" s="1">
        <v>642.65200000000004</v>
      </c>
      <c r="Y297" s="1">
        <v>1555</v>
      </c>
      <c r="Z297" s="70"/>
    </row>
    <row r="298" spans="1:52" x14ac:dyDescent="0.2">
      <c r="A298" s="1" t="s">
        <v>467</v>
      </c>
      <c r="B298" s="1" t="s">
        <v>228</v>
      </c>
      <c r="C298" s="8">
        <v>41538</v>
      </c>
      <c r="D298" s="9">
        <v>44.356670000000001</v>
      </c>
      <c r="E298" s="9">
        <v>-103.83638999999999</v>
      </c>
      <c r="F298" s="65" t="s">
        <v>390</v>
      </c>
      <c r="G298" s="70"/>
      <c r="H298" s="2">
        <v>0.54000852659975451</v>
      </c>
      <c r="I298" s="2" t="s">
        <v>114</v>
      </c>
      <c r="J298" s="2">
        <v>2.2030999108212916</v>
      </c>
      <c r="K298" s="2">
        <v>0.13084052549197128</v>
      </c>
      <c r="L298" s="2">
        <v>0.13035080610525587</v>
      </c>
      <c r="M298" s="2">
        <v>0.42237293263319098</v>
      </c>
      <c r="N298" s="2" t="s">
        <v>114</v>
      </c>
      <c r="O298" s="2" t="s">
        <v>114</v>
      </c>
      <c r="P298" s="2" t="s">
        <v>114</v>
      </c>
      <c r="Q298" s="2" t="s">
        <v>114</v>
      </c>
      <c r="R298" s="2" t="s">
        <v>114</v>
      </c>
      <c r="S298" s="2">
        <v>3.4266727016514649</v>
      </c>
      <c r="T298" s="70"/>
      <c r="U298" s="1">
        <v>2.1180082559585598</v>
      </c>
      <c r="V298" s="1">
        <v>2.1326188547923501</v>
      </c>
      <c r="W298" s="1">
        <v>3.5082419514656098</v>
      </c>
      <c r="X298" s="1">
        <v>1702.798722</v>
      </c>
      <c r="Y298" s="1">
        <v>787</v>
      </c>
      <c r="Z298" s="70"/>
    </row>
    <row r="299" spans="1:52" x14ac:dyDescent="0.2">
      <c r="A299" s="1" t="s">
        <v>468</v>
      </c>
      <c r="B299" s="1" t="s">
        <v>228</v>
      </c>
      <c r="C299" s="8">
        <v>41887</v>
      </c>
      <c r="D299" s="9">
        <v>45.90578</v>
      </c>
      <c r="E299" s="9">
        <v>-112.02161</v>
      </c>
      <c r="F299" s="65" t="s">
        <v>390</v>
      </c>
      <c r="G299" s="70"/>
      <c r="H299" s="2">
        <v>1.02310793675755</v>
      </c>
      <c r="I299" s="2">
        <v>0.94467364735242698</v>
      </c>
      <c r="J299" s="2">
        <v>7.1718733076737777</v>
      </c>
      <c r="K299" s="2">
        <v>0.13808161324264445</v>
      </c>
      <c r="L299" s="2">
        <v>4.6098936864896592E-2</v>
      </c>
      <c r="M299" s="2" t="s">
        <v>114</v>
      </c>
      <c r="N299" s="2" t="s">
        <v>114</v>
      </c>
      <c r="O299" s="2" t="s">
        <v>114</v>
      </c>
      <c r="P299" s="2" t="s">
        <v>114</v>
      </c>
      <c r="Q299" s="2" t="s">
        <v>114</v>
      </c>
      <c r="R299" s="2" t="s">
        <v>114</v>
      </c>
      <c r="S299" s="2">
        <v>9.3238354418912959</v>
      </c>
      <c r="T299" s="70"/>
      <c r="U299" s="1">
        <v>4.2869737148284903</v>
      </c>
      <c r="V299" s="1">
        <v>3.0882031182511498</v>
      </c>
      <c r="W299" s="1">
        <v>7.9277689307928103</v>
      </c>
      <c r="X299" s="1">
        <v>1560.4313099999999</v>
      </c>
      <c r="Y299" s="1">
        <v>1086</v>
      </c>
      <c r="Z299" s="70"/>
    </row>
    <row r="300" spans="1:52" x14ac:dyDescent="0.2">
      <c r="A300" s="1" t="s">
        <v>469</v>
      </c>
      <c r="B300" s="1" t="s">
        <v>228</v>
      </c>
      <c r="C300" s="8">
        <v>41798</v>
      </c>
      <c r="D300" s="9">
        <v>46.733060000000002</v>
      </c>
      <c r="E300" s="9">
        <v>-68.724999999999994</v>
      </c>
      <c r="F300" s="65" t="s">
        <v>390</v>
      </c>
      <c r="G300" s="70"/>
      <c r="H300" s="2">
        <v>3.5225166130122711</v>
      </c>
      <c r="I300" s="2" t="s">
        <v>114</v>
      </c>
      <c r="J300" s="2">
        <v>9.004811772001025</v>
      </c>
      <c r="K300" s="2">
        <v>0.14301495352900007</v>
      </c>
      <c r="L300" s="2">
        <v>0.12547837822011088</v>
      </c>
      <c r="M300" s="2">
        <v>2.8428547582222747</v>
      </c>
      <c r="N300" s="2" t="s">
        <v>114</v>
      </c>
      <c r="O300" s="2" t="s">
        <v>114</v>
      </c>
      <c r="P300" s="2" t="s">
        <v>114</v>
      </c>
      <c r="Q300" s="2" t="s">
        <v>114</v>
      </c>
      <c r="R300" s="2" t="s">
        <v>114</v>
      </c>
      <c r="S300" s="2">
        <v>15.638676474984681</v>
      </c>
      <c r="T300" s="70"/>
      <c r="U300" s="1">
        <v>0.78574925661087003</v>
      </c>
      <c r="V300" s="1">
        <v>0.73911381692071498</v>
      </c>
      <c r="W300" s="1">
        <v>1.9006969332695001</v>
      </c>
      <c r="X300" s="1">
        <v>298.74050629999999</v>
      </c>
      <c r="Y300" s="1">
        <v>273</v>
      </c>
      <c r="Z300" s="70"/>
      <c r="AA300" s="1" t="s">
        <v>86</v>
      </c>
      <c r="AB300" s="1" t="s">
        <v>87</v>
      </c>
      <c r="AC300" s="1" t="s">
        <v>113</v>
      </c>
      <c r="AD300" s="1">
        <v>22</v>
      </c>
      <c r="AT300" s="10">
        <v>116.419437703226</v>
      </c>
      <c r="AU300" s="11">
        <v>0.93264087889501557</v>
      </c>
      <c r="AV300" s="10">
        <v>75.514532000000003</v>
      </c>
      <c r="AX300" s="10">
        <v>359.23680260645199</v>
      </c>
      <c r="AY300" s="1">
        <v>100</v>
      </c>
      <c r="AZ300" s="10">
        <f>AT300+AX300</f>
        <v>475.65624030967797</v>
      </c>
    </row>
    <row r="301" spans="1:52" x14ac:dyDescent="0.2">
      <c r="A301" s="37" t="s">
        <v>470</v>
      </c>
      <c r="B301" s="37" t="s">
        <v>470</v>
      </c>
      <c r="C301" s="37" t="s">
        <v>470</v>
      </c>
      <c r="D301" s="37" t="s">
        <v>470</v>
      </c>
      <c r="E301" s="37" t="s">
        <v>470</v>
      </c>
      <c r="F301" s="37" t="s">
        <v>470</v>
      </c>
      <c r="G301" s="72"/>
      <c r="H301" s="37" t="s">
        <v>470</v>
      </c>
      <c r="I301" s="37" t="s">
        <v>470</v>
      </c>
      <c r="J301" s="37" t="s">
        <v>470</v>
      </c>
      <c r="K301" s="37" t="s">
        <v>470</v>
      </c>
      <c r="L301" s="37" t="s">
        <v>470</v>
      </c>
      <c r="M301" s="37" t="s">
        <v>470</v>
      </c>
      <c r="N301" s="37" t="s">
        <v>470</v>
      </c>
      <c r="O301" s="37" t="s">
        <v>470</v>
      </c>
      <c r="P301" s="37" t="s">
        <v>470</v>
      </c>
      <c r="Q301" s="37" t="s">
        <v>470</v>
      </c>
      <c r="R301" s="37" t="s">
        <v>470</v>
      </c>
      <c r="S301" s="37" t="s">
        <v>470</v>
      </c>
      <c r="T301" s="72"/>
      <c r="Z301" s="72"/>
      <c r="AA301" s="37" t="s">
        <v>470</v>
      </c>
      <c r="AB301" s="37" t="s">
        <v>470</v>
      </c>
      <c r="AC301" s="37" t="s">
        <v>470</v>
      </c>
      <c r="AD301" s="37" t="s">
        <v>470</v>
      </c>
      <c r="AE301" s="37" t="s">
        <v>470</v>
      </c>
      <c r="AF301" s="37" t="s">
        <v>470</v>
      </c>
      <c r="AG301" s="37" t="s">
        <v>470</v>
      </c>
      <c r="AH301" s="37" t="s">
        <v>470</v>
      </c>
      <c r="AI301" s="37" t="s">
        <v>470</v>
      </c>
      <c r="AJ301" s="37" t="s">
        <v>470</v>
      </c>
      <c r="AK301" s="37" t="s">
        <v>470</v>
      </c>
      <c r="AL301" s="37" t="s">
        <v>470</v>
      </c>
      <c r="AM301" s="37" t="s">
        <v>470</v>
      </c>
      <c r="AN301" s="37" t="s">
        <v>470</v>
      </c>
      <c r="AO301" s="37" t="s">
        <v>470</v>
      </c>
      <c r="AP301" s="37" t="s">
        <v>470</v>
      </c>
      <c r="AQ301" s="37" t="s">
        <v>470</v>
      </c>
      <c r="AR301" s="37" t="s">
        <v>470</v>
      </c>
      <c r="AS301" s="37" t="s">
        <v>470</v>
      </c>
      <c r="AT301" s="37" t="s">
        <v>470</v>
      </c>
      <c r="AU301" s="37" t="s">
        <v>470</v>
      </c>
      <c r="AV301" s="37" t="s">
        <v>470</v>
      </c>
      <c r="AW301" s="37" t="s">
        <v>470</v>
      </c>
      <c r="AX301" s="37" t="s">
        <v>470</v>
      </c>
      <c r="AY301" s="37" t="s">
        <v>470</v>
      </c>
      <c r="AZ301" s="37" t="s">
        <v>470</v>
      </c>
    </row>
    <row r="302" spans="1:52" s="4" customFormat="1" x14ac:dyDescent="0.2">
      <c r="A302" s="4" t="s">
        <v>11</v>
      </c>
      <c r="B302" s="4" t="s">
        <v>12</v>
      </c>
      <c r="C302" s="4" t="s">
        <v>13</v>
      </c>
      <c r="D302" s="4" t="s">
        <v>14</v>
      </c>
      <c r="E302" s="4" t="s">
        <v>15</v>
      </c>
      <c r="F302" s="63" t="s">
        <v>515</v>
      </c>
      <c r="G302" s="68"/>
      <c r="H302" s="4" t="s">
        <v>21</v>
      </c>
      <c r="I302" s="4" t="s">
        <v>22</v>
      </c>
      <c r="J302" s="4" t="s">
        <v>23</v>
      </c>
      <c r="K302" s="4" t="s">
        <v>24</v>
      </c>
      <c r="L302" s="4" t="s">
        <v>25</v>
      </c>
      <c r="M302" s="4" t="s">
        <v>26</v>
      </c>
      <c r="N302" s="4" t="s">
        <v>27</v>
      </c>
      <c r="O302" s="4" t="s">
        <v>28</v>
      </c>
      <c r="P302" s="4" t="s">
        <v>29</v>
      </c>
      <c r="Q302" s="4" t="s">
        <v>30</v>
      </c>
      <c r="R302" s="4" t="s">
        <v>31</v>
      </c>
      <c r="S302" s="4" t="s">
        <v>20</v>
      </c>
      <c r="T302" s="68"/>
      <c r="Z302" s="68"/>
      <c r="AA302" s="4" t="s">
        <v>16</v>
      </c>
      <c r="AB302" s="4" t="s">
        <v>17</v>
      </c>
      <c r="AC302" s="4" t="s">
        <v>17</v>
      </c>
      <c r="AD302" s="4" t="s">
        <v>18</v>
      </c>
      <c r="AE302" s="4" t="s">
        <v>19</v>
      </c>
      <c r="AF302" s="4" t="s">
        <v>19</v>
      </c>
      <c r="AG302" s="4" t="s">
        <v>19</v>
      </c>
      <c r="AW302" s="4" t="s">
        <v>19</v>
      </c>
      <c r="AX302" s="4" t="s">
        <v>19</v>
      </c>
      <c r="AY302" s="4" t="s">
        <v>19</v>
      </c>
      <c r="AZ302" s="4" t="s">
        <v>20</v>
      </c>
    </row>
    <row r="303" spans="1:52" s="4" customFormat="1" ht="13.5" x14ac:dyDescent="0.2">
      <c r="A303" s="4" t="s">
        <v>11</v>
      </c>
      <c r="B303" s="4" t="s">
        <v>12</v>
      </c>
      <c r="C303" s="4" t="s">
        <v>33</v>
      </c>
      <c r="D303" s="4" t="s">
        <v>14</v>
      </c>
      <c r="E303" s="4" t="s">
        <v>15</v>
      </c>
      <c r="F303" s="63" t="s">
        <v>516</v>
      </c>
      <c r="G303" s="68"/>
      <c r="H303" s="4" t="s">
        <v>514</v>
      </c>
      <c r="I303" s="4" t="s">
        <v>514</v>
      </c>
      <c r="J303" s="4" t="s">
        <v>514</v>
      </c>
      <c r="K303" s="4" t="s">
        <v>514</v>
      </c>
      <c r="L303" s="4" t="s">
        <v>514</v>
      </c>
      <c r="M303" s="4" t="s">
        <v>514</v>
      </c>
      <c r="N303" s="4" t="s">
        <v>514</v>
      </c>
      <c r="O303" s="4" t="s">
        <v>514</v>
      </c>
      <c r="P303" s="4" t="s">
        <v>514</v>
      </c>
      <c r="Q303" s="4" t="s">
        <v>514</v>
      </c>
      <c r="R303" s="4" t="s">
        <v>514</v>
      </c>
      <c r="S303" s="4" t="s">
        <v>514</v>
      </c>
      <c r="T303" s="68"/>
      <c r="Z303" s="68"/>
      <c r="AA303" s="4" t="s">
        <v>34</v>
      </c>
      <c r="AB303" s="4" t="s">
        <v>35</v>
      </c>
      <c r="AC303" s="4" t="s">
        <v>35</v>
      </c>
      <c r="AD303" s="4" t="s">
        <v>36</v>
      </c>
      <c r="AE303" s="4" t="s">
        <v>37</v>
      </c>
      <c r="AF303" s="4" t="s">
        <v>37</v>
      </c>
      <c r="AG303" s="4" t="s">
        <v>37</v>
      </c>
      <c r="AW303" s="4" t="s">
        <v>37</v>
      </c>
      <c r="AX303" s="4" t="s">
        <v>37</v>
      </c>
      <c r="AY303" s="4" t="s">
        <v>37</v>
      </c>
      <c r="AZ303" s="4" t="s">
        <v>38</v>
      </c>
    </row>
    <row r="304" spans="1:52" s="4" customFormat="1" x14ac:dyDescent="0.2">
      <c r="A304" s="4" t="s">
        <v>11</v>
      </c>
      <c r="B304" s="4" t="s">
        <v>12</v>
      </c>
      <c r="C304" s="4" t="s">
        <v>45</v>
      </c>
      <c r="D304" s="4" t="s">
        <v>14</v>
      </c>
      <c r="E304" s="4" t="s">
        <v>15</v>
      </c>
      <c r="G304" s="69"/>
      <c r="T304" s="69"/>
      <c r="Z304" s="69"/>
      <c r="AA304" s="4" t="s">
        <v>46</v>
      </c>
      <c r="AB304" s="4" t="s">
        <v>11</v>
      </c>
      <c r="AC304" s="4" t="s">
        <v>47</v>
      </c>
      <c r="AD304" s="4" t="s">
        <v>48</v>
      </c>
      <c r="AE304" s="4" t="s">
        <v>49</v>
      </c>
      <c r="AF304" s="4" t="s">
        <v>471</v>
      </c>
      <c r="AG304" s="4" t="s">
        <v>473</v>
      </c>
      <c r="AW304" s="4" t="s">
        <v>64</v>
      </c>
      <c r="AX304" s="4" t="s">
        <v>65</v>
      </c>
      <c r="AY304" s="4" t="s">
        <v>66</v>
      </c>
      <c r="AZ304" s="4" t="s">
        <v>67</v>
      </c>
    </row>
    <row r="305" spans="1:52" x14ac:dyDescent="0.2">
      <c r="A305" s="1" t="s">
        <v>474</v>
      </c>
      <c r="B305" s="1" t="s">
        <v>90</v>
      </c>
      <c r="C305" s="29">
        <v>42503</v>
      </c>
      <c r="D305" s="9">
        <v>-12.68417</v>
      </c>
      <c r="E305" s="9">
        <v>132.91636099999999</v>
      </c>
      <c r="F305" s="65" t="s">
        <v>470</v>
      </c>
      <c r="G305" s="70"/>
      <c r="H305" s="2">
        <v>2.4237281243461597</v>
      </c>
      <c r="I305" s="2">
        <v>1.6817489679929978</v>
      </c>
      <c r="J305" s="2">
        <v>9.1755908706648981</v>
      </c>
      <c r="K305" s="2">
        <v>1.0805568412073019</v>
      </c>
      <c r="L305" s="2">
        <v>0.76938441165033222</v>
      </c>
      <c r="S305" s="2">
        <v>15.13100921586169</v>
      </c>
      <c r="T305" s="70"/>
      <c r="U305" s="1">
        <v>0.20198285579681399</v>
      </c>
      <c r="V305" s="1">
        <v>0.72379977506982895</v>
      </c>
      <c r="W305" s="1">
        <v>3.39598852582276</v>
      </c>
      <c r="X305" s="1">
        <v>48.257961780000002</v>
      </c>
      <c r="Y305" s="1">
        <v>299</v>
      </c>
      <c r="Z305" s="70"/>
      <c r="AA305" s="1" t="s">
        <v>86</v>
      </c>
      <c r="AB305" s="1" t="s">
        <v>96</v>
      </c>
      <c r="AC305" s="1" t="s">
        <v>175</v>
      </c>
      <c r="AD305" s="1">
        <v>36</v>
      </c>
      <c r="AE305" s="10">
        <v>285.119790786301</v>
      </c>
      <c r="AF305" s="11">
        <v>3.193622632497493</v>
      </c>
      <c r="AG305" s="10">
        <v>831.49991682808195</v>
      </c>
      <c r="AW305" s="10">
        <v>285.119790786301</v>
      </c>
      <c r="AX305" s="10">
        <v>993.23246849315103</v>
      </c>
      <c r="AY305" s="12">
        <v>97.809796814698686</v>
      </c>
      <c r="AZ305" s="10">
        <f>AE305+AX305</f>
        <v>1278.352259279452</v>
      </c>
    </row>
    <row r="306" spans="1:52" x14ac:dyDescent="0.2">
      <c r="A306" s="1" t="s">
        <v>476</v>
      </c>
      <c r="B306" s="1" t="s">
        <v>124</v>
      </c>
      <c r="C306" s="29">
        <v>41874</v>
      </c>
      <c r="D306" s="9">
        <v>64.495555999999993</v>
      </c>
      <c r="E306" s="9">
        <v>-110.25583</v>
      </c>
      <c r="F306" s="65" t="s">
        <v>470</v>
      </c>
      <c r="G306" s="70"/>
      <c r="H306" s="2">
        <v>0.897328367449163</v>
      </c>
      <c r="I306" s="2">
        <v>1.4164663973996601</v>
      </c>
      <c r="J306" s="2">
        <v>4.4439586842851044</v>
      </c>
      <c r="K306" s="2">
        <v>1.6727106511233132</v>
      </c>
      <c r="S306" s="2">
        <v>8.4304641002572396</v>
      </c>
      <c r="T306" s="70"/>
      <c r="U306" s="1">
        <v>6.3600920140743297E-2</v>
      </c>
      <c r="V306" s="1">
        <v>4.4351934301112901E-2</v>
      </c>
      <c r="W306" s="1">
        <v>0.121565140783787</v>
      </c>
      <c r="X306" s="1">
        <v>455.34726690000002</v>
      </c>
      <c r="Y306" s="1">
        <v>27</v>
      </c>
      <c r="Z306" s="70"/>
      <c r="AA306" s="1" t="s">
        <v>86</v>
      </c>
      <c r="AB306" s="1" t="s">
        <v>96</v>
      </c>
      <c r="AC306" s="1" t="s">
        <v>175</v>
      </c>
      <c r="AD306" s="1">
        <v>12</v>
      </c>
      <c r="AE306" s="10">
        <v>23.887</v>
      </c>
      <c r="AF306" s="11">
        <v>3.7139029597689119</v>
      </c>
      <c r="AG306" s="10">
        <v>88.713999999999999</v>
      </c>
      <c r="AW306" s="10">
        <v>23.887</v>
      </c>
      <c r="AX306" s="10">
        <v>195.536666666667</v>
      </c>
      <c r="AY306" s="12">
        <v>94.607945744547237</v>
      </c>
      <c r="AZ306" s="10">
        <f>AE306+AX306</f>
        <v>219.423666666667</v>
      </c>
    </row>
    <row r="307" spans="1:52" x14ac:dyDescent="0.2">
      <c r="A307" s="1" t="s">
        <v>477</v>
      </c>
      <c r="B307" s="1" t="s">
        <v>124</v>
      </c>
      <c r="C307" s="29">
        <v>42735</v>
      </c>
      <c r="D307" s="9">
        <v>64.722499999999997</v>
      </c>
      <c r="E307" s="9">
        <v>-110.6</v>
      </c>
      <c r="F307" s="65" t="s">
        <v>470</v>
      </c>
      <c r="G307" s="70"/>
      <c r="H307" s="2">
        <v>3.1919612007959661</v>
      </c>
      <c r="I307" s="2">
        <v>4.8270849351968703</v>
      </c>
      <c r="J307" s="2">
        <v>14.435590176624952</v>
      </c>
      <c r="K307" s="2">
        <v>0.73916046159404403</v>
      </c>
      <c r="L307" s="2">
        <v>3.7354199788808757</v>
      </c>
      <c r="S307" s="2">
        <v>26.929216753092707</v>
      </c>
      <c r="T307" s="70"/>
      <c r="U307" s="1">
        <v>0.114453118294477</v>
      </c>
      <c r="V307" s="1">
        <v>0.12608523883626899</v>
      </c>
      <c r="W307" s="1">
        <v>0.61477317009121202</v>
      </c>
      <c r="X307" s="1">
        <v>481.81645570000001</v>
      </c>
      <c r="Y307" s="1">
        <v>52</v>
      </c>
      <c r="Z307" s="70"/>
      <c r="AA307" s="1" t="s">
        <v>86</v>
      </c>
      <c r="AB307" s="1" t="s">
        <v>96</v>
      </c>
      <c r="AC307" s="1" t="s">
        <v>175</v>
      </c>
      <c r="AD307" s="1">
        <v>19</v>
      </c>
      <c r="AE307" s="10">
        <v>72.587000000000003</v>
      </c>
      <c r="AF307" s="11">
        <v>0.86691831870720648</v>
      </c>
      <c r="AG307" s="10">
        <v>62.927</v>
      </c>
      <c r="AW307" s="10">
        <v>72.587000000000003</v>
      </c>
      <c r="AX307" s="19">
        <v>304.98899999999998</v>
      </c>
      <c r="AZ307" s="10">
        <f>AE307+AX307</f>
        <v>377.57599999999996</v>
      </c>
    </row>
    <row r="308" spans="1:52" x14ac:dyDescent="0.2">
      <c r="A308" s="1" t="s">
        <v>478</v>
      </c>
      <c r="B308" s="1" t="s">
        <v>479</v>
      </c>
      <c r="C308" s="29">
        <v>43013</v>
      </c>
      <c r="D308" s="1">
        <v>-29.001957999999998</v>
      </c>
      <c r="E308" s="1">
        <v>28.861830600000001</v>
      </c>
      <c r="F308" s="65" t="s">
        <v>470</v>
      </c>
      <c r="G308" s="70"/>
      <c r="H308" s="2">
        <v>0.79291085979503995</v>
      </c>
      <c r="I308" s="2">
        <v>0.95642183933331804</v>
      </c>
      <c r="J308" s="2">
        <v>3.3152261497239448</v>
      </c>
      <c r="K308" s="2">
        <v>0.62007548917108957</v>
      </c>
      <c r="L308" s="2">
        <v>0.25113831621759952</v>
      </c>
      <c r="S308" s="2">
        <v>5.9357726542409921</v>
      </c>
      <c r="T308" s="70"/>
      <c r="U308" s="1">
        <v>2.0200971364974998</v>
      </c>
      <c r="V308" s="1">
        <v>2.84366166839997</v>
      </c>
      <c r="W308" s="1">
        <v>7.0459790825843802</v>
      </c>
      <c r="X308" s="1">
        <v>2947.5961539999998</v>
      </c>
      <c r="Y308" s="1">
        <v>971</v>
      </c>
      <c r="Z308" s="70"/>
    </row>
    <row r="309" spans="1:52" x14ac:dyDescent="0.2">
      <c r="A309" s="1" t="s">
        <v>480</v>
      </c>
      <c r="B309" s="1" t="s">
        <v>343</v>
      </c>
      <c r="C309" s="29">
        <v>41710</v>
      </c>
      <c r="D309" s="1">
        <v>-22.620186</v>
      </c>
      <c r="E309" s="1">
        <v>24.7707278</v>
      </c>
      <c r="F309" s="65" t="s">
        <v>470</v>
      </c>
      <c r="G309" s="70"/>
      <c r="I309" s="2">
        <v>0.21729976122709274</v>
      </c>
      <c r="J309" s="2">
        <v>0.87038617637763083</v>
      </c>
      <c r="K309" s="2">
        <v>0.32370347217055473</v>
      </c>
      <c r="L309" s="2">
        <v>3.4938223891705202E-4</v>
      </c>
      <c r="S309" s="2">
        <v>1.4117387920141953</v>
      </c>
      <c r="T309" s="70"/>
      <c r="U309" s="1">
        <v>5.5381674319505698E-2</v>
      </c>
      <c r="V309" s="1">
        <v>4.7367115275928399E-2</v>
      </c>
      <c r="W309" s="1">
        <v>6.9730732589960098E-2</v>
      </c>
      <c r="X309" s="1">
        <v>1009.840256</v>
      </c>
      <c r="Y309" s="1">
        <v>21</v>
      </c>
      <c r="Z309" s="70"/>
    </row>
    <row r="310" spans="1:52" x14ac:dyDescent="0.2">
      <c r="A310" s="1" t="s">
        <v>481</v>
      </c>
      <c r="B310" s="1" t="s">
        <v>343</v>
      </c>
      <c r="C310" s="29">
        <v>42692</v>
      </c>
      <c r="D310" s="1">
        <v>-21.307027999999999</v>
      </c>
      <c r="E310" s="1">
        <v>25.375327800000001</v>
      </c>
      <c r="F310" s="65" t="s">
        <v>470</v>
      </c>
      <c r="G310" s="70"/>
      <c r="H310" s="2">
        <v>1.9235845584198299</v>
      </c>
      <c r="I310" s="2">
        <v>5.5398570484166099</v>
      </c>
      <c r="J310" s="2">
        <v>10.550077593242904</v>
      </c>
      <c r="K310" s="2">
        <v>2.2859687410809375</v>
      </c>
      <c r="L310" s="2">
        <v>0.16821391945035688</v>
      </c>
      <c r="S310" s="2">
        <v>20.467701860610639</v>
      </c>
      <c r="T310" s="70"/>
      <c r="U310" s="1">
        <v>0.124790102243423</v>
      </c>
      <c r="V310" s="1">
        <v>0.123844751616633</v>
      </c>
      <c r="W310" s="1">
        <v>4.5099563896656002E-2</v>
      </c>
      <c r="X310" s="1">
        <v>951.77848100000006</v>
      </c>
      <c r="Y310" s="1">
        <v>41</v>
      </c>
      <c r="Z310" s="70"/>
    </row>
    <row r="311" spans="1:52" x14ac:dyDescent="0.2">
      <c r="A311" s="1" t="s">
        <v>482</v>
      </c>
      <c r="B311" s="1" t="s">
        <v>343</v>
      </c>
      <c r="C311" s="29">
        <v>41964</v>
      </c>
      <c r="D311" s="1">
        <v>-21.519842000000001</v>
      </c>
      <c r="E311" s="1">
        <v>25.688572199999999</v>
      </c>
      <c r="F311" s="65" t="s">
        <v>470</v>
      </c>
      <c r="G311" s="70"/>
      <c r="H311" s="2">
        <v>1.069350903279209</v>
      </c>
      <c r="I311" s="2">
        <v>1.0265301165713867</v>
      </c>
      <c r="J311" s="2">
        <v>8.8660996545200277</v>
      </c>
      <c r="K311" s="2">
        <v>0.40809884006929004</v>
      </c>
      <c r="S311" s="2">
        <v>11.370079514439915</v>
      </c>
      <c r="T311" s="70"/>
      <c r="U311" s="1">
        <v>0.104137055575848</v>
      </c>
      <c r="V311" s="1">
        <v>0.12286164253376999</v>
      </c>
      <c r="W311" s="1">
        <v>0.26612653769552702</v>
      </c>
      <c r="X311" s="1">
        <v>1025.11859</v>
      </c>
      <c r="Y311" s="1">
        <v>44</v>
      </c>
      <c r="Z311" s="70"/>
    </row>
    <row r="312" spans="1:52" x14ac:dyDescent="0.2">
      <c r="A312" s="1" t="s">
        <v>483</v>
      </c>
      <c r="B312" s="1" t="s">
        <v>343</v>
      </c>
      <c r="C312" s="29">
        <v>42673</v>
      </c>
      <c r="D312" s="1">
        <v>-21.310531000000001</v>
      </c>
      <c r="E312" s="1">
        <v>25.5332361</v>
      </c>
      <c r="F312" s="65" t="s">
        <v>470</v>
      </c>
      <c r="G312" s="70"/>
      <c r="H312" s="2">
        <v>0.39704005635227002</v>
      </c>
      <c r="I312" s="2">
        <v>0.3133548116561507</v>
      </c>
      <c r="J312" s="2">
        <v>2.5285051807769778</v>
      </c>
      <c r="K312" s="2">
        <v>0.24817193772938784</v>
      </c>
      <c r="S312" s="2">
        <v>3.4870719865147866</v>
      </c>
      <c r="T312" s="70"/>
      <c r="U312" s="1">
        <v>0.16243137419223799</v>
      </c>
      <c r="V312" s="1">
        <v>0.16760992928396301</v>
      </c>
      <c r="W312" s="1">
        <v>0.10331849753856701</v>
      </c>
      <c r="X312" s="1">
        <v>959.63291140000001</v>
      </c>
      <c r="Y312" s="1">
        <v>55</v>
      </c>
      <c r="Z312" s="70"/>
    </row>
    <row r="313" spans="1:52" x14ac:dyDescent="0.2">
      <c r="A313" s="1" t="s">
        <v>484</v>
      </c>
      <c r="B313" s="1" t="s">
        <v>343</v>
      </c>
      <c r="C313" s="29">
        <v>42575</v>
      </c>
      <c r="D313" s="9">
        <v>-24.5303</v>
      </c>
      <c r="E313" s="9">
        <v>24.700600000000001</v>
      </c>
      <c r="F313" s="65" t="s">
        <v>470</v>
      </c>
      <c r="G313" s="70"/>
      <c r="H313" s="2">
        <v>3.3482322187093199</v>
      </c>
      <c r="I313" s="2">
        <v>7.7057555089936107</v>
      </c>
      <c r="J313" s="2">
        <v>13.452477250244273</v>
      </c>
      <c r="K313" s="2">
        <v>3.1724016302841922</v>
      </c>
      <c r="L313" s="2">
        <v>0.21941447782981738</v>
      </c>
      <c r="S313" s="2">
        <v>27.898281086061214</v>
      </c>
      <c r="T313" s="70"/>
      <c r="U313" s="1">
        <v>0.124141797423363</v>
      </c>
      <c r="V313" s="1">
        <v>0.14839005789922199</v>
      </c>
      <c r="W313" s="1">
        <v>0.26760663464665402</v>
      </c>
      <c r="X313" s="1">
        <v>1168.611987</v>
      </c>
      <c r="Y313" s="1">
        <v>42</v>
      </c>
      <c r="Z313" s="70"/>
    </row>
    <row r="314" spans="1:52" x14ac:dyDescent="0.2">
      <c r="A314" s="1" t="s">
        <v>485</v>
      </c>
      <c r="B314" s="1" t="s">
        <v>222</v>
      </c>
      <c r="C314" s="29">
        <v>42735</v>
      </c>
      <c r="D314" s="1">
        <v>-28.739258</v>
      </c>
      <c r="E314" s="1">
        <v>24.7589556</v>
      </c>
      <c r="F314" s="65" t="s">
        <v>470</v>
      </c>
      <c r="G314" s="70"/>
      <c r="H314" s="2"/>
      <c r="I314" s="2">
        <v>5.5896549080574021</v>
      </c>
      <c r="J314" s="2">
        <v>15.714284650847658</v>
      </c>
      <c r="K314" s="2">
        <v>1.3316034324960428</v>
      </c>
      <c r="L314" s="2">
        <v>0.65000929874210756</v>
      </c>
      <c r="M314" s="2"/>
      <c r="N314" s="2">
        <v>1.471983359328475</v>
      </c>
      <c r="O314" s="2"/>
      <c r="P314" s="2"/>
      <c r="Q314" s="2"/>
      <c r="R314" s="2"/>
      <c r="S314" s="2">
        <v>24.757535649471688</v>
      </c>
      <c r="T314" s="70"/>
      <c r="U314" s="1">
        <v>0.46295943856239302</v>
      </c>
      <c r="V314" s="1">
        <v>0.41390816176522399</v>
      </c>
      <c r="W314" s="1">
        <v>0.65023861080408096</v>
      </c>
      <c r="X314" s="1">
        <v>1195.7373419999999</v>
      </c>
      <c r="Y314" s="1">
        <v>134</v>
      </c>
      <c r="Z314" s="70"/>
    </row>
    <row r="315" spans="1:52" x14ac:dyDescent="0.2">
      <c r="A315" s="1" t="s">
        <v>486</v>
      </c>
      <c r="B315" s="1" t="s">
        <v>222</v>
      </c>
      <c r="C315" s="29">
        <v>42403</v>
      </c>
      <c r="D315" s="1">
        <v>-22.435189000000001</v>
      </c>
      <c r="E315" s="1">
        <v>29.322436100000001</v>
      </c>
      <c r="F315" s="65" t="s">
        <v>470</v>
      </c>
      <c r="G315" s="70"/>
      <c r="H315" s="2">
        <v>2.3209092061095298</v>
      </c>
      <c r="I315" s="2">
        <v>2.7611559792094762</v>
      </c>
      <c r="J315" s="2">
        <v>12.642731673987011</v>
      </c>
      <c r="K315" s="2">
        <v>1.2281284139546667</v>
      </c>
      <c r="L315" s="2">
        <v>0.1614609892994143</v>
      </c>
      <c r="S315" s="2">
        <v>19.1143862625601</v>
      </c>
      <c r="T315" s="70"/>
      <c r="U315" s="1">
        <v>0.56000804901123002</v>
      </c>
      <c r="V315" s="1">
        <v>0.50993806684884802</v>
      </c>
      <c r="W315" s="1">
        <v>0.83512356877326999</v>
      </c>
      <c r="X315" s="1">
        <v>669.39240510000002</v>
      </c>
      <c r="Y315" s="1">
        <v>184</v>
      </c>
      <c r="Z315" s="70"/>
    </row>
    <row r="316" spans="1:52" x14ac:dyDescent="0.2">
      <c r="A316" s="1" t="s">
        <v>487</v>
      </c>
      <c r="B316" s="1" t="s">
        <v>222</v>
      </c>
      <c r="C316" s="29">
        <v>42970</v>
      </c>
      <c r="D316" s="1">
        <v>-27.399222000000002</v>
      </c>
      <c r="E316" s="1">
        <v>27.198105600000002</v>
      </c>
      <c r="F316" s="65" t="s">
        <v>470</v>
      </c>
      <c r="G316" s="70"/>
      <c r="H316" s="2">
        <v>0.66750484603582994</v>
      </c>
      <c r="I316" s="2">
        <v>0.69076298837977601</v>
      </c>
      <c r="J316" s="2">
        <v>4.4665910444556109</v>
      </c>
      <c r="K316" s="2">
        <v>0.40168249246388182</v>
      </c>
      <c r="L316" s="2">
        <v>7.9490166172504401E-2</v>
      </c>
      <c r="S316" s="2">
        <v>6.3060315375076037</v>
      </c>
      <c r="T316" s="70"/>
      <c r="U316" s="1">
        <v>0.44067484140396102</v>
      </c>
      <c r="V316" s="1">
        <v>0.42753675943122599</v>
      </c>
      <c r="W316" s="1">
        <v>0.98886130750179302</v>
      </c>
      <c r="X316" s="1">
        <v>1370.591772</v>
      </c>
      <c r="Y316" s="1">
        <v>139</v>
      </c>
      <c r="Z316" s="70"/>
    </row>
    <row r="317" spans="1:52" x14ac:dyDescent="0.2">
      <c r="A317" s="1" t="s">
        <v>488</v>
      </c>
      <c r="B317" s="1" t="s">
        <v>124</v>
      </c>
      <c r="C317" s="29">
        <v>42735</v>
      </c>
      <c r="D317" s="9">
        <v>63.603611000000001</v>
      </c>
      <c r="E317" s="9">
        <v>-110.87</v>
      </c>
      <c r="F317" s="65" t="s">
        <v>470</v>
      </c>
      <c r="G317" s="70"/>
      <c r="I317" s="2">
        <v>0.34704562502473502</v>
      </c>
      <c r="J317" s="2">
        <v>0.48512344468432517</v>
      </c>
      <c r="K317" s="2">
        <v>0.84192157926928901</v>
      </c>
      <c r="L317" s="2">
        <v>4.0500679048851101E-2</v>
      </c>
      <c r="S317" s="2">
        <v>1.7145913280272005</v>
      </c>
      <c r="T317" s="70"/>
      <c r="U317" s="1">
        <v>0.273155108094215</v>
      </c>
      <c r="V317" s="1">
        <v>0.29267270050062899</v>
      </c>
      <c r="W317" s="1">
        <v>1.5372116565704299</v>
      </c>
      <c r="X317" s="1">
        <v>469.95541400000002</v>
      </c>
      <c r="Y317" s="1">
        <v>122</v>
      </c>
      <c r="Z317" s="70"/>
      <c r="AA317" s="1" t="s">
        <v>86</v>
      </c>
      <c r="AC317" s="1" t="s">
        <v>175</v>
      </c>
      <c r="AE317" s="10">
        <v>3.0529999999999999</v>
      </c>
      <c r="AF317" s="11">
        <v>1.0671470684572553</v>
      </c>
      <c r="AG317" s="10">
        <v>3.258</v>
      </c>
      <c r="AW317" s="10">
        <v>3.0529999999999999</v>
      </c>
    </row>
    <row r="318" spans="1:52" x14ac:dyDescent="0.2">
      <c r="A318" s="1" t="s">
        <v>489</v>
      </c>
      <c r="B318" s="1" t="s">
        <v>124</v>
      </c>
      <c r="C318" s="29">
        <v>41462</v>
      </c>
      <c r="D318" s="9">
        <v>52.820833</v>
      </c>
      <c r="E318" s="9">
        <v>-83.883332999999993</v>
      </c>
      <c r="F318" s="65" t="s">
        <v>470</v>
      </c>
      <c r="G318" s="70"/>
      <c r="H318" s="2">
        <v>0.80491378623965304</v>
      </c>
      <c r="I318" s="2">
        <v>0.75095454457282995</v>
      </c>
      <c r="J318" s="2">
        <v>4.7014609752641894</v>
      </c>
      <c r="K318" s="2">
        <v>0.6160847342124115</v>
      </c>
      <c r="L318" s="2">
        <v>0.10747249631358601</v>
      </c>
      <c r="O318" s="2">
        <v>5.1265303729917805E-2</v>
      </c>
      <c r="S318" s="2">
        <v>7.0321518403325882</v>
      </c>
      <c r="T318" s="70"/>
      <c r="U318" s="1">
        <v>7.9788982868194594E-2</v>
      </c>
      <c r="V318" s="1">
        <v>7.7972980666881797E-2</v>
      </c>
      <c r="W318" s="1">
        <v>0.17120106890797601</v>
      </c>
      <c r="X318" s="1">
        <v>67.557692309999993</v>
      </c>
      <c r="Y318" s="1">
        <v>25</v>
      </c>
      <c r="Z318" s="70"/>
      <c r="AA318" s="1" t="s">
        <v>86</v>
      </c>
      <c r="AC318" s="1" t="s">
        <v>175</v>
      </c>
      <c r="AE318" s="10">
        <v>9.3629999999999995</v>
      </c>
      <c r="AF318" s="11">
        <v>0.32211897895973512</v>
      </c>
      <c r="AG318" s="10">
        <v>3.016</v>
      </c>
      <c r="AW318" s="10">
        <v>9.3629999999999995</v>
      </c>
    </row>
    <row r="319" spans="1:52" x14ac:dyDescent="0.2">
      <c r="A319" s="1" t="s">
        <v>490</v>
      </c>
      <c r="B319" s="1" t="s">
        <v>124</v>
      </c>
      <c r="C319" s="29">
        <v>42735</v>
      </c>
      <c r="D319" s="9">
        <v>63.4375</v>
      </c>
      <c r="E319" s="9">
        <v>-109.19638999999999</v>
      </c>
      <c r="F319" s="65" t="s">
        <v>470</v>
      </c>
      <c r="G319" s="70"/>
      <c r="I319" s="2">
        <v>1.045901413221864</v>
      </c>
      <c r="J319" s="2">
        <v>5.375026590440017</v>
      </c>
      <c r="K319" s="2">
        <v>0.68555081616534219</v>
      </c>
      <c r="L319" s="2">
        <v>0.17559955717909331</v>
      </c>
      <c r="S319" s="2">
        <v>7.2820783770063162</v>
      </c>
      <c r="T319" s="70"/>
      <c r="U319" s="1">
        <v>2.9135381802916499E-2</v>
      </c>
      <c r="V319" s="1">
        <v>0.11041942109161999</v>
      </c>
      <c r="W319" s="1">
        <v>0.56838476657867398</v>
      </c>
      <c r="X319" s="1">
        <v>448.39297119999998</v>
      </c>
      <c r="Y319" s="1">
        <v>40</v>
      </c>
      <c r="Z319" s="70"/>
    </row>
    <row r="320" spans="1:52" x14ac:dyDescent="0.2">
      <c r="A320" s="37" t="s">
        <v>491</v>
      </c>
      <c r="B320" s="37" t="s">
        <v>491</v>
      </c>
      <c r="C320" s="37" t="s">
        <v>491</v>
      </c>
      <c r="D320" s="37" t="s">
        <v>491</v>
      </c>
      <c r="E320" s="37" t="s">
        <v>491</v>
      </c>
      <c r="F320" s="37" t="s">
        <v>491</v>
      </c>
      <c r="G320" s="72"/>
      <c r="H320" s="37" t="s">
        <v>491</v>
      </c>
      <c r="I320" s="37" t="s">
        <v>491</v>
      </c>
      <c r="J320" s="37" t="s">
        <v>491</v>
      </c>
      <c r="K320" s="37" t="s">
        <v>491</v>
      </c>
      <c r="L320" s="37" t="s">
        <v>491</v>
      </c>
      <c r="M320" s="37" t="s">
        <v>491</v>
      </c>
      <c r="N320" s="37" t="s">
        <v>491</v>
      </c>
      <c r="O320" s="37" t="s">
        <v>491</v>
      </c>
      <c r="P320" s="37" t="s">
        <v>491</v>
      </c>
      <c r="Q320" s="37" t="s">
        <v>491</v>
      </c>
      <c r="R320" s="37" t="s">
        <v>491</v>
      </c>
      <c r="S320" s="37" t="s">
        <v>491</v>
      </c>
      <c r="T320" s="72"/>
      <c r="Z320" s="72"/>
      <c r="AA320" s="37" t="s">
        <v>491</v>
      </c>
      <c r="AB320" s="37" t="s">
        <v>491</v>
      </c>
      <c r="AC320" s="37" t="s">
        <v>491</v>
      </c>
      <c r="AD320" s="37" t="s">
        <v>491</v>
      </c>
      <c r="AE320" s="37" t="s">
        <v>491</v>
      </c>
      <c r="AF320" s="37" t="s">
        <v>491</v>
      </c>
      <c r="AG320" s="37" t="s">
        <v>491</v>
      </c>
      <c r="AH320" s="37" t="s">
        <v>491</v>
      </c>
      <c r="AI320" s="37" t="s">
        <v>491</v>
      </c>
      <c r="AJ320" s="37" t="s">
        <v>491</v>
      </c>
      <c r="AK320" s="37" t="s">
        <v>491</v>
      </c>
      <c r="AL320" s="37" t="s">
        <v>491</v>
      </c>
      <c r="AM320" s="37" t="s">
        <v>491</v>
      </c>
      <c r="AN320" s="37" t="s">
        <v>491</v>
      </c>
      <c r="AO320" s="37" t="s">
        <v>491</v>
      </c>
      <c r="AP320" s="37" t="s">
        <v>491</v>
      </c>
      <c r="AQ320" s="37" t="s">
        <v>491</v>
      </c>
      <c r="AR320" s="37" t="s">
        <v>491</v>
      </c>
      <c r="AS320" s="37" t="s">
        <v>491</v>
      </c>
      <c r="AT320" s="37" t="s">
        <v>491</v>
      </c>
      <c r="AU320" s="37" t="s">
        <v>491</v>
      </c>
      <c r="AV320" s="37" t="s">
        <v>491</v>
      </c>
      <c r="AW320" s="37" t="s">
        <v>491</v>
      </c>
      <c r="AX320" s="37" t="s">
        <v>491</v>
      </c>
      <c r="AY320" s="37" t="s">
        <v>491</v>
      </c>
      <c r="AZ320" s="37" t="s">
        <v>491</v>
      </c>
    </row>
    <row r="321" spans="1:52" s="4" customFormat="1" x14ac:dyDescent="0.2">
      <c r="A321" s="4" t="s">
        <v>11</v>
      </c>
      <c r="B321" s="4" t="s">
        <v>12</v>
      </c>
      <c r="C321" s="4" t="s">
        <v>13</v>
      </c>
      <c r="D321" s="4" t="s">
        <v>14</v>
      </c>
      <c r="E321" s="4" t="s">
        <v>15</v>
      </c>
      <c r="F321" s="63" t="s">
        <v>515</v>
      </c>
      <c r="G321" s="68"/>
      <c r="H321" s="4" t="s">
        <v>21</v>
      </c>
      <c r="I321" s="4" t="s">
        <v>22</v>
      </c>
      <c r="J321" s="4" t="s">
        <v>23</v>
      </c>
      <c r="K321" s="4" t="s">
        <v>24</v>
      </c>
      <c r="L321" s="4" t="s">
        <v>25</v>
      </c>
      <c r="M321" s="4" t="s">
        <v>26</v>
      </c>
      <c r="N321" s="4" t="s">
        <v>27</v>
      </c>
      <c r="O321" s="4" t="s">
        <v>28</v>
      </c>
      <c r="P321" s="4" t="s">
        <v>29</v>
      </c>
      <c r="Q321" s="4" t="s">
        <v>30</v>
      </c>
      <c r="R321" s="4" t="s">
        <v>31</v>
      </c>
      <c r="S321" s="4" t="s">
        <v>20</v>
      </c>
      <c r="T321" s="68"/>
      <c r="Z321" s="68"/>
      <c r="AA321" s="4" t="s">
        <v>16</v>
      </c>
      <c r="AB321" s="4" t="s">
        <v>17</v>
      </c>
      <c r="AC321" s="4" t="s">
        <v>17</v>
      </c>
      <c r="AD321" s="4" t="s">
        <v>18</v>
      </c>
      <c r="AE321" s="4" t="s">
        <v>19</v>
      </c>
      <c r="AF321" s="4" t="s">
        <v>19</v>
      </c>
      <c r="AG321" s="4" t="s">
        <v>19</v>
      </c>
      <c r="AT321" s="4" t="s">
        <v>19</v>
      </c>
      <c r="AU321" s="4" t="s">
        <v>19</v>
      </c>
      <c r="AV321" s="4" t="s">
        <v>19</v>
      </c>
      <c r="AW321" s="4" t="s">
        <v>19</v>
      </c>
      <c r="AX321" s="4" t="s">
        <v>19</v>
      </c>
      <c r="AY321" s="4" t="s">
        <v>19</v>
      </c>
      <c r="AZ321" s="4" t="s">
        <v>20</v>
      </c>
    </row>
    <row r="322" spans="1:52" s="4" customFormat="1" ht="13.5" x14ac:dyDescent="0.2">
      <c r="A322" s="4" t="s">
        <v>11</v>
      </c>
      <c r="B322" s="4" t="s">
        <v>12</v>
      </c>
      <c r="C322" s="4" t="s">
        <v>33</v>
      </c>
      <c r="D322" s="4" t="s">
        <v>14</v>
      </c>
      <c r="E322" s="4" t="s">
        <v>15</v>
      </c>
      <c r="F322" s="63" t="s">
        <v>516</v>
      </c>
      <c r="G322" s="68"/>
      <c r="H322" s="4" t="s">
        <v>514</v>
      </c>
      <c r="I322" s="4" t="s">
        <v>514</v>
      </c>
      <c r="J322" s="4" t="s">
        <v>514</v>
      </c>
      <c r="K322" s="4" t="s">
        <v>514</v>
      </c>
      <c r="L322" s="4" t="s">
        <v>514</v>
      </c>
      <c r="M322" s="4" t="s">
        <v>514</v>
      </c>
      <c r="N322" s="4" t="s">
        <v>514</v>
      </c>
      <c r="O322" s="4" t="s">
        <v>514</v>
      </c>
      <c r="P322" s="4" t="s">
        <v>514</v>
      </c>
      <c r="Q322" s="4" t="s">
        <v>514</v>
      </c>
      <c r="R322" s="4" t="s">
        <v>514</v>
      </c>
      <c r="S322" s="4" t="s">
        <v>514</v>
      </c>
      <c r="T322" s="68"/>
      <c r="Z322" s="68"/>
      <c r="AA322" s="4" t="s">
        <v>34</v>
      </c>
      <c r="AB322" s="4" t="s">
        <v>35</v>
      </c>
      <c r="AC322" s="4" t="s">
        <v>35</v>
      </c>
      <c r="AD322" s="4" t="s">
        <v>36</v>
      </c>
      <c r="AE322" s="4" t="s">
        <v>37</v>
      </c>
      <c r="AF322" s="4" t="s">
        <v>37</v>
      </c>
      <c r="AG322" s="4" t="s">
        <v>37</v>
      </c>
      <c r="AT322" s="4" t="s">
        <v>37</v>
      </c>
      <c r="AU322" s="4" t="s">
        <v>37</v>
      </c>
      <c r="AV322" s="4" t="s">
        <v>37</v>
      </c>
      <c r="AW322" s="4" t="s">
        <v>37</v>
      </c>
      <c r="AX322" s="4" t="s">
        <v>37</v>
      </c>
      <c r="AY322" s="4" t="s">
        <v>37</v>
      </c>
      <c r="AZ322" s="4" t="s">
        <v>38</v>
      </c>
    </row>
    <row r="323" spans="1:52" s="4" customFormat="1" x14ac:dyDescent="0.2">
      <c r="A323" s="4" t="s">
        <v>11</v>
      </c>
      <c r="B323" s="4" t="s">
        <v>12</v>
      </c>
      <c r="C323" s="4" t="s">
        <v>45</v>
      </c>
      <c r="D323" s="4" t="s">
        <v>14</v>
      </c>
      <c r="E323" s="4" t="s">
        <v>15</v>
      </c>
      <c r="G323" s="69"/>
      <c r="T323" s="69"/>
      <c r="Z323" s="69"/>
      <c r="AA323" s="4" t="s">
        <v>46</v>
      </c>
      <c r="AB323" s="4" t="s">
        <v>11</v>
      </c>
      <c r="AC323" s="4" t="s">
        <v>47</v>
      </c>
      <c r="AD323" s="4" t="s">
        <v>48</v>
      </c>
      <c r="AE323" s="4" t="s">
        <v>49</v>
      </c>
      <c r="AF323" s="4" t="s">
        <v>93</v>
      </c>
      <c r="AG323" s="4" t="s">
        <v>492</v>
      </c>
      <c r="AT323" s="4" t="s">
        <v>493</v>
      </c>
      <c r="AU323" s="4" t="s">
        <v>62</v>
      </c>
      <c r="AV323" s="4" t="s">
        <v>63</v>
      </c>
      <c r="AW323" s="4" t="s">
        <v>64</v>
      </c>
      <c r="AX323" s="4" t="s">
        <v>65</v>
      </c>
      <c r="AY323" s="4" t="s">
        <v>66</v>
      </c>
      <c r="AZ323" s="4" t="s">
        <v>67</v>
      </c>
    </row>
    <row r="324" spans="1:52" x14ac:dyDescent="0.2">
      <c r="A324" s="1" t="s">
        <v>494</v>
      </c>
      <c r="B324" s="1" t="s">
        <v>90</v>
      </c>
      <c r="C324" s="8">
        <v>42503</v>
      </c>
      <c r="D324" s="9">
        <v>-12.683999999999999</v>
      </c>
      <c r="E324" s="9">
        <v>132.91200000000001</v>
      </c>
      <c r="F324" s="65" t="s">
        <v>495</v>
      </c>
      <c r="G324" s="70"/>
      <c r="H324" s="2">
        <v>1.05050531673726</v>
      </c>
      <c r="I324" s="2">
        <v>1.21581510349667</v>
      </c>
      <c r="J324" s="2">
        <v>2.7928992620483739</v>
      </c>
      <c r="K324" s="2">
        <v>0.36066386305001347</v>
      </c>
      <c r="L324" s="2">
        <v>0.65221398902743166</v>
      </c>
      <c r="S324" s="2">
        <v>6.0720975343597496</v>
      </c>
      <c r="T324" s="70"/>
      <c r="U324" s="1">
        <v>0.19895265996456099</v>
      </c>
      <c r="V324" s="1">
        <v>0.72063727545352596</v>
      </c>
      <c r="W324" s="1">
        <v>3.39598852582276</v>
      </c>
      <c r="X324" s="1">
        <v>48.261980829999999</v>
      </c>
      <c r="Y324" s="1">
        <v>299</v>
      </c>
      <c r="Z324" s="70"/>
      <c r="AA324" s="1" t="s">
        <v>86</v>
      </c>
      <c r="AB324" s="1" t="s">
        <v>87</v>
      </c>
      <c r="AC324" s="1" t="s">
        <v>175</v>
      </c>
      <c r="AD324" s="1">
        <v>36</v>
      </c>
      <c r="AE324" s="10">
        <v>53.075907000000001</v>
      </c>
      <c r="AF324" s="11">
        <v>0.26635082599751669</v>
      </c>
      <c r="AG324" s="10">
        <v>124.009573</v>
      </c>
      <c r="AW324" s="10">
        <f>AE324-AG324/1000</f>
        <v>52.951897426999999</v>
      </c>
      <c r="AX324" s="10">
        <v>176.57860500000001</v>
      </c>
      <c r="AY324" s="1">
        <v>100</v>
      </c>
      <c r="AZ324" s="10">
        <f>AE324+AX324</f>
        <v>229.65451200000001</v>
      </c>
    </row>
    <row r="325" spans="1:52" x14ac:dyDescent="0.2">
      <c r="A325" s="1" t="s">
        <v>496</v>
      </c>
      <c r="B325" s="1" t="s">
        <v>261</v>
      </c>
      <c r="C325" s="8">
        <v>40438</v>
      </c>
      <c r="D325" s="9">
        <v>-22.814</v>
      </c>
      <c r="E325" s="9">
        <v>15.321999999999999</v>
      </c>
      <c r="F325" s="65" t="s">
        <v>495</v>
      </c>
      <c r="G325" s="70"/>
      <c r="H325" s="2">
        <v>0.72699323551221029</v>
      </c>
      <c r="I325" s="2">
        <v>0.32559098396864472</v>
      </c>
      <c r="J325" s="2">
        <v>2.158257534276284</v>
      </c>
      <c r="K325" s="2">
        <v>0.29929373326693431</v>
      </c>
      <c r="L325" s="2">
        <v>7.3396272116899404E-3</v>
      </c>
      <c r="S325" s="2">
        <v>3.5174751142357628</v>
      </c>
      <c r="T325" s="70"/>
      <c r="U325" s="1">
        <v>1.4931378364562999</v>
      </c>
      <c r="V325" s="1">
        <v>1.67618936995348</v>
      </c>
      <c r="W325" s="1">
        <v>6.4637832790613201</v>
      </c>
      <c r="X325" s="1">
        <v>660.19808309999996</v>
      </c>
      <c r="Y325" s="1">
        <v>636</v>
      </c>
      <c r="Z325" s="70"/>
      <c r="AA325" s="1" t="s">
        <v>86</v>
      </c>
      <c r="AB325" s="1" t="s">
        <v>87</v>
      </c>
      <c r="AC325" s="1" t="s">
        <v>175</v>
      </c>
      <c r="AD325" s="1">
        <v>4</v>
      </c>
      <c r="AE325" s="10">
        <v>6.1519583577791801</v>
      </c>
      <c r="AF325" s="2">
        <v>9.3986093713116406E-2</v>
      </c>
      <c r="AG325" s="10">
        <v>4.4008749807222998</v>
      </c>
      <c r="AW325" s="10">
        <f>AE325-AG325/1000</f>
        <v>6.147557482798458</v>
      </c>
      <c r="AX325" s="18">
        <v>11.355106660000001</v>
      </c>
      <c r="AY325" s="1">
        <v>100</v>
      </c>
      <c r="AZ325" s="10">
        <f>AE325+AX325</f>
        <v>17.50706501777918</v>
      </c>
    </row>
    <row r="326" spans="1:52" x14ac:dyDescent="0.2">
      <c r="A326" s="1" t="s">
        <v>497</v>
      </c>
      <c r="B326" s="1" t="s">
        <v>261</v>
      </c>
      <c r="C326" s="8">
        <v>42427</v>
      </c>
      <c r="D326" s="9">
        <v>-22.481000000000002</v>
      </c>
      <c r="E326" s="9">
        <v>15.052</v>
      </c>
      <c r="F326" s="65" t="s">
        <v>495</v>
      </c>
      <c r="G326" s="70"/>
      <c r="H326" s="2">
        <v>3.2474724614017298</v>
      </c>
      <c r="I326" s="2">
        <v>2.6196976320672012</v>
      </c>
      <c r="J326" s="2">
        <v>10.824891825700234</v>
      </c>
      <c r="K326" s="2">
        <v>1.2444667558666465</v>
      </c>
      <c r="L326" s="2">
        <v>4.0077045662542762E-2</v>
      </c>
      <c r="M326" s="2">
        <v>1.4185702518594701</v>
      </c>
      <c r="S326" s="2">
        <v>19.395175972557823</v>
      </c>
      <c r="T326" s="70"/>
      <c r="U326" s="1">
        <v>0.98270958662033103</v>
      </c>
      <c r="V326" s="1">
        <v>1.0144196375261401</v>
      </c>
      <c r="W326" s="1">
        <v>1.91439381241798</v>
      </c>
      <c r="X326" s="1">
        <v>547.97151899999994</v>
      </c>
      <c r="Y326" s="1">
        <v>357</v>
      </c>
      <c r="Z326" s="70"/>
      <c r="AA326" s="1" t="s">
        <v>86</v>
      </c>
      <c r="AB326" s="1" t="s">
        <v>87</v>
      </c>
      <c r="AC326" s="1" t="s">
        <v>175</v>
      </c>
      <c r="AD326" s="1">
        <v>41</v>
      </c>
      <c r="AE326" s="10">
        <v>434.28103833333302</v>
      </c>
      <c r="AF326" s="2">
        <v>3.443453263603239E-2</v>
      </c>
      <c r="AG326" s="10">
        <v>128.51436393333299</v>
      </c>
      <c r="AW326" s="10">
        <f>AE326-AG326/1000</f>
        <v>434.15252396939968</v>
      </c>
      <c r="AX326" s="10">
        <v>884.03116249280095</v>
      </c>
      <c r="AY326" s="1">
        <v>100</v>
      </c>
      <c r="AZ326" s="10">
        <f>AE326+AX326</f>
        <v>1318.3122008261339</v>
      </c>
    </row>
    <row r="327" spans="1:52" x14ac:dyDescent="0.2">
      <c r="A327" s="1" t="s">
        <v>267</v>
      </c>
      <c r="B327" s="1" t="s">
        <v>124</v>
      </c>
      <c r="C327" s="8">
        <v>38585</v>
      </c>
      <c r="D327" s="9">
        <v>57.766666666666666</v>
      </c>
      <c r="E327" s="9">
        <v>-105.05</v>
      </c>
      <c r="F327" s="65" t="s">
        <v>495</v>
      </c>
      <c r="G327" s="70"/>
      <c r="J327" s="2">
        <v>0.48278867575288492</v>
      </c>
      <c r="K327" s="2">
        <v>0.46609973826838996</v>
      </c>
      <c r="L327" s="2">
        <v>0.12102833261643697</v>
      </c>
      <c r="S327" s="2">
        <v>1.0699167466377117</v>
      </c>
      <c r="T327" s="70"/>
      <c r="U327" s="1">
        <v>0.25930428504943798</v>
      </c>
      <c r="V327" s="1">
        <v>0.25655674618444901</v>
      </c>
      <c r="W327" s="1">
        <v>1.19226221740246</v>
      </c>
      <c r="X327" s="1">
        <v>513.59810130000005</v>
      </c>
      <c r="Y327" s="1">
        <v>103</v>
      </c>
      <c r="Z327" s="70"/>
      <c r="AA327" s="1" t="s">
        <v>86</v>
      </c>
      <c r="AB327" s="1" t="s">
        <v>91</v>
      </c>
      <c r="AC327" s="1" t="s">
        <v>175</v>
      </c>
      <c r="AE327" s="10"/>
      <c r="AF327" s="2"/>
      <c r="AG327" s="10"/>
      <c r="AW327" s="10">
        <f>AE327-AG327/1000</f>
        <v>0</v>
      </c>
      <c r="AY327" s="1">
        <v>0</v>
      </c>
    </row>
    <row r="328" spans="1:52" x14ac:dyDescent="0.2">
      <c r="A328" s="1" t="s">
        <v>498</v>
      </c>
      <c r="B328" s="1" t="s">
        <v>124</v>
      </c>
      <c r="C328" s="8">
        <v>39231</v>
      </c>
      <c r="D328" s="9">
        <v>58.190300000000001</v>
      </c>
      <c r="E328" s="9">
        <v>-103.7101</v>
      </c>
      <c r="F328" s="65" t="s">
        <v>495</v>
      </c>
      <c r="G328" s="70"/>
      <c r="I328" s="2">
        <v>0.88549422753778706</v>
      </c>
      <c r="J328" s="2">
        <v>3.0856618593379936</v>
      </c>
      <c r="K328" s="2">
        <v>0.71607465461648734</v>
      </c>
      <c r="L328" s="2">
        <v>0.62647653903599754</v>
      </c>
      <c r="S328" s="2">
        <v>5.3137072805282655</v>
      </c>
      <c r="T328" s="70"/>
      <c r="U328" s="1">
        <v>0.41909456253051802</v>
      </c>
      <c r="V328" s="1">
        <v>0.360997045694333</v>
      </c>
      <c r="W328" s="1">
        <v>0.88173850078601401</v>
      </c>
      <c r="X328" s="1">
        <v>421.09463720000002</v>
      </c>
      <c r="Y328" s="1">
        <v>116</v>
      </c>
      <c r="Z328" s="70"/>
    </row>
    <row r="329" spans="1:52" x14ac:dyDescent="0.2">
      <c r="A329" s="1" t="s">
        <v>499</v>
      </c>
      <c r="B329" s="1" t="s">
        <v>124</v>
      </c>
      <c r="C329" s="8">
        <v>41629</v>
      </c>
      <c r="D329" s="9">
        <v>58.070555555555558</v>
      </c>
      <c r="E329" s="9">
        <v>-103.53833333333333</v>
      </c>
      <c r="F329" s="65" t="s">
        <v>495</v>
      </c>
      <c r="G329" s="70"/>
      <c r="J329" s="2">
        <v>0.2544200050183793</v>
      </c>
      <c r="K329" s="2">
        <v>1.0013061245815527</v>
      </c>
      <c r="L329" s="2">
        <v>0.17873746094967349</v>
      </c>
      <c r="S329" s="2">
        <v>1.4344635905496057</v>
      </c>
      <c r="T329" s="70"/>
      <c r="U329" s="1">
        <v>0.30325207114219699</v>
      </c>
      <c r="V329" s="1">
        <v>0.34394181752856401</v>
      </c>
      <c r="W329" s="1">
        <v>2.2174770832061799</v>
      </c>
      <c r="X329" s="1">
        <v>409.2907348</v>
      </c>
      <c r="Y329" s="1">
        <v>175</v>
      </c>
      <c r="Z329" s="70"/>
    </row>
    <row r="330" spans="1:52" x14ac:dyDescent="0.2">
      <c r="A330" s="1" t="s">
        <v>500</v>
      </c>
      <c r="B330" s="1" t="s">
        <v>124</v>
      </c>
      <c r="C330" s="8">
        <v>39231</v>
      </c>
      <c r="D330" s="9">
        <v>58.338999999999999</v>
      </c>
      <c r="E330" s="9">
        <v>-103.837</v>
      </c>
      <c r="F330" s="65" t="s">
        <v>495</v>
      </c>
      <c r="G330" s="70"/>
      <c r="H330" s="2">
        <v>0.537987678716215</v>
      </c>
      <c r="I330" s="2">
        <v>0.19199992280753009</v>
      </c>
      <c r="J330" s="2">
        <v>1.9488832327876231</v>
      </c>
      <c r="K330" s="2">
        <v>0.26855921432729435</v>
      </c>
      <c r="L330" s="2">
        <v>9.1865777011774383E-2</v>
      </c>
      <c r="S330" s="2">
        <v>3.039295825650437</v>
      </c>
      <c r="T330" s="70"/>
      <c r="U330" s="1">
        <v>0.12241037189960501</v>
      </c>
      <c r="V330" s="1">
        <v>0.41271572163961401</v>
      </c>
      <c r="W330" s="1">
        <v>2.1206071106716999</v>
      </c>
      <c r="X330" s="1">
        <v>467.24358969999997</v>
      </c>
      <c r="Y330" s="1">
        <v>181</v>
      </c>
      <c r="Z330" s="70"/>
      <c r="AA330" s="1" t="s">
        <v>86</v>
      </c>
      <c r="AB330" s="1" t="s">
        <v>96</v>
      </c>
      <c r="AC330" s="1" t="s">
        <v>175</v>
      </c>
      <c r="AD330" s="1">
        <v>9</v>
      </c>
      <c r="AE330" s="10">
        <v>1.0872310000000001</v>
      </c>
      <c r="AF330" s="11">
        <v>1.7150289739714928</v>
      </c>
      <c r="AG330" s="10">
        <v>18.179924649311499</v>
      </c>
      <c r="AW330" s="10">
        <f>AE330-AG330/1000</f>
        <v>1.0690510753506886</v>
      </c>
    </row>
    <row r="331" spans="1:52" x14ac:dyDescent="0.2">
      <c r="A331" s="1" t="s">
        <v>501</v>
      </c>
      <c r="B331" s="1" t="s">
        <v>360</v>
      </c>
      <c r="C331" s="8">
        <v>42876</v>
      </c>
      <c r="D331" s="9">
        <v>50.052999999999997</v>
      </c>
      <c r="E331" s="9">
        <v>118.227</v>
      </c>
      <c r="F331" s="65" t="s">
        <v>495</v>
      </c>
      <c r="G331" s="70"/>
      <c r="H331" s="2">
        <v>0.97083543733750644</v>
      </c>
      <c r="I331" s="2">
        <v>5.8866768584103992</v>
      </c>
      <c r="J331" s="2">
        <v>6.1346905753004846</v>
      </c>
      <c r="K331" s="2">
        <v>1.6680308594609845</v>
      </c>
      <c r="L331" s="2">
        <v>0.82426968482034246</v>
      </c>
      <c r="M331" s="2">
        <v>0.15838920307916399</v>
      </c>
      <c r="S331" s="2">
        <v>15.642892618408883</v>
      </c>
      <c r="T331" s="70"/>
      <c r="U331" s="1">
        <v>1.2288706898689301</v>
      </c>
      <c r="V331" s="1">
        <v>0.92641623479545498</v>
      </c>
      <c r="W331" s="1">
        <v>1.8442009687423699</v>
      </c>
      <c r="X331" s="1">
        <v>754.32165610000004</v>
      </c>
      <c r="Y331" s="1">
        <v>318</v>
      </c>
      <c r="Z331" s="70"/>
    </row>
    <row r="332" spans="1:52" x14ac:dyDescent="0.2">
      <c r="A332" s="1" t="s">
        <v>502</v>
      </c>
      <c r="B332" s="1" t="s">
        <v>90</v>
      </c>
      <c r="C332" s="8">
        <v>42297</v>
      </c>
      <c r="D332" s="9">
        <v>-20.745999999999999</v>
      </c>
      <c r="E332" s="9">
        <v>140.01300000000001</v>
      </c>
      <c r="F332" s="65" t="s">
        <v>495</v>
      </c>
      <c r="G332" s="70"/>
      <c r="H332" s="2">
        <v>0.187099046932583</v>
      </c>
      <c r="I332" s="2">
        <v>0.31057958524336604</v>
      </c>
      <c r="J332" s="2">
        <v>0.83451281614895045</v>
      </c>
      <c r="L332" s="2">
        <v>0.75689325232707894</v>
      </c>
      <c r="S332" s="2">
        <v>2.0890847006519788</v>
      </c>
      <c r="T332" s="70"/>
      <c r="U332" s="1">
        <v>1.5968939065933201</v>
      </c>
      <c r="V332" s="1">
        <v>1.36636096153396</v>
      </c>
      <c r="W332" s="1">
        <v>2.91322237253189</v>
      </c>
      <c r="X332" s="1">
        <v>393.0383387</v>
      </c>
      <c r="Y332" s="1">
        <v>325</v>
      </c>
      <c r="Z332" s="70"/>
      <c r="AA332" s="1" t="s">
        <v>86</v>
      </c>
      <c r="AB332" s="1" t="s">
        <v>87</v>
      </c>
      <c r="AC332" s="1" t="s">
        <v>175</v>
      </c>
      <c r="AD332" s="1">
        <v>15</v>
      </c>
      <c r="AE332" s="18">
        <v>6.9766397057454501</v>
      </c>
      <c r="AF332" s="11">
        <v>0.1345481351505883</v>
      </c>
      <c r="AG332" s="10">
        <v>8.8927600000000009</v>
      </c>
      <c r="AW332" s="10">
        <f>AE332-AG332/1000</f>
        <v>6.9677469457454499</v>
      </c>
      <c r="AX332" s="18">
        <v>22.010363592000001</v>
      </c>
      <c r="AY332" s="1">
        <v>100</v>
      </c>
      <c r="AZ332" s="18">
        <f>AE332+AX332</f>
        <v>28.987003297745453</v>
      </c>
    </row>
    <row r="333" spans="1:52" x14ac:dyDescent="0.2">
      <c r="A333" s="1" t="s">
        <v>503</v>
      </c>
      <c r="B333" s="1" t="s">
        <v>90</v>
      </c>
      <c r="C333" s="8">
        <v>42320</v>
      </c>
      <c r="D333" s="40">
        <v>-12.308199999999999</v>
      </c>
      <c r="E333" s="40">
        <v>133.32</v>
      </c>
      <c r="F333" s="65" t="s">
        <v>495</v>
      </c>
      <c r="G333" s="70"/>
      <c r="H333" s="2">
        <v>6.2856576007158396E-2</v>
      </c>
      <c r="J333" s="2">
        <v>0.16067614955189699</v>
      </c>
      <c r="K333" s="2">
        <v>0.42922939845216529</v>
      </c>
      <c r="L333" s="2">
        <v>0.39870718695819013</v>
      </c>
      <c r="O333" s="2">
        <v>5.40299370452016E-2</v>
      </c>
      <c r="S333" s="2">
        <v>1.1054992480146124</v>
      </c>
      <c r="T333" s="70"/>
      <c r="U333" s="1">
        <v>0.55417332053184498</v>
      </c>
      <c r="V333" s="1">
        <v>0.94826995105970502</v>
      </c>
      <c r="W333" s="1">
        <v>2.02986127138138</v>
      </c>
      <c r="X333" s="1">
        <v>111.4285714</v>
      </c>
      <c r="Y333" s="1">
        <v>211</v>
      </c>
      <c r="Z333" s="70"/>
      <c r="AA333" s="1" t="s">
        <v>86</v>
      </c>
      <c r="AB333" s="1" t="s">
        <v>87</v>
      </c>
      <c r="AC333" s="1" t="s">
        <v>175</v>
      </c>
      <c r="AD333" s="1">
        <v>9</v>
      </c>
      <c r="AE333" s="18">
        <v>0.59795699999999996</v>
      </c>
      <c r="AF333" s="11">
        <v>1.8427197882020605</v>
      </c>
      <c r="AG333" s="10">
        <v>10.955</v>
      </c>
      <c r="AW333" s="10">
        <f>AE333-AG333/1000</f>
        <v>0.58700199999999991</v>
      </c>
      <c r="AX333" s="18">
        <v>2.48637</v>
      </c>
      <c r="AY333" s="1">
        <v>100</v>
      </c>
      <c r="AZ333" s="18">
        <f>AE333+AX333</f>
        <v>3.084327</v>
      </c>
    </row>
    <row r="334" spans="1:52" x14ac:dyDescent="0.2">
      <c r="A334" s="1" t="s">
        <v>504</v>
      </c>
      <c r="B334" s="1" t="s">
        <v>90</v>
      </c>
      <c r="C334" s="8">
        <v>42618</v>
      </c>
      <c r="D334" s="9">
        <v>-12.992000000000001</v>
      </c>
      <c r="E334" s="9">
        <v>131.00399999999999</v>
      </c>
      <c r="F334" s="65" t="s">
        <v>505</v>
      </c>
      <c r="G334" s="70"/>
      <c r="H334" s="2">
        <v>0.28725860147745519</v>
      </c>
      <c r="I334" s="2">
        <v>0.30053613251921302</v>
      </c>
      <c r="J334" s="2">
        <v>0.63650750289624969</v>
      </c>
      <c r="K334" s="2">
        <v>1.7186717349871899E-2</v>
      </c>
      <c r="L334" s="2">
        <v>9.8465920659672107E-2</v>
      </c>
      <c r="M334" s="2">
        <v>8.1041822062969199E-2</v>
      </c>
      <c r="S334" s="2">
        <v>1.4209966969654308</v>
      </c>
      <c r="T334" s="70"/>
      <c r="U334" s="1">
        <v>0.36572214961051902</v>
      </c>
      <c r="V334" s="1">
        <v>0.30654368444848701</v>
      </c>
      <c r="W334" s="1">
        <v>0.77030808106064796</v>
      </c>
      <c r="X334" s="1">
        <v>78.092651759999995</v>
      </c>
      <c r="Y334" s="1">
        <v>101</v>
      </c>
      <c r="Z334" s="70"/>
      <c r="AA334" s="1" t="s">
        <v>86</v>
      </c>
      <c r="AB334" s="1" t="s">
        <v>87</v>
      </c>
      <c r="AC334" s="1" t="s">
        <v>175</v>
      </c>
      <c r="AD334" s="1">
        <v>17</v>
      </c>
      <c r="AE334" s="18">
        <v>1.4536249999999999</v>
      </c>
      <c r="AF334" s="11">
        <v>0.28645040987794207</v>
      </c>
      <c r="AG334" s="10">
        <v>3.5286</v>
      </c>
      <c r="AW334" s="10">
        <f>AE334-AG334/1000</f>
        <v>1.4500963999999998</v>
      </c>
      <c r="AX334" s="18">
        <v>16.303000000000001</v>
      </c>
      <c r="AY334" s="1">
        <v>100</v>
      </c>
      <c r="AZ334" s="18">
        <f>AE334+AX334</f>
        <v>17.756625</v>
      </c>
    </row>
  </sheetData>
  <conditionalFormatting sqref="B324:B334">
    <cfRule type="containsText" dxfId="4" priority="5" operator="containsText" text="Pond">
      <formula>NOT(ISERROR(SEARCH("Pond",B324)))</formula>
    </cfRule>
    <cfRule type="containsText" dxfId="3" priority="6" operator="containsText" text="Infra">
      <formula>NOT(ISERROR(SEARCH("Infra",B324)))</formula>
    </cfRule>
    <cfRule type="containsText" dxfId="2" priority="7" operator="containsText" text="WRD">
      <formula>NOT(ISERROR(SEARCH("WRD",B324)))</formula>
    </cfRule>
    <cfRule type="containsText" dxfId="1" priority="8" operator="containsText" text="TSF">
      <formula>NOT(ISERROR(SEARCH("TSF",B324)))</formula>
    </cfRule>
    <cfRule type="containsText" dxfId="0" priority="9" operator="containsText" text="Pit">
      <formula>NOT(ISERROR(SEARCH("Pit",B324)))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7D972-3AB1-4640-80F3-F808F30CFDC7}">
  <dimension ref="A1:AY2897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86" sqref="D86"/>
    </sheetView>
  </sheetViews>
  <sheetFormatPr defaultColWidth="8.7109375" defaultRowHeight="11.25" x14ac:dyDescent="0.2"/>
  <cols>
    <col min="1" max="1" width="24.5703125" style="41" bestFit="1" customWidth="1"/>
    <col min="2" max="2" width="8.85546875" style="41" customWidth="1"/>
    <col min="3" max="3" width="5.42578125" style="41" bestFit="1" customWidth="1"/>
    <col min="4" max="4" width="9.140625" style="41" bestFit="1" customWidth="1"/>
    <col min="5" max="5" width="6.7109375" style="41" bestFit="1" customWidth="1"/>
    <col min="6" max="6" width="11.7109375" style="41" bestFit="1" customWidth="1"/>
    <col min="7" max="7" width="9.85546875" style="41" bestFit="1" customWidth="1"/>
    <col min="8" max="9" width="4.7109375" style="41" bestFit="1" customWidth="1"/>
    <col min="10" max="10" width="5.85546875" style="41" bestFit="1" customWidth="1"/>
    <col min="11" max="11" width="5.42578125" style="41" bestFit="1" customWidth="1"/>
    <col min="12" max="12" width="4.28515625" style="41" bestFit="1" customWidth="1"/>
    <col min="13" max="13" width="4.7109375" style="41" bestFit="1" customWidth="1"/>
    <col min="14" max="14" width="3.42578125" style="41" bestFit="1" customWidth="1"/>
    <col min="15" max="15" width="3.85546875" style="41" bestFit="1" customWidth="1"/>
    <col min="16" max="16" width="5.85546875" style="41" bestFit="1" customWidth="1"/>
    <col min="17" max="17" width="5.7109375" style="41" bestFit="1" customWidth="1"/>
    <col min="18" max="19" width="7.85546875" style="41" bestFit="1" customWidth="1"/>
    <col min="20" max="20" width="7.140625" style="41" bestFit="1" customWidth="1"/>
    <col min="21" max="21" width="7.85546875" style="41" bestFit="1" customWidth="1"/>
    <col min="22" max="22" width="7.28515625" style="41" bestFit="1" customWidth="1"/>
    <col min="23" max="23" width="5.85546875" style="41" bestFit="1" customWidth="1"/>
    <col min="24" max="27" width="7.85546875" style="41" bestFit="1" customWidth="1"/>
    <col min="28" max="28" width="6.5703125" style="41" bestFit="1" customWidth="1"/>
    <col min="29" max="29" width="3.140625" style="41" bestFit="1" customWidth="1"/>
    <col min="30" max="30" width="5.140625" style="41" bestFit="1" customWidth="1"/>
    <col min="31" max="31" width="5.28515625" style="41" bestFit="1" customWidth="1"/>
    <col min="32" max="32" width="8.7109375" style="41" bestFit="1" customWidth="1"/>
    <col min="33" max="33" width="23.28515625" style="41" bestFit="1" customWidth="1"/>
    <col min="34" max="35" width="8.7109375" style="41" bestFit="1" customWidth="1"/>
    <col min="36" max="36" width="6.140625" style="41" bestFit="1" customWidth="1"/>
    <col min="37" max="37" width="8.7109375" style="41" customWidth="1"/>
    <col min="38" max="38" width="9.28515625" style="41" bestFit="1" customWidth="1"/>
    <col min="39" max="39" width="9.85546875" style="41" bestFit="1" customWidth="1"/>
    <col min="40" max="40" width="1.7109375" style="41" customWidth="1"/>
    <col min="41" max="42" width="9.85546875" style="41" bestFit="1" customWidth="1"/>
    <col min="43" max="43" width="10.7109375" style="41" bestFit="1" customWidth="1"/>
    <col min="44" max="44" width="8.7109375" style="41" bestFit="1" customWidth="1"/>
    <col min="45" max="46" width="9.85546875" style="41" bestFit="1" customWidth="1"/>
    <col min="47" max="47" width="5.85546875" style="41" bestFit="1" customWidth="1"/>
    <col min="48" max="48" width="7.85546875" style="41" bestFit="1" customWidth="1"/>
    <col min="49" max="49" width="8.7109375" style="41" bestFit="1" customWidth="1"/>
    <col min="50" max="50" width="11.42578125" style="41" bestFit="1" customWidth="1"/>
    <col min="51" max="51" width="1.5703125" style="41" bestFit="1" customWidth="1"/>
    <col min="52" max="16384" width="8.7109375" style="41"/>
  </cols>
  <sheetData>
    <row r="1" spans="1:51" x14ac:dyDescent="0.2">
      <c r="A1" s="75" t="s">
        <v>521</v>
      </c>
    </row>
    <row r="2" spans="1:51" x14ac:dyDescent="0.2">
      <c r="A2" s="75" t="s">
        <v>522</v>
      </c>
      <c r="C2" s="41" t="s">
        <v>11</v>
      </c>
      <c r="D2" s="41" t="s">
        <v>523</v>
      </c>
      <c r="E2" s="41" t="s">
        <v>524</v>
      </c>
      <c r="F2" s="41" t="s">
        <v>525</v>
      </c>
      <c r="G2" s="41" t="s">
        <v>526</v>
      </c>
      <c r="H2" s="41" t="s">
        <v>44</v>
      </c>
      <c r="I2" s="41" t="s">
        <v>50</v>
      </c>
      <c r="J2" s="41" t="s">
        <v>51</v>
      </c>
      <c r="K2" s="41" t="s">
        <v>126</v>
      </c>
      <c r="L2" s="41" t="s">
        <v>251</v>
      </c>
      <c r="M2" s="41" t="s">
        <v>252</v>
      </c>
      <c r="N2" s="41" t="s">
        <v>329</v>
      </c>
      <c r="O2" s="41" t="s">
        <v>171</v>
      </c>
      <c r="P2" s="41" t="s">
        <v>527</v>
      </c>
      <c r="Q2" s="41" t="s">
        <v>527</v>
      </c>
      <c r="R2" s="41" t="s">
        <v>528</v>
      </c>
      <c r="S2" s="41" t="s">
        <v>529</v>
      </c>
      <c r="T2" s="41" t="s">
        <v>530</v>
      </c>
      <c r="U2" s="41" t="s">
        <v>531</v>
      </c>
      <c r="V2" s="41" t="s">
        <v>532</v>
      </c>
      <c r="W2" s="41" t="s">
        <v>533</v>
      </c>
      <c r="X2" s="41" t="s">
        <v>534</v>
      </c>
      <c r="Y2" s="41" t="s">
        <v>535</v>
      </c>
      <c r="Z2" s="41" t="s">
        <v>536</v>
      </c>
      <c r="AA2" s="41" t="s">
        <v>537</v>
      </c>
      <c r="AB2" s="41" t="s">
        <v>538</v>
      </c>
      <c r="AC2" s="41" t="s">
        <v>539</v>
      </c>
      <c r="AD2" s="41" t="s">
        <v>540</v>
      </c>
      <c r="AE2" s="41" t="s">
        <v>541</v>
      </c>
      <c r="AF2" s="41" t="s">
        <v>527</v>
      </c>
      <c r="AG2" s="41" t="s">
        <v>527</v>
      </c>
      <c r="AH2" s="41" t="s">
        <v>542</v>
      </c>
      <c r="AI2" s="41" t="s">
        <v>543</v>
      </c>
      <c r="AJ2" s="41" t="s">
        <v>62</v>
      </c>
      <c r="AL2" s="41" t="s">
        <v>544</v>
      </c>
      <c r="AM2" s="41" t="s">
        <v>545</v>
      </c>
      <c r="AO2" s="41" t="s">
        <v>32</v>
      </c>
      <c r="AP2" s="41" t="s">
        <v>546</v>
      </c>
      <c r="AQ2" s="41" t="s">
        <v>547</v>
      </c>
      <c r="AR2" s="41" t="s">
        <v>548</v>
      </c>
      <c r="AS2" s="41" t="s">
        <v>549</v>
      </c>
      <c r="AT2" s="41" t="s">
        <v>550</v>
      </c>
      <c r="AU2" s="41" t="s">
        <v>327</v>
      </c>
      <c r="AV2" s="41" t="s">
        <v>551</v>
      </c>
      <c r="AW2" s="41" t="s">
        <v>552</v>
      </c>
      <c r="AX2" s="41" t="s">
        <v>553</v>
      </c>
    </row>
    <row r="3" spans="1:51" x14ac:dyDescent="0.2">
      <c r="C3" s="41" t="s">
        <v>554</v>
      </c>
      <c r="D3" s="41" t="s">
        <v>555</v>
      </c>
      <c r="E3" s="41" t="s">
        <v>524</v>
      </c>
      <c r="F3" s="41" t="s">
        <v>525</v>
      </c>
      <c r="G3" s="41" t="s">
        <v>526</v>
      </c>
      <c r="H3" s="41" t="s">
        <v>44</v>
      </c>
      <c r="I3" s="41" t="s">
        <v>50</v>
      </c>
      <c r="J3" s="41" t="s">
        <v>51</v>
      </c>
      <c r="K3" s="41" t="s">
        <v>126</v>
      </c>
      <c r="L3" s="41" t="s">
        <v>251</v>
      </c>
      <c r="M3" s="41" t="s">
        <v>252</v>
      </c>
      <c r="N3" s="41" t="s">
        <v>329</v>
      </c>
      <c r="O3" s="41" t="s">
        <v>171</v>
      </c>
      <c r="P3" s="41" t="s">
        <v>527</v>
      </c>
      <c r="Q3" s="41" t="s">
        <v>527</v>
      </c>
      <c r="R3" s="41" t="s">
        <v>528</v>
      </c>
      <c r="S3" s="41" t="s">
        <v>529</v>
      </c>
      <c r="T3" s="41" t="s">
        <v>530</v>
      </c>
      <c r="U3" s="41" t="s">
        <v>531</v>
      </c>
      <c r="V3" s="41" t="s">
        <v>532</v>
      </c>
      <c r="W3" s="41" t="s">
        <v>533</v>
      </c>
      <c r="X3" s="41" t="s">
        <v>534</v>
      </c>
      <c r="Y3" s="41" t="s">
        <v>535</v>
      </c>
      <c r="Z3" s="41" t="s">
        <v>536</v>
      </c>
      <c r="AA3" s="41" t="s">
        <v>537</v>
      </c>
      <c r="AB3" s="41" t="s">
        <v>538</v>
      </c>
      <c r="AC3" s="41" t="s">
        <v>539</v>
      </c>
      <c r="AD3" s="41" t="s">
        <v>540</v>
      </c>
      <c r="AE3" s="41" t="s">
        <v>541</v>
      </c>
      <c r="AF3" s="41" t="s">
        <v>527</v>
      </c>
      <c r="AG3" s="41" t="s">
        <v>527</v>
      </c>
      <c r="AH3" s="41" t="s">
        <v>542</v>
      </c>
      <c r="AI3" s="41" t="s">
        <v>543</v>
      </c>
      <c r="AJ3" s="41" t="s">
        <v>62</v>
      </c>
      <c r="AL3" s="41" t="s">
        <v>544</v>
      </c>
      <c r="AM3" s="41" t="s">
        <v>545</v>
      </c>
      <c r="AO3" s="41" t="s">
        <v>32</v>
      </c>
      <c r="AP3" s="41" t="s">
        <v>546</v>
      </c>
      <c r="AQ3" s="41" t="s">
        <v>547</v>
      </c>
      <c r="AR3" s="41" t="s">
        <v>548</v>
      </c>
      <c r="AS3" s="41" t="s">
        <v>549</v>
      </c>
      <c r="AT3" s="41" t="s">
        <v>550</v>
      </c>
      <c r="AU3" s="41" t="s">
        <v>327</v>
      </c>
      <c r="AV3" s="41" t="s">
        <v>551</v>
      </c>
      <c r="AW3" s="41" t="s">
        <v>552</v>
      </c>
      <c r="AX3" s="41" t="s">
        <v>553</v>
      </c>
    </row>
    <row r="4" spans="1:51" x14ac:dyDescent="0.2">
      <c r="A4" s="41" t="s">
        <v>128</v>
      </c>
      <c r="B4" s="41">
        <v>1977</v>
      </c>
      <c r="C4" s="41" t="s">
        <v>87</v>
      </c>
      <c r="D4" s="41" t="s">
        <v>88</v>
      </c>
      <c r="E4" s="41">
        <v>100</v>
      </c>
      <c r="F4" s="41" t="s">
        <v>556</v>
      </c>
      <c r="G4" s="53">
        <v>122339</v>
      </c>
      <c r="H4" s="41">
        <v>0.76</v>
      </c>
      <c r="I4" s="59">
        <v>0.55000000000000004</v>
      </c>
      <c r="J4" s="59">
        <v>4.1100000000000003</v>
      </c>
      <c r="R4" s="76">
        <f t="shared" ref="R4:R28" si="0">S4*4</f>
        <v>2472</v>
      </c>
      <c r="S4" s="53">
        <v>618</v>
      </c>
      <c r="T4" s="52">
        <v>47.100515000000001</v>
      </c>
      <c r="U4" s="53">
        <v>229.3</v>
      </c>
      <c r="AH4" s="53">
        <f t="shared" ref="AH4:AH26" si="1">G4-R4</f>
        <v>119867</v>
      </c>
      <c r="AM4" s="76">
        <f>1.25*G4</f>
        <v>152923.75</v>
      </c>
      <c r="AO4" s="53">
        <f t="shared" ref="AO4:AW28" si="2">$G4*H4</f>
        <v>92977.64</v>
      </c>
      <c r="AP4" s="53">
        <f t="shared" si="2"/>
        <v>67286.450000000012</v>
      </c>
      <c r="AQ4" s="53">
        <f t="shared" si="2"/>
        <v>502813.29000000004</v>
      </c>
      <c r="AR4" s="53">
        <f t="shared" si="2"/>
        <v>0</v>
      </c>
      <c r="AS4" s="53">
        <f t="shared" si="2"/>
        <v>0</v>
      </c>
      <c r="AT4" s="53">
        <f t="shared" si="2"/>
        <v>0</v>
      </c>
      <c r="AU4" s="53">
        <f t="shared" si="2"/>
        <v>0</v>
      </c>
      <c r="AV4" s="53">
        <f t="shared" si="2"/>
        <v>0</v>
      </c>
      <c r="AW4" s="53">
        <f t="shared" si="2"/>
        <v>0</v>
      </c>
      <c r="AX4" s="53">
        <f t="shared" ref="AX4:AX28" si="3">$G4*E4</f>
        <v>12233900</v>
      </c>
      <c r="AY4" s="41" t="s">
        <v>557</v>
      </c>
    </row>
    <row r="5" spans="1:51" x14ac:dyDescent="0.2">
      <c r="A5" s="41" t="s">
        <v>128</v>
      </c>
      <c r="B5" s="41">
        <v>1978</v>
      </c>
      <c r="C5" s="41" t="s">
        <v>87</v>
      </c>
      <c r="D5" s="41" t="s">
        <v>88</v>
      </c>
      <c r="E5" s="41">
        <v>100</v>
      </c>
      <c r="F5" s="41" t="s">
        <v>556</v>
      </c>
      <c r="G5" s="53">
        <v>2456770</v>
      </c>
      <c r="H5" s="41">
        <v>1.01</v>
      </c>
      <c r="I5" s="59">
        <v>0.72</v>
      </c>
      <c r="J5" s="59">
        <v>4.97</v>
      </c>
      <c r="R5" s="76">
        <f t="shared" si="0"/>
        <v>87220</v>
      </c>
      <c r="S5" s="53">
        <v>21805</v>
      </c>
      <c r="T5" s="52">
        <v>1438.7</v>
      </c>
      <c r="U5" s="53">
        <v>8066.9</v>
      </c>
      <c r="AH5" s="53">
        <f t="shared" si="1"/>
        <v>2369550</v>
      </c>
      <c r="AM5" s="76">
        <f t="shared" ref="AM5:AM22" si="4">1.25*G5</f>
        <v>3070962.5</v>
      </c>
      <c r="AO5" s="53">
        <f t="shared" si="2"/>
        <v>2481337.7000000002</v>
      </c>
      <c r="AP5" s="53">
        <f t="shared" si="2"/>
        <v>1768874.4</v>
      </c>
      <c r="AQ5" s="53">
        <f t="shared" si="2"/>
        <v>12210146.899999999</v>
      </c>
      <c r="AR5" s="53">
        <f t="shared" si="2"/>
        <v>0</v>
      </c>
      <c r="AS5" s="53">
        <f t="shared" si="2"/>
        <v>0</v>
      </c>
      <c r="AT5" s="53">
        <f t="shared" si="2"/>
        <v>0</v>
      </c>
      <c r="AU5" s="53">
        <f t="shared" si="2"/>
        <v>0</v>
      </c>
      <c r="AV5" s="53">
        <f t="shared" si="2"/>
        <v>0</v>
      </c>
      <c r="AW5" s="53">
        <f t="shared" si="2"/>
        <v>0</v>
      </c>
      <c r="AX5" s="53">
        <f t="shared" si="3"/>
        <v>245677000</v>
      </c>
      <c r="AY5" s="41" t="s">
        <v>557</v>
      </c>
    </row>
    <row r="6" spans="1:51" x14ac:dyDescent="0.2">
      <c r="A6" s="41" t="s">
        <v>128</v>
      </c>
      <c r="B6" s="41">
        <v>1979</v>
      </c>
      <c r="C6" s="41" t="s">
        <v>87</v>
      </c>
      <c r="D6" s="41" t="s">
        <v>88</v>
      </c>
      <c r="E6" s="41">
        <v>100</v>
      </c>
      <c r="F6" s="41" t="s">
        <v>556</v>
      </c>
      <c r="G6" s="53">
        <v>2822528</v>
      </c>
      <c r="H6" s="41">
        <v>1.06</v>
      </c>
      <c r="I6" s="59">
        <v>0.79</v>
      </c>
      <c r="J6" s="46">
        <v>4.9000000000000004</v>
      </c>
      <c r="R6" s="76">
        <f t="shared" si="0"/>
        <v>104596</v>
      </c>
      <c r="S6" s="53">
        <v>26149</v>
      </c>
      <c r="T6" s="52">
        <v>1744.4</v>
      </c>
      <c r="U6" s="53">
        <v>9242</v>
      </c>
      <c r="AH6" s="53">
        <f t="shared" si="1"/>
        <v>2717932</v>
      </c>
      <c r="AM6" s="76">
        <f t="shared" si="4"/>
        <v>3528160</v>
      </c>
      <c r="AO6" s="53">
        <f t="shared" si="2"/>
        <v>2991879.68</v>
      </c>
      <c r="AP6" s="53">
        <f t="shared" si="2"/>
        <v>2229797.12</v>
      </c>
      <c r="AQ6" s="53">
        <f t="shared" si="2"/>
        <v>13830387.200000001</v>
      </c>
      <c r="AR6" s="53">
        <f t="shared" si="2"/>
        <v>0</v>
      </c>
      <c r="AS6" s="53">
        <f t="shared" si="2"/>
        <v>0</v>
      </c>
      <c r="AT6" s="53">
        <f t="shared" si="2"/>
        <v>0</v>
      </c>
      <c r="AU6" s="53">
        <f t="shared" si="2"/>
        <v>0</v>
      </c>
      <c r="AV6" s="53">
        <f t="shared" si="2"/>
        <v>0</v>
      </c>
      <c r="AW6" s="53">
        <f t="shared" si="2"/>
        <v>0</v>
      </c>
      <c r="AX6" s="53">
        <f t="shared" si="3"/>
        <v>282252800</v>
      </c>
      <c r="AY6" s="41" t="s">
        <v>557</v>
      </c>
    </row>
    <row r="7" spans="1:51" x14ac:dyDescent="0.2">
      <c r="A7" s="41" t="s">
        <v>128</v>
      </c>
      <c r="B7" s="41">
        <v>1980</v>
      </c>
      <c r="C7" s="41" t="s">
        <v>87</v>
      </c>
      <c r="D7" s="41" t="s">
        <v>88</v>
      </c>
      <c r="E7" s="41">
        <v>100</v>
      </c>
      <c r="F7" s="41" t="s">
        <v>556</v>
      </c>
      <c r="G7" s="53">
        <v>2739799</v>
      </c>
      <c r="H7" s="41">
        <v>1.05</v>
      </c>
      <c r="I7" s="59">
        <v>0.65</v>
      </c>
      <c r="J7" s="59">
        <v>5.07</v>
      </c>
      <c r="R7" s="76">
        <f t="shared" si="0"/>
        <v>100716</v>
      </c>
      <c r="S7" s="53">
        <v>25179</v>
      </c>
      <c r="T7" s="52">
        <v>1315.5</v>
      </c>
      <c r="U7" s="53">
        <v>9000</v>
      </c>
      <c r="AH7" s="53">
        <f t="shared" si="1"/>
        <v>2639083</v>
      </c>
      <c r="AM7" s="76">
        <f t="shared" si="4"/>
        <v>3424748.75</v>
      </c>
      <c r="AO7" s="53">
        <f t="shared" si="2"/>
        <v>2876788.95</v>
      </c>
      <c r="AP7" s="53">
        <f t="shared" si="2"/>
        <v>1780869.35</v>
      </c>
      <c r="AQ7" s="53">
        <f t="shared" si="2"/>
        <v>13890780.930000002</v>
      </c>
      <c r="AR7" s="53">
        <f t="shared" si="2"/>
        <v>0</v>
      </c>
      <c r="AS7" s="53">
        <f t="shared" si="2"/>
        <v>0</v>
      </c>
      <c r="AT7" s="53">
        <f t="shared" si="2"/>
        <v>0</v>
      </c>
      <c r="AU7" s="53">
        <f t="shared" si="2"/>
        <v>0</v>
      </c>
      <c r="AV7" s="53">
        <f t="shared" si="2"/>
        <v>0</v>
      </c>
      <c r="AW7" s="53">
        <f t="shared" si="2"/>
        <v>0</v>
      </c>
      <c r="AX7" s="53">
        <f t="shared" si="3"/>
        <v>273979900</v>
      </c>
      <c r="AY7" s="41" t="s">
        <v>557</v>
      </c>
    </row>
    <row r="8" spans="1:51" x14ac:dyDescent="0.2">
      <c r="A8" s="41" t="s">
        <v>128</v>
      </c>
      <c r="B8" s="41">
        <v>1981</v>
      </c>
      <c r="C8" s="41" t="s">
        <v>87</v>
      </c>
      <c r="D8" s="41" t="s">
        <v>88</v>
      </c>
      <c r="E8" s="41">
        <v>100</v>
      </c>
      <c r="F8" s="41" t="s">
        <v>556</v>
      </c>
      <c r="G8" s="53">
        <v>2324121</v>
      </c>
      <c r="H8" s="41">
        <v>0.89</v>
      </c>
      <c r="I8" s="59">
        <v>0.62</v>
      </c>
      <c r="J8" s="46">
        <v>4.9000000000000004</v>
      </c>
      <c r="R8" s="76">
        <f t="shared" si="0"/>
        <v>70084</v>
      </c>
      <c r="S8" s="53">
        <v>17521</v>
      </c>
      <c r="T8" s="52">
        <v>1103.4000000000001</v>
      </c>
      <c r="U8" s="53">
        <v>7656</v>
      </c>
      <c r="AH8" s="53">
        <f t="shared" si="1"/>
        <v>2254037</v>
      </c>
      <c r="AM8" s="76">
        <f t="shared" si="4"/>
        <v>2905151.25</v>
      </c>
      <c r="AO8" s="53">
        <f t="shared" si="2"/>
        <v>2068467.69</v>
      </c>
      <c r="AP8" s="53">
        <f t="shared" si="2"/>
        <v>1440955.02</v>
      </c>
      <c r="AQ8" s="53">
        <f t="shared" si="2"/>
        <v>11388192.9</v>
      </c>
      <c r="AR8" s="53">
        <f t="shared" si="2"/>
        <v>0</v>
      </c>
      <c r="AS8" s="53">
        <f t="shared" si="2"/>
        <v>0</v>
      </c>
      <c r="AT8" s="53">
        <f t="shared" si="2"/>
        <v>0</v>
      </c>
      <c r="AU8" s="53">
        <f t="shared" si="2"/>
        <v>0</v>
      </c>
      <c r="AV8" s="53">
        <f t="shared" si="2"/>
        <v>0</v>
      </c>
      <c r="AW8" s="53">
        <f t="shared" si="2"/>
        <v>0</v>
      </c>
      <c r="AX8" s="53">
        <f t="shared" si="3"/>
        <v>232412100</v>
      </c>
      <c r="AY8" s="41" t="s">
        <v>557</v>
      </c>
    </row>
    <row r="9" spans="1:51" x14ac:dyDescent="0.2">
      <c r="A9" s="41" t="s">
        <v>128</v>
      </c>
      <c r="B9" s="41">
        <v>1982</v>
      </c>
      <c r="C9" s="41" t="s">
        <v>87</v>
      </c>
      <c r="D9" s="41" t="s">
        <v>88</v>
      </c>
      <c r="E9" s="41">
        <v>100</v>
      </c>
      <c r="F9" s="41" t="s">
        <v>556</v>
      </c>
      <c r="G9" s="53">
        <v>1025025</v>
      </c>
      <c r="H9" s="41">
        <v>0.59</v>
      </c>
      <c r="I9" s="59">
        <v>0.34</v>
      </c>
      <c r="J9" s="46">
        <v>3.6</v>
      </c>
      <c r="R9" s="76">
        <f t="shared" si="0"/>
        <v>19748</v>
      </c>
      <c r="S9" s="53">
        <v>4937</v>
      </c>
      <c r="T9" s="52">
        <v>266.3</v>
      </c>
      <c r="U9" s="53">
        <v>2166</v>
      </c>
      <c r="AH9" s="53">
        <f t="shared" si="1"/>
        <v>1005277</v>
      </c>
      <c r="AM9" s="76">
        <f t="shared" si="4"/>
        <v>1281281.25</v>
      </c>
      <c r="AO9" s="53">
        <f t="shared" si="2"/>
        <v>604764.75</v>
      </c>
      <c r="AP9" s="53">
        <f t="shared" si="2"/>
        <v>348508.5</v>
      </c>
      <c r="AQ9" s="53">
        <f t="shared" si="2"/>
        <v>3690090</v>
      </c>
      <c r="AR9" s="53">
        <f t="shared" si="2"/>
        <v>0</v>
      </c>
      <c r="AS9" s="53">
        <f t="shared" si="2"/>
        <v>0</v>
      </c>
      <c r="AT9" s="53">
        <f t="shared" si="2"/>
        <v>0</v>
      </c>
      <c r="AU9" s="53">
        <f t="shared" si="2"/>
        <v>0</v>
      </c>
      <c r="AV9" s="53">
        <f t="shared" si="2"/>
        <v>0</v>
      </c>
      <c r="AW9" s="53">
        <f t="shared" si="2"/>
        <v>0</v>
      </c>
      <c r="AX9" s="53">
        <f t="shared" si="3"/>
        <v>102502500</v>
      </c>
      <c r="AY9" s="41" t="s">
        <v>557</v>
      </c>
    </row>
    <row r="10" spans="1:51" x14ac:dyDescent="0.2">
      <c r="A10" s="41" t="s">
        <v>128</v>
      </c>
      <c r="B10" s="41">
        <v>1983</v>
      </c>
      <c r="C10" s="41" t="s">
        <v>87</v>
      </c>
      <c r="D10" s="41" t="s">
        <v>88</v>
      </c>
      <c r="E10" s="41">
        <v>100</v>
      </c>
      <c r="F10" s="41" t="s">
        <v>556</v>
      </c>
      <c r="G10" s="53">
        <v>1075873</v>
      </c>
      <c r="H10" s="41">
        <v>0.53</v>
      </c>
      <c r="I10" s="59">
        <v>0.31</v>
      </c>
      <c r="J10" s="59">
        <v>2.09</v>
      </c>
      <c r="R10" s="76">
        <f t="shared" si="0"/>
        <v>18504</v>
      </c>
      <c r="S10" s="53">
        <v>4626</v>
      </c>
      <c r="T10" s="53">
        <v>261</v>
      </c>
      <c r="U10" s="53">
        <v>1330</v>
      </c>
      <c r="AH10" s="53">
        <f t="shared" si="1"/>
        <v>1057369</v>
      </c>
      <c r="AM10" s="76">
        <f t="shared" si="4"/>
        <v>1344841.25</v>
      </c>
      <c r="AO10" s="53">
        <f t="shared" si="2"/>
        <v>570212.69000000006</v>
      </c>
      <c r="AP10" s="53">
        <f t="shared" si="2"/>
        <v>333520.63</v>
      </c>
      <c r="AQ10" s="53">
        <f t="shared" si="2"/>
        <v>2248574.5699999998</v>
      </c>
      <c r="AR10" s="53">
        <f t="shared" si="2"/>
        <v>0</v>
      </c>
      <c r="AS10" s="53">
        <f t="shared" si="2"/>
        <v>0</v>
      </c>
      <c r="AT10" s="53">
        <f t="shared" si="2"/>
        <v>0</v>
      </c>
      <c r="AU10" s="53">
        <f t="shared" si="2"/>
        <v>0</v>
      </c>
      <c r="AV10" s="53">
        <f t="shared" si="2"/>
        <v>0</v>
      </c>
      <c r="AW10" s="53">
        <f t="shared" si="2"/>
        <v>0</v>
      </c>
      <c r="AX10" s="53">
        <f t="shared" si="3"/>
        <v>107587300</v>
      </c>
      <c r="AY10" s="41" t="s">
        <v>557</v>
      </c>
    </row>
    <row r="11" spans="1:51" x14ac:dyDescent="0.2">
      <c r="A11" s="41" t="s">
        <v>128</v>
      </c>
      <c r="B11" s="41">
        <v>1984</v>
      </c>
      <c r="C11" s="41" t="s">
        <v>87</v>
      </c>
      <c r="D11" s="41" t="s">
        <v>88</v>
      </c>
      <c r="E11" s="41">
        <v>100</v>
      </c>
      <c r="F11" s="41" t="s">
        <v>556</v>
      </c>
      <c r="G11" s="53">
        <v>2639082</v>
      </c>
      <c r="H11" s="41">
        <v>0.68</v>
      </c>
      <c r="I11" s="59">
        <v>0.46</v>
      </c>
      <c r="J11" s="59">
        <v>4.46</v>
      </c>
      <c r="R11" s="76">
        <f t="shared" si="0"/>
        <v>120756</v>
      </c>
      <c r="S11" s="53">
        <v>30189</v>
      </c>
      <c r="T11" s="53">
        <v>945</v>
      </c>
      <c r="U11" s="53">
        <v>7644</v>
      </c>
      <c r="AH11" s="53">
        <f t="shared" si="1"/>
        <v>2518326</v>
      </c>
      <c r="AM11" s="76">
        <f t="shared" si="4"/>
        <v>3298852.5</v>
      </c>
      <c r="AO11" s="53">
        <f t="shared" si="2"/>
        <v>1794575.7600000002</v>
      </c>
      <c r="AP11" s="53">
        <f t="shared" si="2"/>
        <v>1213977.72</v>
      </c>
      <c r="AQ11" s="53">
        <f t="shared" si="2"/>
        <v>11770305.720000001</v>
      </c>
      <c r="AR11" s="53">
        <f t="shared" si="2"/>
        <v>0</v>
      </c>
      <c r="AS11" s="53">
        <f t="shared" si="2"/>
        <v>0</v>
      </c>
      <c r="AT11" s="53">
        <f t="shared" si="2"/>
        <v>0</v>
      </c>
      <c r="AU11" s="53">
        <f t="shared" si="2"/>
        <v>0</v>
      </c>
      <c r="AV11" s="53">
        <f t="shared" si="2"/>
        <v>0</v>
      </c>
      <c r="AW11" s="53">
        <f t="shared" si="2"/>
        <v>0</v>
      </c>
      <c r="AX11" s="53">
        <f t="shared" si="3"/>
        <v>263908200</v>
      </c>
      <c r="AY11" s="41" t="s">
        <v>557</v>
      </c>
    </row>
    <row r="12" spans="1:51" x14ac:dyDescent="0.2">
      <c r="A12" s="41" t="s">
        <v>128</v>
      </c>
      <c r="B12" s="41">
        <v>1985</v>
      </c>
      <c r="C12" s="41" t="s">
        <v>87</v>
      </c>
      <c r="D12" s="41" t="s">
        <v>88</v>
      </c>
      <c r="E12" s="41">
        <v>100</v>
      </c>
      <c r="F12" s="41" t="s">
        <v>556</v>
      </c>
      <c r="G12" s="53">
        <v>2651281</v>
      </c>
      <c r="H12" s="41">
        <v>0.98</v>
      </c>
      <c r="I12" s="59">
        <v>0.75</v>
      </c>
      <c r="J12" s="59">
        <v>5.2</v>
      </c>
      <c r="R12" s="76">
        <f t="shared" si="0"/>
        <v>89468</v>
      </c>
      <c r="S12" s="53">
        <v>22367</v>
      </c>
      <c r="T12" s="53">
        <v>1510</v>
      </c>
      <c r="U12" s="53">
        <v>9597</v>
      </c>
      <c r="AH12" s="53">
        <f t="shared" si="1"/>
        <v>2561813</v>
      </c>
      <c r="AM12" s="76">
        <f t="shared" si="4"/>
        <v>3314101.25</v>
      </c>
      <c r="AO12" s="53">
        <f t="shared" si="2"/>
        <v>2598255.38</v>
      </c>
      <c r="AP12" s="53">
        <f t="shared" si="2"/>
        <v>1988460.75</v>
      </c>
      <c r="AQ12" s="53">
        <f t="shared" si="2"/>
        <v>13786661.200000001</v>
      </c>
      <c r="AR12" s="53">
        <f t="shared" si="2"/>
        <v>0</v>
      </c>
      <c r="AS12" s="53">
        <f t="shared" si="2"/>
        <v>0</v>
      </c>
      <c r="AT12" s="53">
        <f t="shared" si="2"/>
        <v>0</v>
      </c>
      <c r="AU12" s="53">
        <f t="shared" si="2"/>
        <v>0</v>
      </c>
      <c r="AV12" s="53">
        <f t="shared" si="2"/>
        <v>0</v>
      </c>
      <c r="AW12" s="53">
        <f t="shared" si="2"/>
        <v>0</v>
      </c>
      <c r="AX12" s="53">
        <f t="shared" si="3"/>
        <v>265128100</v>
      </c>
      <c r="AY12" s="41" t="s">
        <v>557</v>
      </c>
    </row>
    <row r="13" spans="1:51" x14ac:dyDescent="0.2">
      <c r="A13" s="41" t="s">
        <v>128</v>
      </c>
      <c r="B13" s="41">
        <v>1986</v>
      </c>
      <c r="C13" s="41" t="s">
        <v>87</v>
      </c>
      <c r="D13" s="41" t="s">
        <v>88</v>
      </c>
      <c r="E13" s="41">
        <v>100</v>
      </c>
      <c r="F13" s="41" t="s">
        <v>556</v>
      </c>
      <c r="G13" s="53">
        <v>2693784</v>
      </c>
      <c r="H13" s="41">
        <v>0.94</v>
      </c>
      <c r="I13" s="59">
        <v>0.82</v>
      </c>
      <c r="J13" s="59">
        <v>5.4</v>
      </c>
      <c r="R13" s="76">
        <f t="shared" si="0"/>
        <v>87416</v>
      </c>
      <c r="S13" s="53">
        <v>21854</v>
      </c>
      <c r="T13" s="53">
        <v>1814</v>
      </c>
      <c r="U13" s="53">
        <v>9791</v>
      </c>
      <c r="AH13" s="53">
        <f t="shared" si="1"/>
        <v>2606368</v>
      </c>
      <c r="AM13" s="76">
        <f t="shared" si="4"/>
        <v>3367230</v>
      </c>
      <c r="AO13" s="53">
        <f t="shared" si="2"/>
        <v>2532156.96</v>
      </c>
      <c r="AP13" s="53">
        <f t="shared" si="2"/>
        <v>2208902.88</v>
      </c>
      <c r="AQ13" s="53">
        <f t="shared" si="2"/>
        <v>14546433.600000001</v>
      </c>
      <c r="AR13" s="53">
        <f t="shared" si="2"/>
        <v>0</v>
      </c>
      <c r="AS13" s="53">
        <f t="shared" si="2"/>
        <v>0</v>
      </c>
      <c r="AT13" s="53">
        <f t="shared" si="2"/>
        <v>0</v>
      </c>
      <c r="AU13" s="53">
        <f t="shared" si="2"/>
        <v>0</v>
      </c>
      <c r="AV13" s="53">
        <f t="shared" si="2"/>
        <v>0</v>
      </c>
      <c r="AW13" s="53">
        <f t="shared" si="2"/>
        <v>0</v>
      </c>
      <c r="AX13" s="53">
        <f t="shared" si="3"/>
        <v>269378400</v>
      </c>
      <c r="AY13" s="41" t="s">
        <v>557</v>
      </c>
    </row>
    <row r="14" spans="1:51" x14ac:dyDescent="0.2">
      <c r="A14" s="41" t="s">
        <v>128</v>
      </c>
      <c r="B14" s="41">
        <v>1987</v>
      </c>
      <c r="C14" s="41" t="s">
        <v>87</v>
      </c>
      <c r="D14" s="41" t="s">
        <v>88</v>
      </c>
      <c r="E14" s="41">
        <v>100</v>
      </c>
      <c r="F14" s="41" t="s">
        <v>556</v>
      </c>
      <c r="G14" s="53">
        <v>2931565</v>
      </c>
      <c r="H14" s="41">
        <v>0.82</v>
      </c>
      <c r="I14" s="59">
        <v>0.65</v>
      </c>
      <c r="J14" s="59">
        <v>4.42</v>
      </c>
      <c r="R14" s="76">
        <f t="shared" si="0"/>
        <v>79220</v>
      </c>
      <c r="S14" s="53">
        <v>19805</v>
      </c>
      <c r="T14" s="53">
        <v>1527</v>
      </c>
      <c r="U14" s="53">
        <v>8305</v>
      </c>
      <c r="AH14" s="53">
        <f t="shared" si="1"/>
        <v>2852345</v>
      </c>
      <c r="AM14" s="76">
        <f t="shared" si="4"/>
        <v>3664456.25</v>
      </c>
      <c r="AO14" s="53">
        <f t="shared" si="2"/>
        <v>2403883.2999999998</v>
      </c>
      <c r="AP14" s="53">
        <f t="shared" si="2"/>
        <v>1905517.25</v>
      </c>
      <c r="AQ14" s="53">
        <f t="shared" si="2"/>
        <v>12957517.299999999</v>
      </c>
      <c r="AR14" s="53">
        <f t="shared" si="2"/>
        <v>0</v>
      </c>
      <c r="AS14" s="53">
        <f t="shared" si="2"/>
        <v>0</v>
      </c>
      <c r="AT14" s="53">
        <f t="shared" si="2"/>
        <v>0</v>
      </c>
      <c r="AU14" s="53">
        <f t="shared" si="2"/>
        <v>0</v>
      </c>
      <c r="AV14" s="53">
        <f t="shared" si="2"/>
        <v>0</v>
      </c>
      <c r="AW14" s="53">
        <f t="shared" si="2"/>
        <v>0</v>
      </c>
      <c r="AX14" s="53">
        <f t="shared" si="3"/>
        <v>293156500</v>
      </c>
      <c r="AY14" s="41" t="s">
        <v>557</v>
      </c>
    </row>
    <row r="15" spans="1:51" x14ac:dyDescent="0.2">
      <c r="A15" s="41" t="s">
        <v>128</v>
      </c>
      <c r="B15" s="41">
        <v>1988</v>
      </c>
      <c r="C15" s="41" t="s">
        <v>87</v>
      </c>
      <c r="D15" s="41" t="s">
        <v>88</v>
      </c>
      <c r="E15" s="41">
        <v>100</v>
      </c>
      <c r="F15" s="41" t="s">
        <v>556</v>
      </c>
      <c r="G15" s="53">
        <v>3111329</v>
      </c>
      <c r="H15" s="41">
        <v>0.32</v>
      </c>
      <c r="I15" s="59">
        <v>1.37</v>
      </c>
      <c r="J15" s="77">
        <v>5</v>
      </c>
      <c r="R15" s="76">
        <f t="shared" si="0"/>
        <v>27076</v>
      </c>
      <c r="S15" s="53">
        <v>6769</v>
      </c>
      <c r="T15" s="53">
        <v>491</v>
      </c>
      <c r="U15" s="53">
        <v>1366</v>
      </c>
      <c r="AH15" s="53">
        <f t="shared" si="1"/>
        <v>3084253</v>
      </c>
      <c r="AM15" s="76">
        <f t="shared" si="4"/>
        <v>3889161.25</v>
      </c>
      <c r="AO15" s="53">
        <f t="shared" si="2"/>
        <v>995625.28</v>
      </c>
      <c r="AP15" s="53">
        <f t="shared" si="2"/>
        <v>4262520.7300000004</v>
      </c>
      <c r="AQ15" s="53">
        <f t="shared" si="2"/>
        <v>15556645</v>
      </c>
      <c r="AR15" s="53">
        <f t="shared" si="2"/>
        <v>0</v>
      </c>
      <c r="AS15" s="53">
        <f t="shared" si="2"/>
        <v>0</v>
      </c>
      <c r="AT15" s="53">
        <f t="shared" si="2"/>
        <v>0</v>
      </c>
      <c r="AU15" s="53">
        <f t="shared" si="2"/>
        <v>0</v>
      </c>
      <c r="AV15" s="53">
        <f t="shared" si="2"/>
        <v>0</v>
      </c>
      <c r="AW15" s="53">
        <f t="shared" si="2"/>
        <v>0</v>
      </c>
      <c r="AX15" s="53">
        <f t="shared" si="3"/>
        <v>311132900</v>
      </c>
      <c r="AY15" s="41" t="s">
        <v>557</v>
      </c>
    </row>
    <row r="16" spans="1:51" x14ac:dyDescent="0.2">
      <c r="A16" s="41" t="s">
        <v>128</v>
      </c>
      <c r="B16" s="41">
        <v>1989</v>
      </c>
      <c r="C16" s="41" t="s">
        <v>87</v>
      </c>
      <c r="D16" s="41" t="s">
        <v>88</v>
      </c>
      <c r="E16" s="41">
        <v>100</v>
      </c>
      <c r="F16" s="41" t="s">
        <v>556</v>
      </c>
      <c r="G16" s="53">
        <v>2547553</v>
      </c>
      <c r="H16" s="41">
        <v>0.43</v>
      </c>
      <c r="I16" s="59">
        <v>0.22</v>
      </c>
      <c r="J16" s="59">
        <v>9.57</v>
      </c>
      <c r="R16" s="76">
        <f t="shared" si="0"/>
        <v>35052</v>
      </c>
      <c r="S16" s="53">
        <v>8763</v>
      </c>
      <c r="T16" s="53">
        <v>454</v>
      </c>
      <c r="U16" s="53">
        <v>1468</v>
      </c>
      <c r="AH16" s="53">
        <f t="shared" si="1"/>
        <v>2512501</v>
      </c>
      <c r="AM16" s="76">
        <f t="shared" si="4"/>
        <v>3184441.25</v>
      </c>
      <c r="AO16" s="53">
        <f t="shared" si="2"/>
        <v>1095447.79</v>
      </c>
      <c r="AP16" s="53">
        <f t="shared" si="2"/>
        <v>560461.66</v>
      </c>
      <c r="AQ16" s="53">
        <f t="shared" si="2"/>
        <v>24380082.210000001</v>
      </c>
      <c r="AR16" s="53">
        <f t="shared" si="2"/>
        <v>0</v>
      </c>
      <c r="AS16" s="53">
        <f t="shared" si="2"/>
        <v>0</v>
      </c>
      <c r="AT16" s="53">
        <f t="shared" si="2"/>
        <v>0</v>
      </c>
      <c r="AU16" s="53">
        <f t="shared" si="2"/>
        <v>0</v>
      </c>
      <c r="AV16" s="53">
        <f t="shared" si="2"/>
        <v>0</v>
      </c>
      <c r="AW16" s="53">
        <f t="shared" si="2"/>
        <v>0</v>
      </c>
      <c r="AX16" s="53">
        <f t="shared" si="3"/>
        <v>254755300</v>
      </c>
      <c r="AY16" s="41" t="s">
        <v>557</v>
      </c>
    </row>
    <row r="17" spans="1:51" x14ac:dyDescent="0.2">
      <c r="A17" s="41" t="s">
        <v>128</v>
      </c>
      <c r="B17" s="41">
        <v>1990</v>
      </c>
      <c r="C17" s="41" t="s">
        <v>87</v>
      </c>
      <c r="D17" s="41" t="s">
        <v>88</v>
      </c>
      <c r="E17" s="41">
        <v>100</v>
      </c>
      <c r="F17" s="41" t="s">
        <v>556</v>
      </c>
      <c r="G17" s="53">
        <v>2655460</v>
      </c>
      <c r="H17" s="41">
        <v>0.53</v>
      </c>
      <c r="I17" s="59">
        <v>0.38</v>
      </c>
      <c r="J17" s="59">
        <v>9.26</v>
      </c>
      <c r="R17" s="76">
        <f t="shared" si="0"/>
        <v>43728</v>
      </c>
      <c r="S17" s="53">
        <v>10932</v>
      </c>
      <c r="T17" s="53">
        <v>783</v>
      </c>
      <c r="U17" s="53">
        <v>951</v>
      </c>
      <c r="AH17" s="53">
        <f t="shared" si="1"/>
        <v>2611732</v>
      </c>
      <c r="AM17" s="76">
        <f t="shared" si="4"/>
        <v>3319325</v>
      </c>
      <c r="AO17" s="53">
        <f t="shared" si="2"/>
        <v>1407393.8</v>
      </c>
      <c r="AP17" s="53">
        <f t="shared" si="2"/>
        <v>1009074.8</v>
      </c>
      <c r="AQ17" s="53">
        <f t="shared" si="2"/>
        <v>24589559.599999998</v>
      </c>
      <c r="AR17" s="53">
        <f t="shared" si="2"/>
        <v>0</v>
      </c>
      <c r="AS17" s="53">
        <f t="shared" si="2"/>
        <v>0</v>
      </c>
      <c r="AT17" s="53">
        <f t="shared" si="2"/>
        <v>0</v>
      </c>
      <c r="AU17" s="53">
        <f t="shared" si="2"/>
        <v>0</v>
      </c>
      <c r="AV17" s="53">
        <f t="shared" si="2"/>
        <v>0</v>
      </c>
      <c r="AW17" s="53">
        <f t="shared" si="2"/>
        <v>0</v>
      </c>
      <c r="AX17" s="53">
        <f t="shared" si="3"/>
        <v>265546000</v>
      </c>
      <c r="AY17" s="41" t="s">
        <v>557</v>
      </c>
    </row>
    <row r="18" spans="1:51" x14ac:dyDescent="0.2">
      <c r="A18" s="41" t="s">
        <v>128</v>
      </c>
      <c r="B18" s="41">
        <v>1991</v>
      </c>
      <c r="C18" s="41" t="s">
        <v>87</v>
      </c>
      <c r="D18" s="41" t="s">
        <v>88</v>
      </c>
      <c r="E18" s="41">
        <v>100</v>
      </c>
      <c r="F18" s="41" t="s">
        <v>556</v>
      </c>
      <c r="G18" s="53">
        <v>2009414</v>
      </c>
      <c r="H18" s="41">
        <v>0.48</v>
      </c>
      <c r="I18" s="59">
        <v>0.37</v>
      </c>
      <c r="J18" s="46">
        <v>3.7</v>
      </c>
      <c r="R18" s="76">
        <f t="shared" si="0"/>
        <v>31020</v>
      </c>
      <c r="S18" s="53">
        <v>7755</v>
      </c>
      <c r="T18" s="53">
        <v>569</v>
      </c>
      <c r="U18" s="53">
        <v>1036</v>
      </c>
      <c r="AH18" s="53">
        <f t="shared" si="1"/>
        <v>1978394</v>
      </c>
      <c r="AM18" s="76">
        <f t="shared" si="4"/>
        <v>2511767.5</v>
      </c>
      <c r="AO18" s="53">
        <f t="shared" si="2"/>
        <v>964518.72</v>
      </c>
      <c r="AP18" s="53">
        <f t="shared" si="2"/>
        <v>743483.17999999993</v>
      </c>
      <c r="AQ18" s="53">
        <f t="shared" si="2"/>
        <v>7434831.8000000007</v>
      </c>
      <c r="AR18" s="53">
        <f t="shared" si="2"/>
        <v>0</v>
      </c>
      <c r="AS18" s="53">
        <f t="shared" si="2"/>
        <v>0</v>
      </c>
      <c r="AT18" s="53">
        <f t="shared" si="2"/>
        <v>0</v>
      </c>
      <c r="AU18" s="53">
        <f t="shared" si="2"/>
        <v>0</v>
      </c>
      <c r="AV18" s="53">
        <f t="shared" si="2"/>
        <v>0</v>
      </c>
      <c r="AW18" s="53">
        <f t="shared" si="2"/>
        <v>0</v>
      </c>
      <c r="AX18" s="53">
        <f t="shared" si="3"/>
        <v>200941400</v>
      </c>
      <c r="AY18" s="41" t="s">
        <v>557</v>
      </c>
    </row>
    <row r="19" spans="1:51" x14ac:dyDescent="0.2">
      <c r="A19" s="41" t="s">
        <v>128</v>
      </c>
      <c r="B19" s="41">
        <v>1994</v>
      </c>
      <c r="C19" s="41" t="s">
        <v>87</v>
      </c>
      <c r="D19" s="41" t="s">
        <v>88</v>
      </c>
      <c r="E19" s="41">
        <v>100</v>
      </c>
      <c r="F19" s="41" t="s">
        <v>556</v>
      </c>
      <c r="G19" s="53">
        <v>940978</v>
      </c>
      <c r="H19" s="41">
        <v>0.43</v>
      </c>
      <c r="I19" s="59">
        <v>0.31</v>
      </c>
      <c r="J19" s="59">
        <v>0.69</v>
      </c>
      <c r="R19" s="76">
        <f t="shared" si="0"/>
        <v>14312</v>
      </c>
      <c r="S19" s="53">
        <v>3578</v>
      </c>
      <c r="T19" s="53">
        <v>218</v>
      </c>
      <c r="U19" s="41">
        <v>438</v>
      </c>
      <c r="AH19" s="53">
        <f t="shared" si="1"/>
        <v>926666</v>
      </c>
      <c r="AM19" s="76">
        <f t="shared" si="4"/>
        <v>1176222.5</v>
      </c>
      <c r="AO19" s="53">
        <f t="shared" si="2"/>
        <v>404620.54</v>
      </c>
      <c r="AP19" s="53">
        <f t="shared" si="2"/>
        <v>291703.18</v>
      </c>
      <c r="AQ19" s="53">
        <f t="shared" si="2"/>
        <v>649274.81999999995</v>
      </c>
      <c r="AR19" s="53">
        <f t="shared" si="2"/>
        <v>0</v>
      </c>
      <c r="AS19" s="53">
        <f t="shared" si="2"/>
        <v>0</v>
      </c>
      <c r="AT19" s="53">
        <f t="shared" si="2"/>
        <v>0</v>
      </c>
      <c r="AU19" s="53">
        <f t="shared" si="2"/>
        <v>0</v>
      </c>
      <c r="AV19" s="53">
        <f t="shared" si="2"/>
        <v>0</v>
      </c>
      <c r="AW19" s="53">
        <f t="shared" si="2"/>
        <v>0</v>
      </c>
      <c r="AX19" s="53">
        <f t="shared" si="3"/>
        <v>94097800</v>
      </c>
      <c r="AY19" s="41" t="s">
        <v>557</v>
      </c>
    </row>
    <row r="20" spans="1:51" x14ac:dyDescent="0.2">
      <c r="A20" s="41" t="s">
        <v>128</v>
      </c>
      <c r="B20" s="41">
        <v>1995</v>
      </c>
      <c r="C20" s="41" t="s">
        <v>87</v>
      </c>
      <c r="D20" s="41" t="s">
        <v>88</v>
      </c>
      <c r="E20" s="41">
        <v>100</v>
      </c>
      <c r="F20" s="41" t="s">
        <v>556</v>
      </c>
      <c r="G20" s="53">
        <v>2929662</v>
      </c>
      <c r="H20" s="41">
        <v>0.42</v>
      </c>
      <c r="I20" s="59">
        <v>0.34</v>
      </c>
      <c r="J20" s="59">
        <v>0.79</v>
      </c>
      <c r="R20" s="76">
        <f t="shared" si="0"/>
        <v>43228</v>
      </c>
      <c r="S20" s="53">
        <v>10807</v>
      </c>
      <c r="T20" s="53">
        <v>780</v>
      </c>
      <c r="U20" s="53">
        <v>1597</v>
      </c>
      <c r="AH20" s="53">
        <f t="shared" si="1"/>
        <v>2886434</v>
      </c>
      <c r="AM20" s="76">
        <f t="shared" si="4"/>
        <v>3662077.5</v>
      </c>
      <c r="AO20" s="53">
        <f t="shared" si="2"/>
        <v>1230458.04</v>
      </c>
      <c r="AP20" s="53">
        <f t="shared" si="2"/>
        <v>996085.08000000007</v>
      </c>
      <c r="AQ20" s="53">
        <f t="shared" si="2"/>
        <v>2314432.98</v>
      </c>
      <c r="AR20" s="53">
        <f t="shared" si="2"/>
        <v>0</v>
      </c>
      <c r="AS20" s="53">
        <f t="shared" si="2"/>
        <v>0</v>
      </c>
      <c r="AT20" s="53">
        <f t="shared" si="2"/>
        <v>0</v>
      </c>
      <c r="AU20" s="53">
        <f t="shared" si="2"/>
        <v>0</v>
      </c>
      <c r="AV20" s="53">
        <f t="shared" si="2"/>
        <v>0</v>
      </c>
      <c r="AW20" s="53">
        <f t="shared" si="2"/>
        <v>0</v>
      </c>
      <c r="AX20" s="53">
        <f t="shared" si="3"/>
        <v>292966200</v>
      </c>
      <c r="AY20" s="41" t="s">
        <v>557</v>
      </c>
    </row>
    <row r="21" spans="1:51" x14ac:dyDescent="0.2">
      <c r="A21" s="41" t="s">
        <v>128</v>
      </c>
      <c r="B21" s="41">
        <v>1996</v>
      </c>
      <c r="C21" s="41" t="s">
        <v>87</v>
      </c>
      <c r="D21" s="41" t="s">
        <v>88</v>
      </c>
      <c r="E21" s="41">
        <v>100</v>
      </c>
      <c r="F21" s="41" t="s">
        <v>556</v>
      </c>
      <c r="G21" s="53">
        <v>2973000</v>
      </c>
      <c r="H21" s="41">
        <v>0.46</v>
      </c>
      <c r="I21" s="77">
        <v>0.34</v>
      </c>
      <c r="J21" s="77">
        <v>0.79</v>
      </c>
      <c r="R21" s="76">
        <f t="shared" si="0"/>
        <v>45359.70244035199</v>
      </c>
      <c r="S21" s="53">
        <v>11339.925610087997</v>
      </c>
      <c r="T21" s="53">
        <v>786.83</v>
      </c>
      <c r="U21" s="53">
        <v>1666.96</v>
      </c>
      <c r="AH21" s="53">
        <f t="shared" si="1"/>
        <v>2927640.2975596478</v>
      </c>
      <c r="AM21" s="76">
        <f t="shared" si="4"/>
        <v>3716250</v>
      </c>
      <c r="AO21" s="53">
        <f t="shared" si="2"/>
        <v>1367580</v>
      </c>
      <c r="AP21" s="53">
        <f t="shared" si="2"/>
        <v>1010820.0000000001</v>
      </c>
      <c r="AQ21" s="53">
        <f t="shared" si="2"/>
        <v>2348670</v>
      </c>
      <c r="AR21" s="53">
        <f t="shared" si="2"/>
        <v>0</v>
      </c>
      <c r="AS21" s="53">
        <f t="shared" si="2"/>
        <v>0</v>
      </c>
      <c r="AT21" s="53">
        <f t="shared" si="2"/>
        <v>0</v>
      </c>
      <c r="AU21" s="53">
        <f t="shared" si="2"/>
        <v>0</v>
      </c>
      <c r="AV21" s="53">
        <f t="shared" si="2"/>
        <v>0</v>
      </c>
      <c r="AW21" s="53">
        <f t="shared" si="2"/>
        <v>0</v>
      </c>
      <c r="AX21" s="53">
        <f t="shared" si="3"/>
        <v>297300000</v>
      </c>
      <c r="AY21" s="41" t="s">
        <v>557</v>
      </c>
    </row>
    <row r="22" spans="1:51" x14ac:dyDescent="0.2">
      <c r="A22" s="41" t="s">
        <v>128</v>
      </c>
      <c r="B22" s="41">
        <v>1997</v>
      </c>
      <c r="C22" s="41" t="s">
        <v>87</v>
      </c>
      <c r="D22" s="41" t="s">
        <v>88</v>
      </c>
      <c r="E22" s="41">
        <v>100</v>
      </c>
      <c r="F22" s="41" t="s">
        <v>556</v>
      </c>
      <c r="G22" s="53">
        <v>1088000</v>
      </c>
      <c r="H22" s="41">
        <v>0.47</v>
      </c>
      <c r="I22" s="77">
        <v>0.34</v>
      </c>
      <c r="J22" s="77">
        <v>0.79</v>
      </c>
      <c r="R22" s="76">
        <f t="shared" si="0"/>
        <v>18143.880976140797</v>
      </c>
      <c r="S22" s="53">
        <v>4535.9702440351994</v>
      </c>
      <c r="T22" s="53">
        <v>382.53</v>
      </c>
      <c r="U22" s="53">
        <v>609.55999999999995</v>
      </c>
      <c r="AH22" s="53">
        <f t="shared" si="1"/>
        <v>1069856.1190238593</v>
      </c>
      <c r="AM22" s="76">
        <f t="shared" si="4"/>
        <v>1360000</v>
      </c>
      <c r="AO22" s="53">
        <f t="shared" si="2"/>
        <v>511360</v>
      </c>
      <c r="AP22" s="53">
        <f t="shared" si="2"/>
        <v>369920</v>
      </c>
      <c r="AQ22" s="53">
        <f t="shared" si="2"/>
        <v>859520</v>
      </c>
      <c r="AR22" s="53">
        <f t="shared" si="2"/>
        <v>0</v>
      </c>
      <c r="AS22" s="53">
        <f t="shared" si="2"/>
        <v>0</v>
      </c>
      <c r="AT22" s="53">
        <f t="shared" si="2"/>
        <v>0</v>
      </c>
      <c r="AU22" s="53">
        <f t="shared" si="2"/>
        <v>0</v>
      </c>
      <c r="AV22" s="53">
        <f t="shared" si="2"/>
        <v>0</v>
      </c>
      <c r="AW22" s="53">
        <f t="shared" si="2"/>
        <v>0</v>
      </c>
      <c r="AX22" s="53">
        <f t="shared" si="3"/>
        <v>108800000</v>
      </c>
      <c r="AY22" s="41" t="s">
        <v>557</v>
      </c>
    </row>
    <row r="23" spans="1:51" x14ac:dyDescent="0.2">
      <c r="A23" s="41" t="s">
        <v>128</v>
      </c>
      <c r="B23" s="41">
        <v>2012</v>
      </c>
      <c r="C23" s="41" t="s">
        <v>91</v>
      </c>
      <c r="D23" s="41" t="s">
        <v>88</v>
      </c>
      <c r="E23" s="41">
        <v>0</v>
      </c>
      <c r="F23" s="41" t="s">
        <v>556</v>
      </c>
      <c r="G23" s="53">
        <v>1970000</v>
      </c>
      <c r="H23" s="41">
        <v>0.79</v>
      </c>
      <c r="I23" s="41">
        <v>0.73</v>
      </c>
      <c r="J23" s="56">
        <f t="shared" ref="J23:J28" si="5">1000*U23/G23/0.7</f>
        <v>1.8594597534445252</v>
      </c>
      <c r="R23" s="76">
        <f t="shared" si="0"/>
        <v>51635.670869999092</v>
      </c>
      <c r="S23" s="53">
        <v>12908.917717499773</v>
      </c>
      <c r="T23" s="53">
        <v>1144.6976999999999</v>
      </c>
      <c r="U23" s="53">
        <v>2564.1950000000002</v>
      </c>
      <c r="AH23" s="53">
        <f t="shared" si="1"/>
        <v>1918364.3291300009</v>
      </c>
      <c r="AO23" s="53">
        <f t="shared" si="2"/>
        <v>1556300</v>
      </c>
      <c r="AP23" s="53">
        <f t="shared" si="2"/>
        <v>1438100</v>
      </c>
      <c r="AQ23" s="53">
        <f t="shared" si="2"/>
        <v>3663135.7142857146</v>
      </c>
      <c r="AR23" s="53">
        <f t="shared" si="2"/>
        <v>0</v>
      </c>
      <c r="AS23" s="53">
        <f t="shared" si="2"/>
        <v>0</v>
      </c>
      <c r="AT23" s="53">
        <f t="shared" si="2"/>
        <v>0</v>
      </c>
      <c r="AU23" s="53">
        <f t="shared" si="2"/>
        <v>0</v>
      </c>
      <c r="AV23" s="53">
        <f t="shared" si="2"/>
        <v>0</v>
      </c>
      <c r="AW23" s="53">
        <f t="shared" si="2"/>
        <v>0</v>
      </c>
      <c r="AX23" s="53">
        <f t="shared" si="3"/>
        <v>0</v>
      </c>
      <c r="AY23" s="41" t="s">
        <v>557</v>
      </c>
    </row>
    <row r="24" spans="1:51" x14ac:dyDescent="0.2">
      <c r="A24" s="41" t="s">
        <v>128</v>
      </c>
      <c r="B24" s="41">
        <v>2013</v>
      </c>
      <c r="C24" s="41" t="s">
        <v>91</v>
      </c>
      <c r="D24" s="41" t="s">
        <v>88</v>
      </c>
      <c r="E24" s="41">
        <v>0</v>
      </c>
      <c r="F24" s="41" t="s">
        <v>556</v>
      </c>
      <c r="G24" s="53">
        <v>4087000</v>
      </c>
      <c r="H24" s="41">
        <v>0.93</v>
      </c>
      <c r="I24" s="41">
        <v>0.78</v>
      </c>
      <c r="J24" s="56">
        <f t="shared" si="5"/>
        <v>2.0925889754972213</v>
      </c>
      <c r="R24" s="76">
        <f t="shared" si="0"/>
        <v>130635.94302821375</v>
      </c>
      <c r="S24" s="53">
        <v>32658.985757053437</v>
      </c>
      <c r="T24" s="53">
        <v>2711.2047000000002</v>
      </c>
      <c r="U24" s="53">
        <v>5986.6877999999997</v>
      </c>
      <c r="AH24" s="53">
        <f t="shared" si="1"/>
        <v>3956364.0569717861</v>
      </c>
      <c r="AO24" s="53">
        <f t="shared" si="2"/>
        <v>3800910</v>
      </c>
      <c r="AP24" s="53">
        <f t="shared" si="2"/>
        <v>3187860</v>
      </c>
      <c r="AQ24" s="53">
        <f t="shared" si="2"/>
        <v>8552411.1428571437</v>
      </c>
      <c r="AR24" s="53">
        <f t="shared" si="2"/>
        <v>0</v>
      </c>
      <c r="AS24" s="53">
        <f t="shared" si="2"/>
        <v>0</v>
      </c>
      <c r="AT24" s="53">
        <f t="shared" si="2"/>
        <v>0</v>
      </c>
      <c r="AU24" s="53">
        <f t="shared" si="2"/>
        <v>0</v>
      </c>
      <c r="AV24" s="53">
        <f t="shared" si="2"/>
        <v>0</v>
      </c>
      <c r="AW24" s="53">
        <f t="shared" si="2"/>
        <v>0</v>
      </c>
      <c r="AX24" s="53">
        <f t="shared" si="3"/>
        <v>0</v>
      </c>
      <c r="AY24" s="41" t="s">
        <v>557</v>
      </c>
    </row>
    <row r="25" spans="1:51" x14ac:dyDescent="0.2">
      <c r="A25" s="41" t="s">
        <v>128</v>
      </c>
      <c r="B25" s="41">
        <v>2014</v>
      </c>
      <c r="C25" s="41" t="s">
        <v>91</v>
      </c>
      <c r="D25" s="41" t="s">
        <v>88</v>
      </c>
      <c r="E25" s="41">
        <v>0</v>
      </c>
      <c r="F25" s="41" t="s">
        <v>556</v>
      </c>
      <c r="G25" s="53">
        <v>4792000</v>
      </c>
      <c r="H25" s="41">
        <v>0.94</v>
      </c>
      <c r="I25" s="41">
        <v>0.81</v>
      </c>
      <c r="J25" s="56">
        <f t="shared" si="5"/>
        <v>1.854280944431195</v>
      </c>
      <c r="R25" s="76">
        <f t="shared" si="0"/>
        <v>153315.79424838975</v>
      </c>
      <c r="S25" s="53">
        <v>38328.948562097437</v>
      </c>
      <c r="T25" s="53">
        <v>3252.7179000000006</v>
      </c>
      <c r="U25" s="53">
        <v>6220</v>
      </c>
      <c r="AH25" s="53">
        <f t="shared" si="1"/>
        <v>4638684.20575161</v>
      </c>
      <c r="AO25" s="53">
        <f t="shared" si="2"/>
        <v>4504480</v>
      </c>
      <c r="AP25" s="53">
        <f t="shared" si="2"/>
        <v>3881520.0000000005</v>
      </c>
      <c r="AQ25" s="53">
        <f t="shared" si="2"/>
        <v>8885714.2857142854</v>
      </c>
      <c r="AR25" s="53">
        <f t="shared" si="2"/>
        <v>0</v>
      </c>
      <c r="AS25" s="53">
        <f t="shared" si="2"/>
        <v>0</v>
      </c>
      <c r="AT25" s="53">
        <f t="shared" si="2"/>
        <v>0</v>
      </c>
      <c r="AU25" s="53">
        <f t="shared" si="2"/>
        <v>0</v>
      </c>
      <c r="AV25" s="53">
        <f t="shared" si="2"/>
        <v>0</v>
      </c>
      <c r="AW25" s="53">
        <f t="shared" si="2"/>
        <v>0</v>
      </c>
      <c r="AX25" s="53">
        <f t="shared" si="3"/>
        <v>0</v>
      </c>
      <c r="AY25" s="41" t="s">
        <v>557</v>
      </c>
    </row>
    <row r="26" spans="1:51" x14ac:dyDescent="0.2">
      <c r="A26" s="41" t="s">
        <v>128</v>
      </c>
      <c r="B26" s="41">
        <v>2015</v>
      </c>
      <c r="C26" s="41" t="s">
        <v>91</v>
      </c>
      <c r="D26" s="41" t="s">
        <v>88</v>
      </c>
      <c r="E26" s="41">
        <v>0</v>
      </c>
      <c r="F26" s="41" t="s">
        <v>556</v>
      </c>
      <c r="G26" s="53">
        <v>5097000</v>
      </c>
      <c r="H26" s="46">
        <v>0.9</v>
      </c>
      <c r="I26" s="41">
        <v>0.78</v>
      </c>
      <c r="J26" s="56">
        <f t="shared" si="5"/>
        <v>2.6149836038005549</v>
      </c>
      <c r="R26" s="76">
        <f t="shared" si="0"/>
        <v>156037.37639481085</v>
      </c>
      <c r="S26" s="53">
        <v>39009.344098702713</v>
      </c>
      <c r="T26" s="53">
        <v>3280.6457</v>
      </c>
      <c r="U26" s="53">
        <v>9330</v>
      </c>
      <c r="AH26" s="53">
        <f t="shared" si="1"/>
        <v>4940962.6236051889</v>
      </c>
      <c r="AO26" s="53">
        <f t="shared" si="2"/>
        <v>4587300</v>
      </c>
      <c r="AP26" s="53">
        <f t="shared" si="2"/>
        <v>3975660</v>
      </c>
      <c r="AQ26" s="53">
        <f t="shared" si="2"/>
        <v>13328571.428571429</v>
      </c>
      <c r="AR26" s="53">
        <f t="shared" si="2"/>
        <v>0</v>
      </c>
      <c r="AS26" s="53">
        <f t="shared" si="2"/>
        <v>0</v>
      </c>
      <c r="AT26" s="53">
        <f t="shared" si="2"/>
        <v>0</v>
      </c>
      <c r="AU26" s="53">
        <f t="shared" si="2"/>
        <v>0</v>
      </c>
      <c r="AV26" s="53">
        <f t="shared" si="2"/>
        <v>0</v>
      </c>
      <c r="AW26" s="53">
        <f t="shared" si="2"/>
        <v>0</v>
      </c>
      <c r="AX26" s="53">
        <f t="shared" si="3"/>
        <v>0</v>
      </c>
      <c r="AY26" s="41" t="s">
        <v>557</v>
      </c>
    </row>
    <row r="27" spans="1:51" x14ac:dyDescent="0.2">
      <c r="A27" s="41" t="s">
        <v>128</v>
      </c>
      <c r="B27" s="41">
        <v>2016</v>
      </c>
      <c r="C27" s="41" t="s">
        <v>91</v>
      </c>
      <c r="D27" s="41" t="s">
        <v>88</v>
      </c>
      <c r="E27" s="41">
        <v>0</v>
      </c>
      <c r="F27" s="41" t="s">
        <v>556</v>
      </c>
      <c r="G27" s="53">
        <v>5773000</v>
      </c>
      <c r="H27" s="46">
        <v>0.81</v>
      </c>
      <c r="I27" s="41">
        <v>0.65</v>
      </c>
      <c r="J27" s="56">
        <f t="shared" si="5"/>
        <v>2.3087773131078171</v>
      </c>
      <c r="R27" s="76">
        <f t="shared" si="0"/>
        <v>158396.08092170916</v>
      </c>
      <c r="S27" s="53">
        <v>39599.02023042729</v>
      </c>
      <c r="T27" s="53">
        <v>3050.8478000000005</v>
      </c>
      <c r="U27" s="53">
        <v>9330</v>
      </c>
      <c r="AH27" s="53">
        <f>G27-R27</f>
        <v>5614603.9190782905</v>
      </c>
      <c r="AO27" s="53">
        <f t="shared" si="2"/>
        <v>4676130</v>
      </c>
      <c r="AP27" s="53">
        <f t="shared" si="2"/>
        <v>3752450</v>
      </c>
      <c r="AQ27" s="53">
        <f t="shared" si="2"/>
        <v>13328571.428571427</v>
      </c>
      <c r="AR27" s="53">
        <f t="shared" si="2"/>
        <v>0</v>
      </c>
      <c r="AS27" s="53">
        <f t="shared" si="2"/>
        <v>0</v>
      </c>
      <c r="AT27" s="53">
        <f t="shared" si="2"/>
        <v>0</v>
      </c>
      <c r="AU27" s="53">
        <f t="shared" si="2"/>
        <v>0</v>
      </c>
      <c r="AV27" s="53">
        <f t="shared" si="2"/>
        <v>0</v>
      </c>
      <c r="AW27" s="53">
        <f t="shared" si="2"/>
        <v>0</v>
      </c>
      <c r="AX27" s="53">
        <f t="shared" si="3"/>
        <v>0</v>
      </c>
      <c r="AY27" s="41" t="s">
        <v>557</v>
      </c>
    </row>
    <row r="28" spans="1:51" x14ac:dyDescent="0.2">
      <c r="A28" s="41" t="s">
        <v>128</v>
      </c>
      <c r="B28" s="41" t="s">
        <v>558</v>
      </c>
      <c r="C28" s="41" t="s">
        <v>91</v>
      </c>
      <c r="D28" s="41" t="s">
        <v>88</v>
      </c>
      <c r="E28" s="41">
        <v>0</v>
      </c>
      <c r="F28" s="41" t="s">
        <v>556</v>
      </c>
      <c r="G28" s="53">
        <v>2971000</v>
      </c>
      <c r="H28" s="46">
        <v>0.82</v>
      </c>
      <c r="I28" s="41">
        <v>0.55000000000000004</v>
      </c>
      <c r="J28" s="56">
        <f t="shared" si="5"/>
        <v>2.9908159830744818</v>
      </c>
      <c r="R28" s="76">
        <f t="shared" si="0"/>
        <v>78563.004626689653</v>
      </c>
      <c r="S28" s="53">
        <f>43300000/2204.6</f>
        <v>19640.751156672413</v>
      </c>
      <c r="T28" s="53">
        <f>42210*31.1/1000</f>
        <v>1312.731</v>
      </c>
      <c r="U28" s="53">
        <f>200000*31.1/1000</f>
        <v>6220</v>
      </c>
      <c r="AH28" s="53">
        <f>G28-R28</f>
        <v>2892436.9953733105</v>
      </c>
      <c r="AO28" s="53">
        <f t="shared" si="2"/>
        <v>2436220</v>
      </c>
      <c r="AP28" s="53">
        <f t="shared" si="2"/>
        <v>1634050.0000000002</v>
      </c>
      <c r="AQ28" s="53">
        <f t="shared" si="2"/>
        <v>8885714.2857142854</v>
      </c>
      <c r="AR28" s="53">
        <f t="shared" si="2"/>
        <v>0</v>
      </c>
      <c r="AS28" s="53">
        <f t="shared" si="2"/>
        <v>0</v>
      </c>
      <c r="AT28" s="53">
        <f t="shared" si="2"/>
        <v>0</v>
      </c>
      <c r="AU28" s="53">
        <f t="shared" si="2"/>
        <v>0</v>
      </c>
      <c r="AV28" s="53">
        <f t="shared" si="2"/>
        <v>0</v>
      </c>
      <c r="AW28" s="53">
        <f t="shared" si="2"/>
        <v>0</v>
      </c>
      <c r="AX28" s="53">
        <f t="shared" si="3"/>
        <v>0</v>
      </c>
      <c r="AY28" s="41" t="s">
        <v>557</v>
      </c>
    </row>
    <row r="29" spans="1:51" x14ac:dyDescent="0.2">
      <c r="A29" s="41" t="s">
        <v>128</v>
      </c>
      <c r="B29" s="60" t="s">
        <v>559</v>
      </c>
      <c r="C29" s="60" t="s">
        <v>96</v>
      </c>
      <c r="D29" s="60" t="s">
        <v>88</v>
      </c>
      <c r="E29" s="78">
        <f>AX29/$G29</f>
        <v>62.831693825648848</v>
      </c>
      <c r="F29" s="60" t="s">
        <v>556</v>
      </c>
      <c r="G29" s="79">
        <f>SUM(G4:G28)</f>
        <v>66427563</v>
      </c>
      <c r="H29" s="80">
        <f>AO29/$G29</f>
        <v>0.76103416092503651</v>
      </c>
      <c r="I29" s="80">
        <f>AP29/$G29</f>
        <v>0.63829496048199152</v>
      </c>
      <c r="J29" s="80">
        <f>AQ29/$G29</f>
        <v>3.6972459505358382</v>
      </c>
      <c r="R29" s="79">
        <f>SUM(R4:R28)</f>
        <v>1766703.4535063049</v>
      </c>
      <c r="S29" s="79">
        <f>SUM(S4:S28)</f>
        <v>441675.86337657622</v>
      </c>
      <c r="T29" s="79">
        <f>SUM(T4:T28)</f>
        <v>31189.605315000001</v>
      </c>
      <c r="U29" s="79">
        <f>SUM(U4:U28)</f>
        <v>121810.60280000001</v>
      </c>
      <c r="AH29" s="79">
        <f>SUM(AH4:AH28)</f>
        <v>64660859.546493702</v>
      </c>
      <c r="AM29" s="79">
        <f>SUM(AM4:AM28)</f>
        <v>52171953.75</v>
      </c>
      <c r="AO29" s="79">
        <f t="shared" ref="AO29:AX29" si="6">SUM(AO4:AO28)</f>
        <v>50553644.670000002</v>
      </c>
      <c r="AP29" s="79">
        <f t="shared" si="6"/>
        <v>42400378.700000003</v>
      </c>
      <c r="AQ29" s="79">
        <f t="shared" si="6"/>
        <v>245599038.30571428</v>
      </c>
      <c r="AR29" s="79">
        <f t="shared" si="6"/>
        <v>0</v>
      </c>
      <c r="AS29" s="79">
        <f t="shared" si="6"/>
        <v>0</v>
      </c>
      <c r="AT29" s="79">
        <f t="shared" si="6"/>
        <v>0</v>
      </c>
      <c r="AU29" s="79">
        <f t="shared" si="6"/>
        <v>0</v>
      </c>
      <c r="AV29" s="79">
        <f t="shared" si="6"/>
        <v>0</v>
      </c>
      <c r="AW29" s="79">
        <f t="shared" si="6"/>
        <v>0</v>
      </c>
      <c r="AX29" s="79">
        <f t="shared" si="6"/>
        <v>4173756300</v>
      </c>
      <c r="AY29" s="41" t="s">
        <v>557</v>
      </c>
    </row>
    <row r="30" spans="1:51" x14ac:dyDescent="0.2">
      <c r="A30" s="41" t="s">
        <v>128</v>
      </c>
      <c r="B30" s="43" t="s">
        <v>560</v>
      </c>
      <c r="G30" s="53">
        <f>STDEV(G4:G28)</f>
        <v>1305521.3215892955</v>
      </c>
      <c r="H30" s="46">
        <f>STDEV(H4:H28)</f>
        <v>0.23358938332038992</v>
      </c>
      <c r="I30" s="46">
        <f>STDEV(I4:I28)</f>
        <v>0.25424922156550728</v>
      </c>
      <c r="J30" s="46">
        <f>STDEV(J4:J28)</f>
        <v>2.3261195966086978</v>
      </c>
      <c r="R30" s="53">
        <f>STDEV(R4:R28)</f>
        <v>47495.201082010812</v>
      </c>
      <c r="S30" s="53">
        <f>STDEV(S4:S28)</f>
        <v>11873.800270502703</v>
      </c>
      <c r="T30" s="53">
        <f>STDEV(T4:T28)</f>
        <v>955.81503490512273</v>
      </c>
      <c r="U30" s="53">
        <f>STDEV(U4:U28)</f>
        <v>3675.6808823214365</v>
      </c>
      <c r="AH30" s="53">
        <f>STDEV(AH4:AH28)</f>
        <v>1264958.921809199</v>
      </c>
      <c r="AM30" s="53">
        <f>STDEV(AM4:AM28)</f>
        <v>1104092.4807586335</v>
      </c>
      <c r="AY30" s="41" t="s">
        <v>557</v>
      </c>
    </row>
    <row r="31" spans="1:51" x14ac:dyDescent="0.2">
      <c r="A31" s="41" t="s">
        <v>128</v>
      </c>
      <c r="B31" s="81" t="s">
        <v>249</v>
      </c>
      <c r="G31" s="41">
        <f>COUNT(G4:G28)</f>
        <v>25</v>
      </c>
      <c r="H31" s="41">
        <f>COUNT(H4:H28)</f>
        <v>25</v>
      </c>
      <c r="I31" s="41">
        <f>COUNT(I4:I28)</f>
        <v>25</v>
      </c>
      <c r="J31" s="41">
        <f>COUNT(J4:J28)</f>
        <v>25</v>
      </c>
      <c r="R31" s="41">
        <f>COUNT(R4:R28)</f>
        <v>25</v>
      </c>
      <c r="S31" s="41">
        <f>COUNT(S4:S28)</f>
        <v>25</v>
      </c>
      <c r="T31" s="41">
        <f>COUNT(T4:T28)</f>
        <v>25</v>
      </c>
      <c r="U31" s="41">
        <f>COUNT(U4:U28)</f>
        <v>25</v>
      </c>
      <c r="AH31" s="41">
        <f>COUNT(AH4:AH28)</f>
        <v>25</v>
      </c>
      <c r="AM31" s="41">
        <f>COUNT(AM4:AM28)</f>
        <v>19</v>
      </c>
      <c r="AY31" s="41" t="s">
        <v>557</v>
      </c>
    </row>
    <row r="32" spans="1:51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41" t="s">
        <v>557</v>
      </c>
    </row>
    <row r="33" spans="1:51" x14ac:dyDescent="0.2">
      <c r="A33" s="41" t="s">
        <v>561</v>
      </c>
      <c r="B33" s="41">
        <v>1997</v>
      </c>
      <c r="C33" s="41" t="s">
        <v>87</v>
      </c>
      <c r="D33" s="41" t="s">
        <v>88</v>
      </c>
      <c r="E33" s="41">
        <v>100</v>
      </c>
      <c r="F33" s="41" t="s">
        <v>556</v>
      </c>
      <c r="G33" s="53">
        <v>5173798</v>
      </c>
      <c r="H33" s="56">
        <f>100*S33/G33/0.7</f>
        <v>0.83547355899310893</v>
      </c>
      <c r="I33" s="56">
        <f>(T33*31.1)/G33/0.25</f>
        <v>5.2386168737163688E-2</v>
      </c>
      <c r="J33" s="56">
        <f t="shared" ref="J33:J52" si="7">(1000*U33/G33)/(1000*T33/(G33*I33))</f>
        <v>5.6967042176752955E-2</v>
      </c>
      <c r="R33" s="53">
        <v>151290</v>
      </c>
      <c r="S33" s="53">
        <v>30258</v>
      </c>
      <c r="T33" s="53">
        <f>70056*31.1/1000</f>
        <v>2178.7416000000003</v>
      </c>
      <c r="U33" s="53">
        <f>76182*31.1/1000</f>
        <v>2369.2602000000002</v>
      </c>
      <c r="AH33" s="53">
        <f t="shared" ref="AH33:AH51" si="8">G33-R33</f>
        <v>5022508</v>
      </c>
      <c r="AM33" s="76">
        <v>20695192</v>
      </c>
      <c r="AO33" s="53">
        <f t="shared" ref="AO33:AW48" si="9">$G33*H33</f>
        <v>4322571.4285714291</v>
      </c>
      <c r="AP33" s="53">
        <f t="shared" si="9"/>
        <v>271035.45504000003</v>
      </c>
      <c r="AQ33" s="53">
        <f t="shared" si="9"/>
        <v>294735.96888000006</v>
      </c>
      <c r="AR33" s="53">
        <f t="shared" si="9"/>
        <v>0</v>
      </c>
      <c r="AS33" s="53">
        <f t="shared" si="9"/>
        <v>0</v>
      </c>
      <c r="AT33" s="53">
        <f t="shared" si="9"/>
        <v>0</v>
      </c>
      <c r="AU33" s="53">
        <f t="shared" si="9"/>
        <v>0</v>
      </c>
      <c r="AV33" s="53">
        <f t="shared" si="9"/>
        <v>0</v>
      </c>
      <c r="AW33" s="53">
        <f t="shared" si="9"/>
        <v>0</v>
      </c>
      <c r="AX33" s="53">
        <f>$G33*E33</f>
        <v>517379800</v>
      </c>
      <c r="AY33" s="41" t="s">
        <v>557</v>
      </c>
    </row>
    <row r="34" spans="1:51" x14ac:dyDescent="0.2">
      <c r="A34" s="41" t="s">
        <v>561</v>
      </c>
      <c r="B34" s="41">
        <v>1998</v>
      </c>
      <c r="C34" s="41" t="s">
        <v>87</v>
      </c>
      <c r="D34" s="41" t="s">
        <v>88</v>
      </c>
      <c r="E34" s="41">
        <v>100</v>
      </c>
      <c r="F34" s="41" t="s">
        <v>556</v>
      </c>
      <c r="G34" s="53">
        <v>18339854</v>
      </c>
      <c r="H34" s="41">
        <v>0.79</v>
      </c>
      <c r="I34" s="41">
        <v>0.93</v>
      </c>
      <c r="J34" s="56">
        <f t="shared" si="7"/>
        <v>2.3273712505712845</v>
      </c>
      <c r="R34" s="53">
        <v>612460</v>
      </c>
      <c r="S34" s="53">
        <v>107395.73599999999</v>
      </c>
      <c r="T34" s="53">
        <f>332584*31.1/1000</f>
        <v>10343.3624</v>
      </c>
      <c r="U34" s="53">
        <f>832308*31.1/1000</f>
        <v>25884.7788</v>
      </c>
      <c r="AH34" s="53">
        <f t="shared" si="8"/>
        <v>17727394</v>
      </c>
      <c r="AM34" s="53">
        <v>19517737</v>
      </c>
      <c r="AO34" s="53">
        <f t="shared" si="9"/>
        <v>14488484.66</v>
      </c>
      <c r="AP34" s="53">
        <f t="shared" si="9"/>
        <v>17056064.220000003</v>
      </c>
      <c r="AQ34" s="53">
        <f t="shared" si="9"/>
        <v>42683648.939274773</v>
      </c>
      <c r="AR34" s="53">
        <f t="shared" si="9"/>
        <v>0</v>
      </c>
      <c r="AS34" s="53">
        <f t="shared" si="9"/>
        <v>0</v>
      </c>
      <c r="AT34" s="53">
        <f t="shared" si="9"/>
        <v>0</v>
      </c>
      <c r="AU34" s="53">
        <f t="shared" si="9"/>
        <v>0</v>
      </c>
      <c r="AV34" s="53">
        <f t="shared" si="9"/>
        <v>0</v>
      </c>
      <c r="AW34" s="53">
        <f t="shared" si="9"/>
        <v>0</v>
      </c>
      <c r="AX34" s="53">
        <f t="shared" ref="AX34:AX52" si="10">$G34*E34</f>
        <v>1833985400</v>
      </c>
      <c r="AY34" s="41" t="s">
        <v>557</v>
      </c>
    </row>
    <row r="35" spans="1:51" x14ac:dyDescent="0.2">
      <c r="A35" s="41" t="s">
        <v>561</v>
      </c>
      <c r="B35" s="41">
        <v>1999</v>
      </c>
      <c r="C35" s="41" t="s">
        <v>87</v>
      </c>
      <c r="D35" s="41" t="s">
        <v>88</v>
      </c>
      <c r="E35" s="41">
        <v>100</v>
      </c>
      <c r="F35" s="41" t="s">
        <v>556</v>
      </c>
      <c r="G35" s="53">
        <v>28821967</v>
      </c>
      <c r="H35" s="46">
        <v>0.70314978675813489</v>
      </c>
      <c r="I35" s="46">
        <v>0.92605641835617958</v>
      </c>
      <c r="J35" s="56">
        <f t="shared" si="7"/>
        <v>1.4739276706775264</v>
      </c>
      <c r="R35" s="53">
        <v>704691</v>
      </c>
      <c r="S35" s="53">
        <v>170793.50100000002</v>
      </c>
      <c r="T35" s="53">
        <f>600065*31.1/1000</f>
        <v>18662.021499999999</v>
      </c>
      <c r="U35" s="53">
        <f>955074*31.1/1000</f>
        <v>29702.801400000004</v>
      </c>
      <c r="AH35" s="53">
        <f t="shared" si="8"/>
        <v>28117276</v>
      </c>
      <c r="AM35" s="53">
        <v>64148069</v>
      </c>
      <c r="AO35" s="53">
        <f t="shared" si="9"/>
        <v>20266159.949999999</v>
      </c>
      <c r="AP35" s="53">
        <f t="shared" si="9"/>
        <v>26690767.530000001</v>
      </c>
      <c r="AQ35" s="53">
        <f t="shared" si="9"/>
        <v>42481494.684654534</v>
      </c>
      <c r="AR35" s="53">
        <f t="shared" si="9"/>
        <v>0</v>
      </c>
      <c r="AS35" s="53">
        <f t="shared" si="9"/>
        <v>0</v>
      </c>
      <c r="AT35" s="53">
        <f t="shared" si="9"/>
        <v>0</v>
      </c>
      <c r="AU35" s="53">
        <f t="shared" si="9"/>
        <v>0</v>
      </c>
      <c r="AV35" s="53">
        <f t="shared" si="9"/>
        <v>0</v>
      </c>
      <c r="AW35" s="53">
        <f t="shared" si="9"/>
        <v>0</v>
      </c>
      <c r="AX35" s="53">
        <f t="shared" si="10"/>
        <v>2882196700</v>
      </c>
      <c r="AY35" s="41" t="s">
        <v>557</v>
      </c>
    </row>
    <row r="36" spans="1:51" x14ac:dyDescent="0.2">
      <c r="A36" s="41" t="s">
        <v>561</v>
      </c>
      <c r="B36" s="41">
        <v>2000</v>
      </c>
      <c r="C36" s="41" t="s">
        <v>87</v>
      </c>
      <c r="D36" s="41" t="s">
        <v>88</v>
      </c>
      <c r="E36" s="41">
        <v>100</v>
      </c>
      <c r="F36" s="41" t="s">
        <v>556</v>
      </c>
      <c r="G36" s="53">
        <v>26503000</v>
      </c>
      <c r="H36" s="41">
        <v>0.62</v>
      </c>
      <c r="I36" s="41">
        <v>0.88</v>
      </c>
      <c r="J36" s="56">
        <f t="shared" si="7"/>
        <v>1.6850070020120724</v>
      </c>
      <c r="R36" s="53">
        <v>523641</v>
      </c>
      <c r="S36" s="53">
        <v>145000</v>
      </c>
      <c r="T36" s="53">
        <f>497000*31.1/1000</f>
        <v>15456.7</v>
      </c>
      <c r="U36" s="53">
        <f>951646*31.1/1000</f>
        <v>29596.190600000002</v>
      </c>
      <c r="AH36" s="53">
        <f t="shared" si="8"/>
        <v>25979359</v>
      </c>
      <c r="AM36" s="53">
        <v>117571000</v>
      </c>
      <c r="AO36" s="53">
        <f t="shared" si="9"/>
        <v>16431860</v>
      </c>
      <c r="AP36" s="53">
        <f t="shared" si="9"/>
        <v>23322640</v>
      </c>
      <c r="AQ36" s="53">
        <f t="shared" si="9"/>
        <v>44657740.574325956</v>
      </c>
      <c r="AR36" s="53">
        <f t="shared" si="9"/>
        <v>0</v>
      </c>
      <c r="AS36" s="53">
        <f t="shared" si="9"/>
        <v>0</v>
      </c>
      <c r="AT36" s="53">
        <f t="shared" si="9"/>
        <v>0</v>
      </c>
      <c r="AU36" s="53">
        <f t="shared" si="9"/>
        <v>0</v>
      </c>
      <c r="AV36" s="53">
        <f t="shared" si="9"/>
        <v>0</v>
      </c>
      <c r="AW36" s="53">
        <f t="shared" si="9"/>
        <v>0</v>
      </c>
      <c r="AX36" s="53">
        <f t="shared" si="10"/>
        <v>2650300000</v>
      </c>
      <c r="AY36" s="41" t="s">
        <v>557</v>
      </c>
    </row>
    <row r="37" spans="1:51" x14ac:dyDescent="0.2">
      <c r="A37" s="41" t="s">
        <v>561</v>
      </c>
      <c r="B37" s="41">
        <v>2001</v>
      </c>
      <c r="C37" s="41" t="s">
        <v>87</v>
      </c>
      <c r="D37" s="41" t="s">
        <v>88</v>
      </c>
      <c r="E37" s="41">
        <v>100</v>
      </c>
      <c r="F37" s="41" t="s">
        <v>556</v>
      </c>
      <c r="G37" s="53">
        <v>29181000</v>
      </c>
      <c r="H37" s="41">
        <v>0.72</v>
      </c>
      <c r="I37" s="41">
        <v>0.95</v>
      </c>
      <c r="J37" s="56">
        <f t="shared" si="7"/>
        <v>1.8411593750000004</v>
      </c>
      <c r="R37" s="53">
        <v>690526</v>
      </c>
      <c r="S37" s="53">
        <v>192000</v>
      </c>
      <c r="T37" s="53">
        <f>672000*31.1/1000</f>
        <v>20899.2</v>
      </c>
      <c r="U37" s="53">
        <f>1302378*31.1/1000</f>
        <v>40503.955800000003</v>
      </c>
      <c r="AH37" s="53">
        <f t="shared" si="8"/>
        <v>28490474</v>
      </c>
      <c r="AM37" s="53">
        <v>111191000</v>
      </c>
      <c r="AO37" s="53">
        <f t="shared" si="9"/>
        <v>21010320</v>
      </c>
      <c r="AP37" s="53">
        <f t="shared" si="9"/>
        <v>27721950</v>
      </c>
      <c r="AQ37" s="53">
        <f t="shared" si="9"/>
        <v>53726871.721875012</v>
      </c>
      <c r="AR37" s="53">
        <f t="shared" si="9"/>
        <v>0</v>
      </c>
      <c r="AS37" s="53">
        <f t="shared" si="9"/>
        <v>0</v>
      </c>
      <c r="AT37" s="53">
        <f t="shared" si="9"/>
        <v>0</v>
      </c>
      <c r="AU37" s="53">
        <f t="shared" si="9"/>
        <v>0</v>
      </c>
      <c r="AV37" s="53">
        <f t="shared" si="9"/>
        <v>0</v>
      </c>
      <c r="AW37" s="53">
        <f t="shared" si="9"/>
        <v>0</v>
      </c>
      <c r="AX37" s="53">
        <f t="shared" si="10"/>
        <v>2918100000</v>
      </c>
      <c r="AY37" s="41" t="s">
        <v>557</v>
      </c>
    </row>
    <row r="38" spans="1:51" x14ac:dyDescent="0.2">
      <c r="A38" s="41" t="s">
        <v>561</v>
      </c>
      <c r="B38" s="41">
        <v>2002</v>
      </c>
      <c r="C38" s="41" t="s">
        <v>87</v>
      </c>
      <c r="D38" s="41" t="s">
        <v>88</v>
      </c>
      <c r="E38" s="41">
        <v>100</v>
      </c>
      <c r="F38" s="41" t="s">
        <v>556</v>
      </c>
      <c r="G38" s="53">
        <v>31558000</v>
      </c>
      <c r="H38" s="46">
        <v>0.7</v>
      </c>
      <c r="I38" s="41">
        <v>0.93</v>
      </c>
      <c r="J38" s="56">
        <f t="shared" si="7"/>
        <v>1.6259680901856766</v>
      </c>
      <c r="R38" s="53">
        <v>743468</v>
      </c>
      <c r="S38" s="53">
        <v>204000</v>
      </c>
      <c r="T38" s="53">
        <f>754000*31.1/1000</f>
        <v>23449.4</v>
      </c>
      <c r="U38" s="53">
        <f>1318258*31.1/1000</f>
        <v>40997.823800000006</v>
      </c>
      <c r="AH38" s="53">
        <f t="shared" si="8"/>
        <v>30814532</v>
      </c>
      <c r="AM38" s="53">
        <v>109836000</v>
      </c>
      <c r="AO38" s="53">
        <f t="shared" si="9"/>
        <v>22090600</v>
      </c>
      <c r="AP38" s="53">
        <f t="shared" si="9"/>
        <v>29348940</v>
      </c>
      <c r="AQ38" s="53">
        <f t="shared" si="9"/>
        <v>51312300.990079582</v>
      </c>
      <c r="AR38" s="53">
        <f t="shared" si="9"/>
        <v>0</v>
      </c>
      <c r="AS38" s="53">
        <f t="shared" si="9"/>
        <v>0</v>
      </c>
      <c r="AT38" s="53">
        <f t="shared" si="9"/>
        <v>0</v>
      </c>
      <c r="AU38" s="53">
        <f t="shared" si="9"/>
        <v>0</v>
      </c>
      <c r="AV38" s="53">
        <f t="shared" si="9"/>
        <v>0</v>
      </c>
      <c r="AW38" s="53">
        <f t="shared" si="9"/>
        <v>0</v>
      </c>
      <c r="AX38" s="53">
        <f t="shared" si="10"/>
        <v>3155800000</v>
      </c>
      <c r="AY38" s="41" t="s">
        <v>557</v>
      </c>
    </row>
    <row r="39" spans="1:51" x14ac:dyDescent="0.2">
      <c r="A39" s="41" t="s">
        <v>561</v>
      </c>
      <c r="B39" s="41">
        <v>2003</v>
      </c>
      <c r="C39" s="41" t="s">
        <v>87</v>
      </c>
      <c r="D39" s="41" t="s">
        <v>88</v>
      </c>
      <c r="E39" s="41">
        <v>100</v>
      </c>
      <c r="F39" s="41" t="s">
        <v>556</v>
      </c>
      <c r="G39" s="53">
        <v>34200389</v>
      </c>
      <c r="H39" s="46">
        <v>0.65</v>
      </c>
      <c r="I39" s="41">
        <v>0.81</v>
      </c>
      <c r="J39" s="56">
        <f t="shared" si="7"/>
        <v>1.7634846154764965</v>
      </c>
      <c r="R39" s="53">
        <v>753474</v>
      </c>
      <c r="S39" s="53">
        <v>198537</v>
      </c>
      <c r="T39" s="53">
        <f>669764*31.1/1000</f>
        <v>20829.660400000001</v>
      </c>
      <c r="U39" s="76">
        <f>1458171*31.1/1000</f>
        <v>45349.1181</v>
      </c>
      <c r="AH39" s="53">
        <f t="shared" si="8"/>
        <v>33446915</v>
      </c>
      <c r="AM39" s="53">
        <v>79592746</v>
      </c>
      <c r="AO39" s="53">
        <f t="shared" si="9"/>
        <v>22230252.850000001</v>
      </c>
      <c r="AP39" s="53">
        <f t="shared" si="9"/>
        <v>27702315.090000004</v>
      </c>
      <c r="AQ39" s="53">
        <f t="shared" si="9"/>
        <v>60311859.844811603</v>
      </c>
      <c r="AR39" s="53">
        <f t="shared" si="9"/>
        <v>0</v>
      </c>
      <c r="AS39" s="53">
        <f t="shared" si="9"/>
        <v>0</v>
      </c>
      <c r="AT39" s="53">
        <f t="shared" si="9"/>
        <v>0</v>
      </c>
      <c r="AU39" s="53">
        <f t="shared" si="9"/>
        <v>0</v>
      </c>
      <c r="AV39" s="53">
        <f t="shared" si="9"/>
        <v>0</v>
      </c>
      <c r="AW39" s="53">
        <f t="shared" si="9"/>
        <v>0</v>
      </c>
      <c r="AX39" s="53">
        <f t="shared" si="10"/>
        <v>3420038900</v>
      </c>
      <c r="AY39" s="41" t="s">
        <v>557</v>
      </c>
    </row>
    <row r="40" spans="1:51" x14ac:dyDescent="0.2">
      <c r="A40" s="41" t="s">
        <v>561</v>
      </c>
      <c r="B40" s="41">
        <v>2004</v>
      </c>
      <c r="C40" s="41" t="s">
        <v>87</v>
      </c>
      <c r="D40" s="41" t="s">
        <v>88</v>
      </c>
      <c r="E40" s="41">
        <v>100</v>
      </c>
      <c r="F40" s="41" t="s">
        <v>556</v>
      </c>
      <c r="G40" s="53">
        <v>35353521</v>
      </c>
      <c r="H40" s="46">
        <v>0.56000000000000005</v>
      </c>
      <c r="I40" s="41">
        <v>0.72</v>
      </c>
      <c r="J40" s="56">
        <f t="shared" si="7"/>
        <v>1.567541908441072</v>
      </c>
      <c r="R40" s="53">
        <v>654366</v>
      </c>
      <c r="S40" s="53">
        <v>176439</v>
      </c>
      <c r="T40" s="53">
        <f>633166*31.1/1000</f>
        <v>19691.462600000003</v>
      </c>
      <c r="U40" s="76">
        <f>1378492*31.1/1000</f>
        <v>42871.101200000005</v>
      </c>
      <c r="AH40" s="53">
        <f t="shared" si="8"/>
        <v>34699155</v>
      </c>
      <c r="AM40" s="53">
        <v>79458956</v>
      </c>
      <c r="AO40" s="53">
        <f t="shared" si="9"/>
        <v>19797971.760000002</v>
      </c>
      <c r="AP40" s="53">
        <f t="shared" si="9"/>
        <v>25454535.119999997</v>
      </c>
      <c r="AQ40" s="53">
        <f t="shared" si="9"/>
        <v>55418125.778451517</v>
      </c>
      <c r="AR40" s="53">
        <f t="shared" si="9"/>
        <v>0</v>
      </c>
      <c r="AS40" s="53">
        <f t="shared" si="9"/>
        <v>0</v>
      </c>
      <c r="AT40" s="53">
        <f t="shared" si="9"/>
        <v>0</v>
      </c>
      <c r="AU40" s="53">
        <f t="shared" si="9"/>
        <v>0</v>
      </c>
      <c r="AV40" s="53">
        <f t="shared" si="9"/>
        <v>0</v>
      </c>
      <c r="AW40" s="53">
        <f t="shared" si="9"/>
        <v>0</v>
      </c>
      <c r="AX40" s="53">
        <f t="shared" si="10"/>
        <v>3535352100</v>
      </c>
      <c r="AY40" s="41" t="s">
        <v>557</v>
      </c>
    </row>
    <row r="41" spans="1:51" x14ac:dyDescent="0.2">
      <c r="A41" s="41" t="s">
        <v>561</v>
      </c>
      <c r="B41" s="41">
        <v>2005</v>
      </c>
      <c r="C41" s="41" t="s">
        <v>87</v>
      </c>
      <c r="D41" s="41" t="s">
        <v>88</v>
      </c>
      <c r="E41" s="41">
        <v>100</v>
      </c>
      <c r="F41" s="41" t="s">
        <v>556</v>
      </c>
      <c r="G41" s="53">
        <v>36607985</v>
      </c>
      <c r="H41" s="46">
        <v>0.56999999999999995</v>
      </c>
      <c r="I41" s="41">
        <v>0.63</v>
      </c>
      <c r="J41" s="56">
        <f t="shared" si="7"/>
        <v>1.3715986717431898</v>
      </c>
      <c r="R41" s="53">
        <v>434449</v>
      </c>
      <c r="S41" s="53">
        <v>187317</v>
      </c>
      <c r="T41" s="53">
        <f>577298*31.1/1000</f>
        <v>17953.967800000002</v>
      </c>
      <c r="U41" s="76">
        <f>1256859*31.1/1000</f>
        <v>39088.314899999998</v>
      </c>
      <c r="AH41" s="53">
        <f t="shared" si="8"/>
        <v>36173536</v>
      </c>
      <c r="AM41" s="53">
        <v>78317238</v>
      </c>
      <c r="AO41" s="53">
        <f t="shared" si="9"/>
        <v>20866551.449999999</v>
      </c>
      <c r="AP41" s="53">
        <f t="shared" si="9"/>
        <v>23063030.550000001</v>
      </c>
      <c r="AQ41" s="53">
        <f t="shared" si="9"/>
        <v>50211463.60119462</v>
      </c>
      <c r="AR41" s="53">
        <f t="shared" si="9"/>
        <v>0</v>
      </c>
      <c r="AS41" s="53">
        <f t="shared" si="9"/>
        <v>0</v>
      </c>
      <c r="AT41" s="53">
        <f t="shared" si="9"/>
        <v>0</v>
      </c>
      <c r="AU41" s="53">
        <f t="shared" si="9"/>
        <v>0</v>
      </c>
      <c r="AV41" s="53">
        <f t="shared" si="9"/>
        <v>0</v>
      </c>
      <c r="AW41" s="53">
        <f t="shared" si="9"/>
        <v>0</v>
      </c>
      <c r="AX41" s="53">
        <f t="shared" si="10"/>
        <v>3660798500</v>
      </c>
      <c r="AY41" s="41" t="s">
        <v>557</v>
      </c>
    </row>
    <row r="42" spans="1:51" x14ac:dyDescent="0.2">
      <c r="A42" s="41" t="s">
        <v>561</v>
      </c>
      <c r="B42" s="41">
        <v>2006</v>
      </c>
      <c r="C42" s="41" t="s">
        <v>87</v>
      </c>
      <c r="D42" s="41" t="s">
        <v>88</v>
      </c>
      <c r="E42" s="41">
        <v>100</v>
      </c>
      <c r="F42" s="41" t="s">
        <v>556</v>
      </c>
      <c r="G42" s="53">
        <v>36349692</v>
      </c>
      <c r="H42" s="46">
        <v>0.56000000000000005</v>
      </c>
      <c r="I42" s="41">
        <v>0.71</v>
      </c>
      <c r="J42" s="56">
        <f t="shared" si="7"/>
        <v>1.5457708084434727</v>
      </c>
      <c r="R42" s="53">
        <v>458186</v>
      </c>
      <c r="S42" s="53">
        <v>180144</v>
      </c>
      <c r="T42" s="53">
        <f>641158*31.1/1000</f>
        <v>19940.013800000001</v>
      </c>
      <c r="U42" s="76">
        <f>1395892*31.1/1000</f>
        <v>43412.241200000004</v>
      </c>
      <c r="AH42" s="53">
        <f t="shared" si="8"/>
        <v>35891506</v>
      </c>
      <c r="AM42" s="53">
        <v>75812651</v>
      </c>
      <c r="AO42" s="53">
        <f t="shared" si="9"/>
        <v>20355827.520000003</v>
      </c>
      <c r="AP42" s="53">
        <f t="shared" si="9"/>
        <v>25808281.32</v>
      </c>
      <c r="AQ42" s="53">
        <f t="shared" si="9"/>
        <v>56188292.789511234</v>
      </c>
      <c r="AR42" s="53">
        <f t="shared" si="9"/>
        <v>0</v>
      </c>
      <c r="AS42" s="53">
        <f t="shared" si="9"/>
        <v>0</v>
      </c>
      <c r="AT42" s="53">
        <f t="shared" si="9"/>
        <v>0</v>
      </c>
      <c r="AU42" s="53">
        <f t="shared" si="9"/>
        <v>0</v>
      </c>
      <c r="AV42" s="53">
        <f t="shared" si="9"/>
        <v>0</v>
      </c>
      <c r="AW42" s="53">
        <f t="shared" si="9"/>
        <v>0</v>
      </c>
      <c r="AX42" s="53">
        <f t="shared" si="10"/>
        <v>3634969200</v>
      </c>
      <c r="AY42" s="41" t="s">
        <v>557</v>
      </c>
    </row>
    <row r="43" spans="1:51" x14ac:dyDescent="0.2">
      <c r="A43" s="41" t="s">
        <v>561</v>
      </c>
      <c r="B43" s="41">
        <v>2007</v>
      </c>
      <c r="C43" s="41" t="s">
        <v>87</v>
      </c>
      <c r="D43" s="41" t="s">
        <v>88</v>
      </c>
      <c r="E43" s="41">
        <v>100</v>
      </c>
      <c r="F43" s="41" t="s">
        <v>556</v>
      </c>
      <c r="G43" s="53">
        <v>38606768</v>
      </c>
      <c r="H43" s="41">
        <v>0.56000000000000005</v>
      </c>
      <c r="I43" s="41">
        <v>0.67</v>
      </c>
      <c r="J43" s="56">
        <f t="shared" si="7"/>
        <v>1.4586844073086678</v>
      </c>
      <c r="R43" s="53">
        <v>383109</v>
      </c>
      <c r="S43" s="53">
        <v>180223</v>
      </c>
      <c r="T43" s="53">
        <f>615160*31.1/1000</f>
        <v>19131.475999999999</v>
      </c>
      <c r="U43" s="76">
        <f>1339290*31.1/1000</f>
        <v>41651.919000000002</v>
      </c>
      <c r="AH43" s="53">
        <f t="shared" si="8"/>
        <v>38223659</v>
      </c>
      <c r="AM43" s="53">
        <v>84308701</v>
      </c>
      <c r="AO43" s="53">
        <f t="shared" si="9"/>
        <v>21619790.080000002</v>
      </c>
      <c r="AP43" s="53">
        <f t="shared" si="9"/>
        <v>25866534.560000002</v>
      </c>
      <c r="AQ43" s="53">
        <f t="shared" si="9"/>
        <v>56315090.498183243</v>
      </c>
      <c r="AR43" s="53">
        <f t="shared" si="9"/>
        <v>0</v>
      </c>
      <c r="AS43" s="53">
        <f t="shared" si="9"/>
        <v>0</v>
      </c>
      <c r="AT43" s="53">
        <f t="shared" si="9"/>
        <v>0</v>
      </c>
      <c r="AU43" s="53">
        <f t="shared" si="9"/>
        <v>0</v>
      </c>
      <c r="AV43" s="53">
        <f t="shared" si="9"/>
        <v>0</v>
      </c>
      <c r="AW43" s="53">
        <f t="shared" si="9"/>
        <v>0</v>
      </c>
      <c r="AX43" s="53">
        <f t="shared" si="10"/>
        <v>3860676800</v>
      </c>
      <c r="AY43" s="41" t="s">
        <v>557</v>
      </c>
    </row>
    <row r="44" spans="1:51" x14ac:dyDescent="0.2">
      <c r="A44" s="41" t="s">
        <v>561</v>
      </c>
      <c r="B44" s="41">
        <v>2008</v>
      </c>
      <c r="C44" s="41" t="s">
        <v>87</v>
      </c>
      <c r="D44" s="41" t="s">
        <v>88</v>
      </c>
      <c r="E44" s="41">
        <v>100</v>
      </c>
      <c r="F44" s="41" t="s">
        <v>556</v>
      </c>
      <c r="G44" s="53">
        <v>37502049</v>
      </c>
      <c r="H44" s="46">
        <v>0.5</v>
      </c>
      <c r="I44" s="41">
        <v>0.55000000000000004</v>
      </c>
      <c r="J44" s="56">
        <f t="shared" si="7"/>
        <v>1.1974281477310804</v>
      </c>
      <c r="R44" s="53">
        <v>409659</v>
      </c>
      <c r="S44" s="53">
        <v>156893</v>
      </c>
      <c r="T44" s="53">
        <f>504403*31.1/1000</f>
        <v>15686.933300000001</v>
      </c>
      <c r="U44" s="76">
        <f>1098157*31.1/1000</f>
        <v>34152.682700000005</v>
      </c>
      <c r="AH44" s="53">
        <f t="shared" si="8"/>
        <v>37092390</v>
      </c>
      <c r="AM44" s="53">
        <v>71326586</v>
      </c>
      <c r="AO44" s="53">
        <f t="shared" si="9"/>
        <v>18751024.5</v>
      </c>
      <c r="AP44" s="53">
        <f t="shared" si="9"/>
        <v>20626126.950000003</v>
      </c>
      <c r="AQ44" s="53">
        <f t="shared" si="9"/>
        <v>44906009.070190214</v>
      </c>
      <c r="AR44" s="53">
        <f t="shared" si="9"/>
        <v>0</v>
      </c>
      <c r="AS44" s="53">
        <f t="shared" si="9"/>
        <v>0</v>
      </c>
      <c r="AT44" s="53">
        <f t="shared" si="9"/>
        <v>0</v>
      </c>
      <c r="AU44" s="53">
        <f t="shared" si="9"/>
        <v>0</v>
      </c>
      <c r="AV44" s="53">
        <f t="shared" si="9"/>
        <v>0</v>
      </c>
      <c r="AW44" s="53">
        <f t="shared" si="9"/>
        <v>0</v>
      </c>
      <c r="AX44" s="53">
        <f t="shared" si="10"/>
        <v>3750204900</v>
      </c>
      <c r="AY44" s="41" t="s">
        <v>557</v>
      </c>
    </row>
    <row r="45" spans="1:51" x14ac:dyDescent="0.2">
      <c r="A45" s="41" t="s">
        <v>561</v>
      </c>
      <c r="B45" s="41">
        <v>2009</v>
      </c>
      <c r="C45" s="41" t="s">
        <v>87</v>
      </c>
      <c r="D45" s="41" t="s">
        <v>88</v>
      </c>
      <c r="E45" s="41">
        <v>100</v>
      </c>
      <c r="F45" s="41" t="s">
        <v>556</v>
      </c>
      <c r="G45" s="53">
        <v>37533923</v>
      </c>
      <c r="H45" s="46">
        <v>0.46</v>
      </c>
      <c r="I45" s="41">
        <v>0.49</v>
      </c>
      <c r="J45" s="56">
        <f t="shared" si="7"/>
        <v>1.0667993298514675</v>
      </c>
      <c r="R45" s="53">
        <v>369045</v>
      </c>
      <c r="S45" s="53">
        <v>143084</v>
      </c>
      <c r="T45" s="53">
        <f>421996*31.1/1000</f>
        <v>13124.075600000002</v>
      </c>
      <c r="U45" s="76">
        <f>918745*31.1/1000</f>
        <v>28572.969499999999</v>
      </c>
      <c r="AH45" s="53">
        <f t="shared" si="8"/>
        <v>37164878</v>
      </c>
      <c r="AM45" s="53">
        <v>58895754</v>
      </c>
      <c r="AO45" s="53">
        <f t="shared" si="9"/>
        <v>17265604.580000002</v>
      </c>
      <c r="AP45" s="53">
        <f t="shared" si="9"/>
        <v>18391622.27</v>
      </c>
      <c r="AQ45" s="53">
        <f t="shared" si="9"/>
        <v>40041163.903096586</v>
      </c>
      <c r="AR45" s="53">
        <f t="shared" si="9"/>
        <v>0</v>
      </c>
      <c r="AS45" s="53">
        <f t="shared" si="9"/>
        <v>0</v>
      </c>
      <c r="AT45" s="53">
        <f t="shared" si="9"/>
        <v>0</v>
      </c>
      <c r="AU45" s="53">
        <f t="shared" si="9"/>
        <v>0</v>
      </c>
      <c r="AV45" s="53">
        <f t="shared" si="9"/>
        <v>0</v>
      </c>
      <c r="AW45" s="53">
        <f t="shared" si="9"/>
        <v>0</v>
      </c>
      <c r="AX45" s="53">
        <f t="shared" si="10"/>
        <v>3753392300</v>
      </c>
      <c r="AY45" s="41" t="s">
        <v>557</v>
      </c>
    </row>
    <row r="46" spans="1:51" x14ac:dyDescent="0.2">
      <c r="A46" s="41" t="s">
        <v>561</v>
      </c>
      <c r="B46" s="41">
        <v>2010</v>
      </c>
      <c r="C46" s="41" t="s">
        <v>87</v>
      </c>
      <c r="D46" s="41" t="s">
        <v>88</v>
      </c>
      <c r="E46" s="41">
        <v>100</v>
      </c>
      <c r="F46" s="41" t="s">
        <v>556</v>
      </c>
      <c r="G46" s="53">
        <v>37427766</v>
      </c>
      <c r="H46" s="46">
        <v>0.45</v>
      </c>
      <c r="I46" s="41">
        <v>0.46</v>
      </c>
      <c r="J46" s="56">
        <f t="shared" si="7"/>
        <v>1.0014846894332534</v>
      </c>
      <c r="R46" s="53">
        <v>346883</v>
      </c>
      <c r="S46" s="53">
        <v>140318</v>
      </c>
      <c r="T46" s="53">
        <f>405243*31.1/1000</f>
        <v>12603.0573</v>
      </c>
      <c r="U46" s="76">
        <f>882271*31.1/1000</f>
        <v>27438.628100000002</v>
      </c>
      <c r="AH46" s="53">
        <f t="shared" si="8"/>
        <v>37080883</v>
      </c>
      <c r="AM46" s="53">
        <v>59122901</v>
      </c>
      <c r="AO46" s="53">
        <f t="shared" si="9"/>
        <v>16842494.699999999</v>
      </c>
      <c r="AP46" s="53">
        <f t="shared" si="9"/>
        <v>17216772.359999999</v>
      </c>
      <c r="AQ46" s="53">
        <f t="shared" si="9"/>
        <v>37483334.608690478</v>
      </c>
      <c r="AR46" s="53">
        <f t="shared" si="9"/>
        <v>0</v>
      </c>
      <c r="AS46" s="53">
        <f t="shared" si="9"/>
        <v>0</v>
      </c>
      <c r="AT46" s="53">
        <f t="shared" si="9"/>
        <v>0</v>
      </c>
      <c r="AU46" s="53">
        <f t="shared" si="9"/>
        <v>0</v>
      </c>
      <c r="AV46" s="53">
        <f t="shared" si="9"/>
        <v>0</v>
      </c>
      <c r="AW46" s="53">
        <f t="shared" si="9"/>
        <v>0</v>
      </c>
      <c r="AX46" s="53">
        <f t="shared" si="10"/>
        <v>3742776600</v>
      </c>
      <c r="AY46" s="41" t="s">
        <v>557</v>
      </c>
    </row>
    <row r="47" spans="1:51" x14ac:dyDescent="0.2">
      <c r="A47" s="41" t="s">
        <v>561</v>
      </c>
      <c r="B47" s="41">
        <v>2011</v>
      </c>
      <c r="C47" s="41" t="s">
        <v>87</v>
      </c>
      <c r="D47" s="41" t="s">
        <v>88</v>
      </c>
      <c r="E47" s="41">
        <v>100</v>
      </c>
      <c r="F47" s="41" t="s">
        <v>556</v>
      </c>
      <c r="G47" s="53">
        <v>38201036</v>
      </c>
      <c r="H47" s="46">
        <v>0.4</v>
      </c>
      <c r="I47" s="41">
        <v>0.42</v>
      </c>
      <c r="J47" s="56">
        <f t="shared" si="7"/>
        <v>1.1977448766347583</v>
      </c>
      <c r="R47" s="53">
        <v>446718</v>
      </c>
      <c r="S47" s="53">
        <v>116698</v>
      </c>
      <c r="T47" s="53">
        <f>356016*31.1/1000</f>
        <v>11072.097599999999</v>
      </c>
      <c r="U47" s="53">
        <f>1015277*31.1/1000</f>
        <v>31575.114700000002</v>
      </c>
      <c r="AH47" s="53">
        <f t="shared" si="8"/>
        <v>37754318</v>
      </c>
      <c r="AM47" s="53">
        <v>96655742</v>
      </c>
      <c r="AO47" s="53">
        <f t="shared" si="9"/>
        <v>15280414.4</v>
      </c>
      <c r="AP47" s="53">
        <f t="shared" si="9"/>
        <v>16044435.119999999</v>
      </c>
      <c r="AQ47" s="53">
        <f t="shared" si="9"/>
        <v>45755095.15113996</v>
      </c>
      <c r="AR47" s="53">
        <f t="shared" si="9"/>
        <v>0</v>
      </c>
      <c r="AS47" s="53">
        <f t="shared" si="9"/>
        <v>0</v>
      </c>
      <c r="AT47" s="53">
        <f t="shared" si="9"/>
        <v>0</v>
      </c>
      <c r="AU47" s="53">
        <f t="shared" si="9"/>
        <v>0</v>
      </c>
      <c r="AV47" s="53">
        <f t="shared" si="9"/>
        <v>0</v>
      </c>
      <c r="AW47" s="53">
        <f t="shared" si="9"/>
        <v>0</v>
      </c>
      <c r="AX47" s="53">
        <f t="shared" si="10"/>
        <v>3820103600</v>
      </c>
      <c r="AY47" s="41" t="s">
        <v>557</v>
      </c>
    </row>
    <row r="48" spans="1:51" x14ac:dyDescent="0.2">
      <c r="A48" s="41" t="s">
        <v>561</v>
      </c>
      <c r="B48" s="41">
        <v>2012</v>
      </c>
      <c r="C48" s="41" t="s">
        <v>87</v>
      </c>
      <c r="D48" s="41" t="s">
        <v>88</v>
      </c>
      <c r="E48" s="41">
        <v>100</v>
      </c>
      <c r="F48" s="41" t="s">
        <v>556</v>
      </c>
      <c r="G48" s="53">
        <v>39698984</v>
      </c>
      <c r="H48" s="41">
        <v>0.41</v>
      </c>
      <c r="I48" s="46">
        <v>0.4</v>
      </c>
      <c r="J48" s="56">
        <f t="shared" si="7"/>
        <v>1.6324844838140309</v>
      </c>
      <c r="R48" s="53">
        <v>521124</v>
      </c>
      <c r="S48" s="53">
        <v>135743</v>
      </c>
      <c r="T48" s="53">
        <f>364297*31.1/1000</f>
        <v>11329.636700000001</v>
      </c>
      <c r="U48" s="53">
        <f>1486773*31.1/1000</f>
        <v>46238.640300000006</v>
      </c>
      <c r="AH48" s="53">
        <f t="shared" si="8"/>
        <v>39177860</v>
      </c>
      <c r="AM48" s="53">
        <v>65618926</v>
      </c>
      <c r="AO48" s="53">
        <f t="shared" si="9"/>
        <v>16276583.439999999</v>
      </c>
      <c r="AP48" s="53">
        <f t="shared" si="9"/>
        <v>15879593.600000001</v>
      </c>
      <c r="AQ48" s="53">
        <f t="shared" si="9"/>
        <v>64807975.403181471</v>
      </c>
      <c r="AR48" s="53">
        <f t="shared" si="9"/>
        <v>0</v>
      </c>
      <c r="AS48" s="53">
        <f t="shared" si="9"/>
        <v>0</v>
      </c>
      <c r="AT48" s="53">
        <f t="shared" si="9"/>
        <v>0</v>
      </c>
      <c r="AU48" s="53">
        <f t="shared" si="9"/>
        <v>0</v>
      </c>
      <c r="AV48" s="53">
        <f t="shared" si="9"/>
        <v>0</v>
      </c>
      <c r="AW48" s="53">
        <f t="shared" si="9"/>
        <v>0</v>
      </c>
      <c r="AX48" s="53">
        <f t="shared" si="10"/>
        <v>3969898400</v>
      </c>
      <c r="AY48" s="41" t="s">
        <v>557</v>
      </c>
    </row>
    <row r="49" spans="1:51" x14ac:dyDescent="0.2">
      <c r="A49" s="41" t="s">
        <v>561</v>
      </c>
      <c r="B49" s="41">
        <v>2013</v>
      </c>
      <c r="C49" s="41" t="s">
        <v>87</v>
      </c>
      <c r="D49" s="41" t="s">
        <v>88</v>
      </c>
      <c r="E49" s="41">
        <v>100</v>
      </c>
      <c r="F49" s="41" t="s">
        <v>556</v>
      </c>
      <c r="G49" s="53">
        <v>37370666.666666664</v>
      </c>
      <c r="H49" s="41">
        <v>0.37</v>
      </c>
      <c r="I49" s="41">
        <v>0.37</v>
      </c>
      <c r="J49" s="56">
        <f t="shared" si="7"/>
        <v>0.80554320802468937</v>
      </c>
      <c r="R49" s="76">
        <v>362439.12026434811</v>
      </c>
      <c r="S49" s="53">
        <v>109589.04109589041</v>
      </c>
      <c r="T49" s="53">
        <f>313333*31.1/1000</f>
        <v>9744.6563000000006</v>
      </c>
      <c r="U49" s="76">
        <f>682171*31.1/1000</f>
        <v>21215.518100000001</v>
      </c>
      <c r="AH49" s="53">
        <f t="shared" si="8"/>
        <v>37008227.546402313</v>
      </c>
      <c r="AM49" s="53">
        <v>55153600</v>
      </c>
      <c r="AO49" s="83">
        <f>0.5*$G49*H49</f>
        <v>6913573.333333333</v>
      </c>
      <c r="AP49" s="83">
        <f>0.5*$G49*I49</f>
        <v>6913573.333333333</v>
      </c>
      <c r="AQ49" s="83">
        <f>0.5*$G49*J49</f>
        <v>15051843.356343994</v>
      </c>
      <c r="AR49" s="53">
        <f t="shared" ref="AR49:AW52" si="11">$G49*K49</f>
        <v>0</v>
      </c>
      <c r="AS49" s="53">
        <f t="shared" si="11"/>
        <v>0</v>
      </c>
      <c r="AT49" s="53">
        <f t="shared" si="11"/>
        <v>0</v>
      </c>
      <c r="AU49" s="53">
        <f t="shared" si="11"/>
        <v>0</v>
      </c>
      <c r="AV49" s="53">
        <f t="shared" si="11"/>
        <v>0</v>
      </c>
      <c r="AW49" s="53">
        <f t="shared" si="11"/>
        <v>0</v>
      </c>
      <c r="AX49" s="53">
        <f t="shared" si="10"/>
        <v>3737066666.6666665</v>
      </c>
      <c r="AY49" s="41" t="s">
        <v>557</v>
      </c>
    </row>
    <row r="50" spans="1:51" x14ac:dyDescent="0.2">
      <c r="A50" s="41" t="s">
        <v>561</v>
      </c>
      <c r="B50" s="41">
        <v>2014</v>
      </c>
      <c r="C50" s="41" t="s">
        <v>87</v>
      </c>
      <c r="D50" s="41" t="s">
        <v>88</v>
      </c>
      <c r="E50" s="41">
        <v>100</v>
      </c>
      <c r="F50" s="41" t="s">
        <v>556</v>
      </c>
      <c r="G50" s="53">
        <v>35485333.333333336</v>
      </c>
      <c r="H50" s="41">
        <v>0.36</v>
      </c>
      <c r="I50" s="41">
        <v>0.39</v>
      </c>
      <c r="J50" s="56">
        <f t="shared" si="7"/>
        <v>0.84908448263480163</v>
      </c>
      <c r="R50" s="76">
        <v>339236.61587656417</v>
      </c>
      <c r="S50" s="53">
        <v>102573.40711844929</v>
      </c>
      <c r="T50" s="53">
        <f>320267*31.1/1000</f>
        <v>9960.3037000000004</v>
      </c>
      <c r="U50" s="76">
        <f>697266*31.1/1000</f>
        <v>21684.972600000001</v>
      </c>
      <c r="AH50" s="53">
        <f t="shared" si="8"/>
        <v>35146096.717456773</v>
      </c>
      <c r="AM50" s="53">
        <v>42427200</v>
      </c>
      <c r="AO50" s="53">
        <f t="shared" ref="AO50:AQ52" si="12">$G50*H50</f>
        <v>12774720</v>
      </c>
      <c r="AP50" s="53">
        <f t="shared" si="12"/>
        <v>13839280.000000002</v>
      </c>
      <c r="AQ50" s="53">
        <f t="shared" si="12"/>
        <v>30130045.894456815</v>
      </c>
      <c r="AR50" s="53">
        <f t="shared" si="11"/>
        <v>0</v>
      </c>
      <c r="AS50" s="53">
        <f t="shared" si="11"/>
        <v>0</v>
      </c>
      <c r="AT50" s="53">
        <f t="shared" si="11"/>
        <v>0</v>
      </c>
      <c r="AU50" s="53">
        <f t="shared" si="11"/>
        <v>0</v>
      </c>
      <c r="AV50" s="53">
        <f t="shared" si="11"/>
        <v>0</v>
      </c>
      <c r="AW50" s="53">
        <f t="shared" si="11"/>
        <v>0</v>
      </c>
      <c r="AX50" s="53">
        <f t="shared" si="10"/>
        <v>3548533333.3333335</v>
      </c>
      <c r="AY50" s="41" t="s">
        <v>557</v>
      </c>
    </row>
    <row r="51" spans="1:51" x14ac:dyDescent="0.2">
      <c r="A51" s="41" t="s">
        <v>561</v>
      </c>
      <c r="B51" s="41">
        <v>2015</v>
      </c>
      <c r="C51" s="41" t="s">
        <v>87</v>
      </c>
      <c r="D51" s="41" t="s">
        <v>88</v>
      </c>
      <c r="E51" s="41">
        <v>100</v>
      </c>
      <c r="F51" s="41" t="s">
        <v>556</v>
      </c>
      <c r="G51" s="53">
        <v>33069333.333333332</v>
      </c>
      <c r="H51" s="41">
        <v>0.24</v>
      </c>
      <c r="I51" s="41">
        <v>0.27</v>
      </c>
      <c r="J51" s="56">
        <f t="shared" si="7"/>
        <v>0.58782975984756725</v>
      </c>
      <c r="R51" s="76">
        <v>204422.06451995793</v>
      </c>
      <c r="S51" s="53">
        <v>61810.154525386315</v>
      </c>
      <c r="T51" s="53">
        <f>197333*31.1/1000</f>
        <v>6137.0563000000011</v>
      </c>
      <c r="U51" s="76">
        <f>429623*31.1/1000</f>
        <v>13361.275300000001</v>
      </c>
      <c r="AH51" s="53">
        <f t="shared" si="8"/>
        <v>32864911.268813375</v>
      </c>
      <c r="AM51" s="53">
        <v>45650666.666666664</v>
      </c>
      <c r="AO51" s="53">
        <f t="shared" si="12"/>
        <v>7936639.9999999991</v>
      </c>
      <c r="AP51" s="53">
        <f t="shared" si="12"/>
        <v>8928720</v>
      </c>
      <c r="AQ51" s="53">
        <f t="shared" si="12"/>
        <v>19439138.271652482</v>
      </c>
      <c r="AR51" s="53">
        <f t="shared" si="11"/>
        <v>0</v>
      </c>
      <c r="AS51" s="53">
        <f t="shared" si="11"/>
        <v>0</v>
      </c>
      <c r="AT51" s="53">
        <f t="shared" si="11"/>
        <v>0</v>
      </c>
      <c r="AU51" s="53">
        <f t="shared" si="11"/>
        <v>0</v>
      </c>
      <c r="AV51" s="53">
        <f t="shared" si="11"/>
        <v>0</v>
      </c>
      <c r="AW51" s="53">
        <f t="shared" si="11"/>
        <v>0</v>
      </c>
      <c r="AX51" s="53">
        <f t="shared" si="10"/>
        <v>3306933333.333333</v>
      </c>
      <c r="AY51" s="41" t="s">
        <v>557</v>
      </c>
    </row>
    <row r="52" spans="1:51" x14ac:dyDescent="0.2">
      <c r="A52" s="41" t="s">
        <v>561</v>
      </c>
      <c r="B52" s="41">
        <v>2016</v>
      </c>
      <c r="C52" s="41" t="s">
        <v>87</v>
      </c>
      <c r="D52" s="41" t="s">
        <v>88</v>
      </c>
      <c r="E52" s="41">
        <v>100</v>
      </c>
      <c r="F52" s="41" t="s">
        <v>556</v>
      </c>
      <c r="G52" s="53">
        <v>34664000</v>
      </c>
      <c r="H52" s="41">
        <v>0.28000000000000003</v>
      </c>
      <c r="I52" s="41">
        <v>0.33</v>
      </c>
      <c r="J52" s="56">
        <f t="shared" si="7"/>
        <v>0.71845640625000007</v>
      </c>
      <c r="R52" s="76">
        <v>270829.23225051176</v>
      </c>
      <c r="S52" s="53">
        <v>81889.382805648798</v>
      </c>
      <c r="T52" s="53">
        <f>256000*31.1/1000</f>
        <v>7961.6</v>
      </c>
      <c r="U52" s="76">
        <f>557348*31.1/1000</f>
        <v>17333.522800000002</v>
      </c>
      <c r="AH52" s="53">
        <f>G52-R52</f>
        <v>34393170.767749488</v>
      </c>
      <c r="AM52" s="53">
        <v>25274666.666666668</v>
      </c>
      <c r="AO52" s="53">
        <f t="shared" si="12"/>
        <v>9705920</v>
      </c>
      <c r="AP52" s="53">
        <f t="shared" si="12"/>
        <v>11439120</v>
      </c>
      <c r="AQ52" s="53">
        <f t="shared" si="12"/>
        <v>24904572.866250001</v>
      </c>
      <c r="AR52" s="53">
        <f t="shared" si="11"/>
        <v>0</v>
      </c>
      <c r="AS52" s="53">
        <f t="shared" si="11"/>
        <v>0</v>
      </c>
      <c r="AT52" s="53">
        <f t="shared" si="11"/>
        <v>0</v>
      </c>
      <c r="AU52" s="53">
        <f t="shared" si="11"/>
        <v>0</v>
      </c>
      <c r="AV52" s="53">
        <f t="shared" si="11"/>
        <v>0</v>
      </c>
      <c r="AW52" s="53">
        <f t="shared" si="11"/>
        <v>0</v>
      </c>
      <c r="AX52" s="53">
        <f t="shared" si="10"/>
        <v>3466400000</v>
      </c>
      <c r="AY52" s="41" t="s">
        <v>557</v>
      </c>
    </row>
    <row r="53" spans="1:51" x14ac:dyDescent="0.2">
      <c r="A53" s="84"/>
      <c r="B53" s="85" t="s">
        <v>562</v>
      </c>
      <c r="C53" s="60" t="s">
        <v>87</v>
      </c>
      <c r="D53" s="60" t="s">
        <v>88</v>
      </c>
      <c r="E53" s="60">
        <v>100</v>
      </c>
      <c r="F53" s="60" t="s">
        <v>556</v>
      </c>
      <c r="G53" s="79">
        <f>SUM(G33:G48)+0.5*G49</f>
        <v>529745065.33333331</v>
      </c>
      <c r="H53" s="80">
        <f>AO53/$G53</f>
        <v>0.55651313045530759</v>
      </c>
      <c r="I53" s="80">
        <f>AP53/$G53</f>
        <v>0.65574601862462156</v>
      </c>
      <c r="J53" s="80">
        <f>AQ53/$G53</f>
        <v>1.4377614757102661</v>
      </c>
      <c r="R53" s="79">
        <f>SUM(R33:R48)+0.5*R49</f>
        <v>8384308.5601321738</v>
      </c>
      <c r="S53" s="79">
        <f>SUM(S33:S48)+0.5*S49</f>
        <v>2519637.7575479448</v>
      </c>
      <c r="T53" s="79">
        <f>SUM(T33:T48)+0.5*T49</f>
        <v>257224.13475000006</v>
      </c>
      <c r="U53" s="79">
        <f>SUM(U33:U48)+0.5*U49</f>
        <v>560013.29934999999</v>
      </c>
      <c r="AH53" s="79">
        <f>SUM(AH33:AH48)+0.5*AH49</f>
        <v>521360756.77320117</v>
      </c>
      <c r="AM53" s="79">
        <f>SUM(AM33:AM48)+0.5*AM49</f>
        <v>1219645999</v>
      </c>
      <c r="AO53" s="79">
        <f>SUM(AO33:AO49)</f>
        <v>294810084.65190476</v>
      </c>
      <c r="AP53" s="79">
        <f>SUM(AP33:AP49)</f>
        <v>347378217.47837335</v>
      </c>
      <c r="AQ53" s="79">
        <f>SUM(AQ33:AQ49)</f>
        <v>761647046.88388467</v>
      </c>
      <c r="AR53" s="79">
        <f t="shared" ref="AR53:AX53" si="13">SUM(AR33:AR52)</f>
        <v>0</v>
      </c>
      <c r="AS53" s="79">
        <f t="shared" si="13"/>
        <v>0</v>
      </c>
      <c r="AT53" s="79">
        <f t="shared" si="13"/>
        <v>0</v>
      </c>
      <c r="AU53" s="79">
        <f t="shared" si="13"/>
        <v>0</v>
      </c>
      <c r="AV53" s="79">
        <f t="shared" si="13"/>
        <v>0</v>
      </c>
      <c r="AW53" s="79">
        <f t="shared" si="13"/>
        <v>0</v>
      </c>
      <c r="AX53" s="79">
        <f t="shared" si="13"/>
        <v>65164906533.333336</v>
      </c>
      <c r="AY53" s="41" t="s">
        <v>557</v>
      </c>
    </row>
    <row r="54" spans="1:51" x14ac:dyDescent="0.2">
      <c r="A54" s="41" t="s">
        <v>561</v>
      </c>
      <c r="B54" s="43" t="s">
        <v>560</v>
      </c>
      <c r="G54" s="53">
        <f>STDEV(G33:G49)</f>
        <v>8910556.9913816899</v>
      </c>
      <c r="H54" s="46">
        <f>STDEV(H33:H49)</f>
        <v>0.13906664271181773</v>
      </c>
      <c r="I54" s="46">
        <f>STDEV(I33:I49)</f>
        <v>0.25398059492616987</v>
      </c>
      <c r="J54" s="46">
        <f>STDEV(J33:J49)</f>
        <v>0.49617934622408622</v>
      </c>
      <c r="R54" s="53">
        <f>STDEV(R33:R49)</f>
        <v>167849.99862519072</v>
      </c>
      <c r="S54" s="53">
        <f>STDEV(S33:S49)</f>
        <v>43774.601789657027</v>
      </c>
      <c r="T54" s="53">
        <f>STDEV(T33:T49)</f>
        <v>5450.7278236202937</v>
      </c>
      <c r="U54" s="53">
        <f>STDEV(U33:U49)</f>
        <v>11080.543277998695</v>
      </c>
      <c r="AH54" s="53">
        <f>STDEV(AH33:AH49)</f>
        <v>8889415.7781787328</v>
      </c>
      <c r="AM54" s="53">
        <f>STDEV(AM33:AM49)</f>
        <v>27443541.063426107</v>
      </c>
      <c r="AY54" s="41" t="s">
        <v>557</v>
      </c>
    </row>
    <row r="55" spans="1:51" x14ac:dyDescent="0.2">
      <c r="A55" s="41" t="s">
        <v>561</v>
      </c>
      <c r="B55" s="81" t="s">
        <v>249</v>
      </c>
      <c r="G55" s="41">
        <f>COUNT(G33:G49)</f>
        <v>17</v>
      </c>
      <c r="H55" s="41">
        <f>COUNT(H33:H49)</f>
        <v>17</v>
      </c>
      <c r="I55" s="41">
        <f>COUNT(I33:I49)</f>
        <v>17</v>
      </c>
      <c r="J55" s="41">
        <f>COUNT(J33:J49)</f>
        <v>17</v>
      </c>
      <c r="R55" s="41">
        <f>COUNT(R33:R49)</f>
        <v>17</v>
      </c>
      <c r="S55" s="41">
        <f>COUNT(S33:S49)</f>
        <v>17</v>
      </c>
      <c r="T55" s="41">
        <f>COUNT(T33:T49)</f>
        <v>17</v>
      </c>
      <c r="U55" s="41">
        <f>COUNT(U33:U49)</f>
        <v>17</v>
      </c>
      <c r="AH55" s="41">
        <f>COUNT(AH33:AH49)</f>
        <v>17</v>
      </c>
      <c r="AM55" s="41">
        <f>COUNT(AM33:AM49)</f>
        <v>17</v>
      </c>
      <c r="AY55" s="41" t="s">
        <v>557</v>
      </c>
    </row>
    <row r="56" spans="1:51" x14ac:dyDescent="0.2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41" t="s">
        <v>557</v>
      </c>
    </row>
    <row r="57" spans="1:51" x14ac:dyDescent="0.2">
      <c r="A57" s="86" t="s">
        <v>144</v>
      </c>
      <c r="B57" s="41">
        <v>2002</v>
      </c>
      <c r="C57" s="41" t="s">
        <v>96</v>
      </c>
      <c r="D57" s="41" t="s">
        <v>88</v>
      </c>
      <c r="E57" s="58">
        <v>50</v>
      </c>
      <c r="F57" s="41" t="s">
        <v>563</v>
      </c>
      <c r="G57" s="76">
        <v>22560267.373611294</v>
      </c>
      <c r="H57" s="58">
        <v>1.1000000000000001</v>
      </c>
      <c r="K57" s="55">
        <v>1.1016417900438643E-2</v>
      </c>
      <c r="S57" s="53">
        <v>218706</v>
      </c>
      <c r="W57" s="53">
        <v>1864</v>
      </c>
      <c r="AH57" s="76">
        <f t="shared" ref="AH57:AH64" si="14">0.975*G57</f>
        <v>21996260.68927101</v>
      </c>
      <c r="AM57" s="76">
        <v>15792187.161527904</v>
      </c>
      <c r="AO57" s="53">
        <f t="shared" ref="AO57:AW71" si="15">$G57*H57</f>
        <v>24816294.110972427</v>
      </c>
      <c r="AP57" s="53">
        <f t="shared" si="15"/>
        <v>0</v>
      </c>
      <c r="AQ57" s="53">
        <f t="shared" si="15"/>
        <v>0</v>
      </c>
      <c r="AR57" s="53">
        <f t="shared" si="15"/>
        <v>248533.33333333334</v>
      </c>
      <c r="AS57" s="53">
        <f t="shared" si="15"/>
        <v>0</v>
      </c>
      <c r="AT57" s="53">
        <f t="shared" si="15"/>
        <v>0</v>
      </c>
      <c r="AU57" s="53">
        <f t="shared" si="15"/>
        <v>0</v>
      </c>
      <c r="AV57" s="53">
        <f t="shared" si="15"/>
        <v>0</v>
      </c>
      <c r="AW57" s="53">
        <f t="shared" si="15"/>
        <v>0</v>
      </c>
      <c r="AX57" s="53">
        <f t="shared" ref="AX57:AX71" si="16">$G57*E57</f>
        <v>1128013368.6805646</v>
      </c>
      <c r="AY57" s="41" t="s">
        <v>557</v>
      </c>
    </row>
    <row r="58" spans="1:51" x14ac:dyDescent="0.2">
      <c r="A58" s="86" t="s">
        <v>144</v>
      </c>
      <c r="B58" s="41">
        <v>2003</v>
      </c>
      <c r="C58" s="41" t="s">
        <v>96</v>
      </c>
      <c r="D58" s="41" t="s">
        <v>88</v>
      </c>
      <c r="E58" s="58">
        <v>50</v>
      </c>
      <c r="F58" s="41" t="s">
        <v>563</v>
      </c>
      <c r="G58" s="76">
        <v>24327078.798881814</v>
      </c>
      <c r="H58" s="58">
        <v>1.1000000000000001</v>
      </c>
      <c r="K58" s="55">
        <v>1.1274130730372494E-2</v>
      </c>
      <c r="S58" s="53">
        <v>235834</v>
      </c>
      <c r="W58" s="53">
        <v>2057</v>
      </c>
      <c r="AH58" s="76">
        <f t="shared" si="14"/>
        <v>23718901.82890977</v>
      </c>
      <c r="AM58" s="76">
        <v>17028955.159217268</v>
      </c>
      <c r="AO58" s="53">
        <f t="shared" si="15"/>
        <v>26759786.678769998</v>
      </c>
      <c r="AP58" s="53">
        <f t="shared" si="15"/>
        <v>0</v>
      </c>
      <c r="AQ58" s="53">
        <f t="shared" si="15"/>
        <v>0</v>
      </c>
      <c r="AR58" s="53">
        <f t="shared" si="15"/>
        <v>274266.66666666663</v>
      </c>
      <c r="AS58" s="53">
        <f t="shared" si="15"/>
        <v>0</v>
      </c>
      <c r="AT58" s="53">
        <f t="shared" si="15"/>
        <v>0</v>
      </c>
      <c r="AU58" s="53">
        <f t="shared" si="15"/>
        <v>0</v>
      </c>
      <c r="AV58" s="53">
        <f t="shared" si="15"/>
        <v>0</v>
      </c>
      <c r="AW58" s="53">
        <f t="shared" si="15"/>
        <v>0</v>
      </c>
      <c r="AX58" s="53">
        <f t="shared" si="16"/>
        <v>1216353939.9440906</v>
      </c>
      <c r="AY58" s="41" t="s">
        <v>557</v>
      </c>
    </row>
    <row r="59" spans="1:51" x14ac:dyDescent="0.2">
      <c r="A59" s="86" t="s">
        <v>144</v>
      </c>
      <c r="B59" s="41">
        <v>2004</v>
      </c>
      <c r="C59" s="41" t="s">
        <v>96</v>
      </c>
      <c r="D59" s="41" t="s">
        <v>88</v>
      </c>
      <c r="E59" s="58">
        <v>50</v>
      </c>
      <c r="F59" s="41" t="s">
        <v>563</v>
      </c>
      <c r="G59" s="53">
        <v>25100000</v>
      </c>
      <c r="H59" s="59">
        <v>1.0900000000000001</v>
      </c>
      <c r="K59" s="55">
        <v>1.5830013280212486E-2</v>
      </c>
      <c r="S59" s="53">
        <v>239862</v>
      </c>
      <c r="W59" s="53">
        <v>2980</v>
      </c>
      <c r="AH59" s="76">
        <f t="shared" si="14"/>
        <v>24472500</v>
      </c>
      <c r="AM59" s="76">
        <v>17570000</v>
      </c>
      <c r="AO59" s="53">
        <f t="shared" si="15"/>
        <v>27359000.000000004</v>
      </c>
      <c r="AP59" s="53">
        <f t="shared" si="15"/>
        <v>0</v>
      </c>
      <c r="AQ59" s="53">
        <f t="shared" si="15"/>
        <v>0</v>
      </c>
      <c r="AR59" s="53">
        <f t="shared" si="15"/>
        <v>397333.33333333337</v>
      </c>
      <c r="AS59" s="53">
        <f t="shared" si="15"/>
        <v>0</v>
      </c>
      <c r="AT59" s="53">
        <f t="shared" si="15"/>
        <v>0</v>
      </c>
      <c r="AU59" s="53">
        <f t="shared" si="15"/>
        <v>0</v>
      </c>
      <c r="AV59" s="53">
        <f t="shared" si="15"/>
        <v>0</v>
      </c>
      <c r="AW59" s="53">
        <f t="shared" si="15"/>
        <v>0</v>
      </c>
      <c r="AX59" s="53">
        <f t="shared" si="16"/>
        <v>1255000000</v>
      </c>
      <c r="AY59" s="41" t="s">
        <v>557</v>
      </c>
    </row>
    <row r="60" spans="1:51" x14ac:dyDescent="0.2">
      <c r="A60" s="86" t="s">
        <v>144</v>
      </c>
      <c r="B60" s="41">
        <v>2005</v>
      </c>
      <c r="C60" s="41" t="s">
        <v>96</v>
      </c>
      <c r="D60" s="41" t="s">
        <v>88</v>
      </c>
      <c r="E60" s="58">
        <v>50</v>
      </c>
      <c r="F60" s="41" t="s">
        <v>563</v>
      </c>
      <c r="G60" s="53">
        <v>25000000</v>
      </c>
      <c r="H60" s="59">
        <v>1.1299999999999999</v>
      </c>
      <c r="K60" s="55">
        <v>1.7301333333333332E-2</v>
      </c>
      <c r="S60" s="53">
        <v>248137</v>
      </c>
      <c r="W60" s="53">
        <v>3244</v>
      </c>
      <c r="AH60" s="76">
        <f t="shared" si="14"/>
        <v>24375000</v>
      </c>
      <c r="AM60" s="87">
        <v>14884000</v>
      </c>
      <c r="AO60" s="53">
        <f t="shared" si="15"/>
        <v>28249999.999999996</v>
      </c>
      <c r="AP60" s="53">
        <f t="shared" si="15"/>
        <v>0</v>
      </c>
      <c r="AQ60" s="53">
        <f t="shared" si="15"/>
        <v>0</v>
      </c>
      <c r="AR60" s="53">
        <f t="shared" si="15"/>
        <v>432533.33333333331</v>
      </c>
      <c r="AS60" s="53">
        <f t="shared" si="15"/>
        <v>0</v>
      </c>
      <c r="AT60" s="53">
        <f t="shared" si="15"/>
        <v>0</v>
      </c>
      <c r="AU60" s="53">
        <f t="shared" si="15"/>
        <v>0</v>
      </c>
      <c r="AV60" s="53">
        <f t="shared" si="15"/>
        <v>0</v>
      </c>
      <c r="AW60" s="53">
        <f t="shared" si="15"/>
        <v>0</v>
      </c>
      <c r="AX60" s="53">
        <f t="shared" si="16"/>
        <v>1250000000</v>
      </c>
      <c r="AY60" s="41" t="s">
        <v>557</v>
      </c>
    </row>
    <row r="61" spans="1:51" x14ac:dyDescent="0.2">
      <c r="A61" s="86" t="s">
        <v>144</v>
      </c>
      <c r="B61" s="41">
        <v>2006</v>
      </c>
      <c r="C61" s="41" t="s">
        <v>96</v>
      </c>
      <c r="D61" s="41" t="s">
        <v>88</v>
      </c>
      <c r="E61" s="58">
        <v>50</v>
      </c>
      <c r="F61" s="41" t="s">
        <v>563</v>
      </c>
      <c r="G61" s="53">
        <v>25620000</v>
      </c>
      <c r="H61" s="46">
        <v>1.06</v>
      </c>
      <c r="K61" s="55">
        <v>1.7215716887848034E-2</v>
      </c>
      <c r="S61" s="53">
        <v>236356</v>
      </c>
      <c r="W61" s="53">
        <v>3308</v>
      </c>
      <c r="AH61" s="76">
        <f t="shared" si="14"/>
        <v>24979500</v>
      </c>
      <c r="AM61" s="87">
        <v>17522000</v>
      </c>
      <c r="AO61" s="53">
        <f t="shared" si="15"/>
        <v>27157200</v>
      </c>
      <c r="AP61" s="53">
        <f t="shared" si="15"/>
        <v>0</v>
      </c>
      <c r="AQ61" s="53">
        <f t="shared" si="15"/>
        <v>0</v>
      </c>
      <c r="AR61" s="53">
        <f t="shared" si="15"/>
        <v>441066.66666666663</v>
      </c>
      <c r="AS61" s="53">
        <f t="shared" si="15"/>
        <v>0</v>
      </c>
      <c r="AT61" s="53">
        <f t="shared" si="15"/>
        <v>0</v>
      </c>
      <c r="AU61" s="53">
        <f t="shared" si="15"/>
        <v>0</v>
      </c>
      <c r="AV61" s="53">
        <f t="shared" si="15"/>
        <v>0</v>
      </c>
      <c r="AW61" s="53">
        <f t="shared" si="15"/>
        <v>0</v>
      </c>
      <c r="AX61" s="53">
        <f t="shared" si="16"/>
        <v>1281000000</v>
      </c>
      <c r="AY61" s="41" t="s">
        <v>557</v>
      </c>
    </row>
    <row r="62" spans="1:51" x14ac:dyDescent="0.2">
      <c r="A62" s="86" t="s">
        <v>144</v>
      </c>
      <c r="B62" s="41">
        <v>2007</v>
      </c>
      <c r="C62" s="41" t="s">
        <v>96</v>
      </c>
      <c r="D62" s="41" t="s">
        <v>88</v>
      </c>
      <c r="E62" s="58">
        <v>50</v>
      </c>
      <c r="F62" s="41" t="s">
        <v>563</v>
      </c>
      <c r="G62" s="53">
        <v>24310000</v>
      </c>
      <c r="H62" s="42">
        <v>1.04</v>
      </c>
      <c r="K62" s="55">
        <v>1.3848896201837378E-2</v>
      </c>
      <c r="S62" s="53">
        <v>218322</v>
      </c>
      <c r="W62" s="53">
        <v>2525</v>
      </c>
      <c r="AH62" s="76">
        <f t="shared" si="14"/>
        <v>23702250</v>
      </c>
      <c r="AM62" s="87">
        <v>21504000</v>
      </c>
      <c r="AO62" s="53">
        <f t="shared" si="15"/>
        <v>25282400</v>
      </c>
      <c r="AP62" s="53">
        <f t="shared" si="15"/>
        <v>0</v>
      </c>
      <c r="AQ62" s="53">
        <f t="shared" si="15"/>
        <v>0</v>
      </c>
      <c r="AR62" s="53">
        <f t="shared" si="15"/>
        <v>336666.66666666663</v>
      </c>
      <c r="AS62" s="53">
        <f t="shared" si="15"/>
        <v>0</v>
      </c>
      <c r="AT62" s="53">
        <f t="shared" si="15"/>
        <v>0</v>
      </c>
      <c r="AU62" s="53">
        <f t="shared" si="15"/>
        <v>0</v>
      </c>
      <c r="AV62" s="53">
        <f t="shared" si="15"/>
        <v>0</v>
      </c>
      <c r="AW62" s="53">
        <f t="shared" si="15"/>
        <v>0</v>
      </c>
      <c r="AX62" s="53">
        <f t="shared" si="16"/>
        <v>1215500000</v>
      </c>
      <c r="AY62" s="41" t="s">
        <v>557</v>
      </c>
    </row>
    <row r="63" spans="1:51" x14ac:dyDescent="0.2">
      <c r="A63" s="86" t="s">
        <v>144</v>
      </c>
      <c r="B63" s="41">
        <v>2008</v>
      </c>
      <c r="C63" s="41" t="s">
        <v>96</v>
      </c>
      <c r="D63" s="41" t="s">
        <v>88</v>
      </c>
      <c r="E63" s="58">
        <v>50</v>
      </c>
      <c r="F63" s="41" t="s">
        <v>563</v>
      </c>
      <c r="G63" s="53">
        <v>23390000</v>
      </c>
      <c r="H63" s="88">
        <v>1.07</v>
      </c>
      <c r="K63" s="55">
        <v>1.2159042325780247E-2</v>
      </c>
      <c r="S63" s="53">
        <v>219554</v>
      </c>
      <c r="W63" s="53">
        <v>2133</v>
      </c>
      <c r="AH63" s="76">
        <f t="shared" si="14"/>
        <v>22805250</v>
      </c>
      <c r="AM63" s="53">
        <v>22097000</v>
      </c>
      <c r="AO63" s="53">
        <f t="shared" si="15"/>
        <v>25027300</v>
      </c>
      <c r="AP63" s="53">
        <f t="shared" si="15"/>
        <v>0</v>
      </c>
      <c r="AQ63" s="53">
        <f t="shared" si="15"/>
        <v>0</v>
      </c>
      <c r="AR63" s="53">
        <f t="shared" si="15"/>
        <v>284399.99999999994</v>
      </c>
      <c r="AS63" s="53">
        <f t="shared" si="15"/>
        <v>0</v>
      </c>
      <c r="AT63" s="53">
        <f t="shared" si="15"/>
        <v>0</v>
      </c>
      <c r="AU63" s="53">
        <f t="shared" si="15"/>
        <v>0</v>
      </c>
      <c r="AV63" s="53">
        <f t="shared" si="15"/>
        <v>0</v>
      </c>
      <c r="AW63" s="53">
        <f t="shared" si="15"/>
        <v>0</v>
      </c>
      <c r="AX63" s="53">
        <f t="shared" si="16"/>
        <v>1169500000</v>
      </c>
      <c r="AY63" s="41" t="s">
        <v>557</v>
      </c>
    </row>
    <row r="64" spans="1:51" x14ac:dyDescent="0.2">
      <c r="A64" s="86" t="s">
        <v>144</v>
      </c>
      <c r="B64" s="41">
        <v>2009</v>
      </c>
      <c r="C64" s="41" t="s">
        <v>96</v>
      </c>
      <c r="D64" s="41" t="s">
        <v>88</v>
      </c>
      <c r="E64" s="58">
        <v>50</v>
      </c>
      <c r="F64" s="41" t="s">
        <v>563</v>
      </c>
      <c r="G64" s="53">
        <v>23160000</v>
      </c>
      <c r="H64" s="46">
        <v>1.04</v>
      </c>
      <c r="K64" s="55">
        <v>1.2452504317789291E-2</v>
      </c>
      <c r="S64" s="53">
        <v>209727</v>
      </c>
      <c r="W64" s="53">
        <v>2163</v>
      </c>
      <c r="AH64" s="76">
        <f t="shared" si="14"/>
        <v>22581000</v>
      </c>
      <c r="AM64" s="53">
        <v>26479000</v>
      </c>
      <c r="AO64" s="53">
        <f t="shared" si="15"/>
        <v>24086400</v>
      </c>
      <c r="AP64" s="53">
        <f t="shared" si="15"/>
        <v>0</v>
      </c>
      <c r="AQ64" s="53">
        <f t="shared" si="15"/>
        <v>0</v>
      </c>
      <c r="AR64" s="53">
        <f t="shared" si="15"/>
        <v>288400</v>
      </c>
      <c r="AS64" s="53">
        <f t="shared" si="15"/>
        <v>0</v>
      </c>
      <c r="AT64" s="53">
        <f t="shared" si="15"/>
        <v>0</v>
      </c>
      <c r="AU64" s="53">
        <f t="shared" si="15"/>
        <v>0</v>
      </c>
      <c r="AV64" s="53">
        <f t="shared" si="15"/>
        <v>0</v>
      </c>
      <c r="AW64" s="53">
        <f t="shared" si="15"/>
        <v>0</v>
      </c>
      <c r="AX64" s="53">
        <f t="shared" si="16"/>
        <v>1158000000</v>
      </c>
      <c r="AY64" s="41" t="s">
        <v>557</v>
      </c>
    </row>
    <row r="65" spans="1:51" x14ac:dyDescent="0.2">
      <c r="A65" s="86" t="s">
        <v>144</v>
      </c>
      <c r="B65" s="41">
        <v>2010</v>
      </c>
      <c r="C65" s="41" t="s">
        <v>96</v>
      </c>
      <c r="D65" s="41" t="s">
        <v>88</v>
      </c>
      <c r="E65" s="58">
        <v>50</v>
      </c>
      <c r="F65" s="41" t="s">
        <v>563</v>
      </c>
      <c r="G65" s="53">
        <v>23830000</v>
      </c>
      <c r="H65" s="46">
        <v>0.91372219890893835</v>
      </c>
      <c r="K65" s="55">
        <v>1.6231640788921527E-2</v>
      </c>
      <c r="S65" s="53">
        <v>188494</v>
      </c>
      <c r="W65" s="53">
        <v>2901</v>
      </c>
      <c r="AH65" s="76">
        <f>0.975*G65</f>
        <v>23234250</v>
      </c>
      <c r="AM65" s="53">
        <v>43099000</v>
      </c>
      <c r="AO65" s="53">
        <f t="shared" si="15"/>
        <v>21774000</v>
      </c>
      <c r="AP65" s="53">
        <f t="shared" si="15"/>
        <v>0</v>
      </c>
      <c r="AQ65" s="53">
        <f t="shared" si="15"/>
        <v>0</v>
      </c>
      <c r="AR65" s="53">
        <f t="shared" si="15"/>
        <v>386800</v>
      </c>
      <c r="AS65" s="53">
        <f t="shared" si="15"/>
        <v>0</v>
      </c>
      <c r="AT65" s="53">
        <f t="shared" si="15"/>
        <v>0</v>
      </c>
      <c r="AU65" s="53">
        <f t="shared" si="15"/>
        <v>0</v>
      </c>
      <c r="AV65" s="53">
        <f t="shared" si="15"/>
        <v>0</v>
      </c>
      <c r="AW65" s="53">
        <f t="shared" si="15"/>
        <v>0</v>
      </c>
      <c r="AX65" s="53">
        <f t="shared" si="16"/>
        <v>1191500000</v>
      </c>
      <c r="AY65" s="41" t="s">
        <v>557</v>
      </c>
    </row>
    <row r="66" spans="1:51" x14ac:dyDescent="0.2">
      <c r="A66" s="86" t="s">
        <v>144</v>
      </c>
      <c r="B66" s="41">
        <v>2011</v>
      </c>
      <c r="C66" s="41" t="s">
        <v>96</v>
      </c>
      <c r="D66" s="41" t="s">
        <v>88</v>
      </c>
      <c r="E66" s="58">
        <v>50</v>
      </c>
      <c r="F66" s="41" t="s">
        <v>563</v>
      </c>
      <c r="G66" s="53">
        <v>30560000</v>
      </c>
      <c r="H66" s="46">
        <v>0.88408376963350788</v>
      </c>
      <c r="K66" s="55">
        <v>1.3848167539267016E-2</v>
      </c>
      <c r="S66" s="53">
        <v>234348</v>
      </c>
      <c r="W66" s="53">
        <v>3174</v>
      </c>
      <c r="AH66" s="53">
        <v>29768040</v>
      </c>
      <c r="AI66" s="53"/>
      <c r="AM66" s="53">
        <v>39518000</v>
      </c>
      <c r="AO66" s="53">
        <f t="shared" si="15"/>
        <v>27017600</v>
      </c>
      <c r="AP66" s="53">
        <f t="shared" si="15"/>
        <v>0</v>
      </c>
      <c r="AQ66" s="53">
        <f t="shared" si="15"/>
        <v>0</v>
      </c>
      <c r="AR66" s="53">
        <f t="shared" si="15"/>
        <v>423200</v>
      </c>
      <c r="AS66" s="53">
        <f t="shared" si="15"/>
        <v>0</v>
      </c>
      <c r="AT66" s="53">
        <f t="shared" si="15"/>
        <v>0</v>
      </c>
      <c r="AU66" s="53">
        <f t="shared" si="15"/>
        <v>0</v>
      </c>
      <c r="AV66" s="53">
        <f t="shared" si="15"/>
        <v>0</v>
      </c>
      <c r="AW66" s="53">
        <f t="shared" si="15"/>
        <v>0</v>
      </c>
      <c r="AX66" s="53">
        <f t="shared" si="16"/>
        <v>1528000000</v>
      </c>
      <c r="AY66" s="41" t="s">
        <v>557</v>
      </c>
    </row>
    <row r="67" spans="1:51" x14ac:dyDescent="0.2">
      <c r="A67" s="86" t="s">
        <v>144</v>
      </c>
      <c r="B67" s="41">
        <v>2012</v>
      </c>
      <c r="C67" s="41" t="s">
        <v>96</v>
      </c>
      <c r="D67" s="41" t="s">
        <v>88</v>
      </c>
      <c r="E67" s="58">
        <v>50</v>
      </c>
      <c r="F67" s="41" t="s">
        <v>563</v>
      </c>
      <c r="G67" s="76">
        <v>35001744.056549452</v>
      </c>
      <c r="H67" s="58">
        <v>0.81</v>
      </c>
      <c r="K67" s="58">
        <v>0.02</v>
      </c>
      <c r="S67" s="53">
        <v>249861</v>
      </c>
      <c r="W67" s="53">
        <v>5250.2616084824185</v>
      </c>
      <c r="AH67" s="53">
        <v>30543000</v>
      </c>
      <c r="AI67" s="53"/>
      <c r="AM67" s="53">
        <v>37202000</v>
      </c>
      <c r="AO67" s="53">
        <f t="shared" si="15"/>
        <v>28351412.68580506</v>
      </c>
      <c r="AP67" s="53">
        <f t="shared" si="15"/>
        <v>0</v>
      </c>
      <c r="AQ67" s="53">
        <f t="shared" si="15"/>
        <v>0</v>
      </c>
      <c r="AR67" s="53">
        <f t="shared" si="15"/>
        <v>700034.88113098906</v>
      </c>
      <c r="AS67" s="53">
        <f t="shared" si="15"/>
        <v>0</v>
      </c>
      <c r="AT67" s="53">
        <f t="shared" si="15"/>
        <v>0</v>
      </c>
      <c r="AU67" s="53">
        <f t="shared" si="15"/>
        <v>0</v>
      </c>
      <c r="AV67" s="53">
        <f t="shared" si="15"/>
        <v>0</v>
      </c>
      <c r="AW67" s="53">
        <f t="shared" si="15"/>
        <v>0</v>
      </c>
      <c r="AX67" s="53">
        <f t="shared" si="16"/>
        <v>1750087202.8274727</v>
      </c>
      <c r="AY67" s="41" t="s">
        <v>557</v>
      </c>
    </row>
    <row r="68" spans="1:51" x14ac:dyDescent="0.2">
      <c r="A68" s="86" t="s">
        <v>144</v>
      </c>
      <c r="B68" s="41">
        <v>2013</v>
      </c>
      <c r="C68" s="41" t="s">
        <v>96</v>
      </c>
      <c r="D68" s="41" t="s">
        <v>88</v>
      </c>
      <c r="E68" s="58">
        <v>50</v>
      </c>
      <c r="F68" s="41" t="s">
        <v>563</v>
      </c>
      <c r="G68" s="53">
        <v>31500000</v>
      </c>
      <c r="H68" s="47">
        <v>0.77936507936507937</v>
      </c>
      <c r="K68" s="55">
        <v>3.0531216931216933E-2</v>
      </c>
      <c r="S68" s="53">
        <v>236715</v>
      </c>
      <c r="W68" s="53">
        <v>7213</v>
      </c>
      <c r="AH68" s="53">
        <v>30729000</v>
      </c>
      <c r="AI68" s="53"/>
      <c r="AM68" s="53">
        <v>46361000</v>
      </c>
      <c r="AO68" s="53">
        <f t="shared" si="15"/>
        <v>24550000</v>
      </c>
      <c r="AP68" s="53">
        <f t="shared" si="15"/>
        <v>0</v>
      </c>
      <c r="AQ68" s="53">
        <f t="shared" si="15"/>
        <v>0</v>
      </c>
      <c r="AR68" s="53">
        <f t="shared" si="15"/>
        <v>961733.33333333337</v>
      </c>
      <c r="AS68" s="53">
        <f t="shared" si="15"/>
        <v>0</v>
      </c>
      <c r="AT68" s="53">
        <f t="shared" si="15"/>
        <v>0</v>
      </c>
      <c r="AU68" s="53">
        <f t="shared" si="15"/>
        <v>0</v>
      </c>
      <c r="AV68" s="53">
        <f t="shared" si="15"/>
        <v>0</v>
      </c>
      <c r="AW68" s="53">
        <f t="shared" si="15"/>
        <v>0</v>
      </c>
      <c r="AX68" s="53">
        <f t="shared" si="16"/>
        <v>1575000000</v>
      </c>
      <c r="AY68" s="41" t="s">
        <v>557</v>
      </c>
    </row>
    <row r="69" spans="1:51" x14ac:dyDescent="0.2">
      <c r="A69" s="86" t="s">
        <v>144</v>
      </c>
      <c r="B69" s="41">
        <v>2014</v>
      </c>
      <c r="C69" s="41" t="s">
        <v>96</v>
      </c>
      <c r="D69" s="41" t="s">
        <v>88</v>
      </c>
      <c r="E69" s="58">
        <v>50</v>
      </c>
      <c r="F69" s="41" t="s">
        <v>563</v>
      </c>
      <c r="G69" s="76">
        <v>32561885.990533061</v>
      </c>
      <c r="H69" s="58">
        <v>0.81</v>
      </c>
      <c r="K69" s="55">
        <v>2.8143332983428273E-2</v>
      </c>
      <c r="S69" s="53">
        <v>232444</v>
      </c>
      <c r="W69" s="53">
        <v>6873</v>
      </c>
      <c r="AH69" s="53">
        <v>30931000</v>
      </c>
      <c r="AI69" s="53"/>
      <c r="AM69" s="53">
        <v>54983000</v>
      </c>
      <c r="AO69" s="53">
        <f t="shared" si="15"/>
        <v>26375127.652331781</v>
      </c>
      <c r="AP69" s="53">
        <f t="shared" si="15"/>
        <v>0</v>
      </c>
      <c r="AQ69" s="53">
        <f t="shared" si="15"/>
        <v>0</v>
      </c>
      <c r="AR69" s="53">
        <f t="shared" si="15"/>
        <v>916400.00000000012</v>
      </c>
      <c r="AS69" s="53">
        <f t="shared" si="15"/>
        <v>0</v>
      </c>
      <c r="AT69" s="53">
        <f t="shared" si="15"/>
        <v>0</v>
      </c>
      <c r="AU69" s="53">
        <f t="shared" si="15"/>
        <v>0</v>
      </c>
      <c r="AV69" s="53">
        <f t="shared" si="15"/>
        <v>0</v>
      </c>
      <c r="AW69" s="53">
        <f t="shared" si="15"/>
        <v>0</v>
      </c>
      <c r="AX69" s="53">
        <f t="shared" si="16"/>
        <v>1628094299.5266531</v>
      </c>
      <c r="AY69" s="41" t="s">
        <v>557</v>
      </c>
    </row>
    <row r="70" spans="1:51" x14ac:dyDescent="0.2">
      <c r="A70" s="86" t="s">
        <v>144</v>
      </c>
      <c r="B70" s="41">
        <v>2015</v>
      </c>
      <c r="C70" s="41" t="s">
        <v>96</v>
      </c>
      <c r="D70" s="41" t="s">
        <v>88</v>
      </c>
      <c r="E70" s="58">
        <v>50</v>
      </c>
      <c r="F70" s="41" t="s">
        <v>563</v>
      </c>
      <c r="G70" s="76">
        <v>33929271.152464166</v>
      </c>
      <c r="H70" s="58">
        <v>0.75</v>
      </c>
      <c r="K70" s="55">
        <v>2.2466343684229298E-2</v>
      </c>
      <c r="S70" s="53">
        <v>224264</v>
      </c>
      <c r="W70" s="53">
        <v>5717</v>
      </c>
      <c r="AH70" s="53">
        <v>30543000</v>
      </c>
      <c r="AI70" s="53"/>
      <c r="AM70" s="53">
        <v>50321000</v>
      </c>
      <c r="AO70" s="53">
        <f t="shared" si="15"/>
        <v>25446953.364348125</v>
      </c>
      <c r="AP70" s="53">
        <f t="shared" si="15"/>
        <v>0</v>
      </c>
      <c r="AQ70" s="53">
        <f t="shared" si="15"/>
        <v>0</v>
      </c>
      <c r="AR70" s="53">
        <f t="shared" si="15"/>
        <v>762266.66666666663</v>
      </c>
      <c r="AS70" s="53">
        <f t="shared" si="15"/>
        <v>0</v>
      </c>
      <c r="AT70" s="53">
        <f t="shared" si="15"/>
        <v>0</v>
      </c>
      <c r="AU70" s="53">
        <f t="shared" si="15"/>
        <v>0</v>
      </c>
      <c r="AV70" s="53">
        <f t="shared" si="15"/>
        <v>0</v>
      </c>
      <c r="AW70" s="53">
        <f t="shared" si="15"/>
        <v>0</v>
      </c>
      <c r="AX70" s="53">
        <f t="shared" si="16"/>
        <v>1696463557.6232083</v>
      </c>
      <c r="AY70" s="41" t="s">
        <v>557</v>
      </c>
    </row>
    <row r="71" spans="1:51" x14ac:dyDescent="0.2">
      <c r="A71" s="86" t="s">
        <v>144</v>
      </c>
      <c r="B71" s="41">
        <v>2016</v>
      </c>
      <c r="C71" s="41" t="s">
        <v>96</v>
      </c>
      <c r="D71" s="41" t="s">
        <v>88</v>
      </c>
      <c r="E71" s="58">
        <v>50</v>
      </c>
      <c r="F71" s="41" t="s">
        <v>563</v>
      </c>
      <c r="G71" s="76">
        <v>29250879.382730059</v>
      </c>
      <c r="H71" s="58">
        <v>0.75</v>
      </c>
      <c r="K71" s="55">
        <v>1.7749893711111454E-2</v>
      </c>
      <c r="S71" s="53">
        <v>193341</v>
      </c>
      <c r="W71" s="53">
        <v>3894</v>
      </c>
      <c r="AH71" s="53">
        <v>27528000</v>
      </c>
      <c r="AI71" s="53"/>
      <c r="AM71" s="53">
        <v>49791000</v>
      </c>
      <c r="AO71" s="53">
        <f t="shared" si="15"/>
        <v>21938159.537047543</v>
      </c>
      <c r="AP71" s="53">
        <f t="shared" si="15"/>
        <v>0</v>
      </c>
      <c r="AQ71" s="53">
        <f t="shared" si="15"/>
        <v>0</v>
      </c>
      <c r="AR71" s="53">
        <f t="shared" si="15"/>
        <v>519199.99999999994</v>
      </c>
      <c r="AS71" s="53">
        <f t="shared" si="15"/>
        <v>0</v>
      </c>
      <c r="AT71" s="53">
        <f t="shared" si="15"/>
        <v>0</v>
      </c>
      <c r="AU71" s="53">
        <f t="shared" si="15"/>
        <v>0</v>
      </c>
      <c r="AV71" s="53">
        <f t="shared" si="15"/>
        <v>0</v>
      </c>
      <c r="AW71" s="53">
        <f t="shared" si="15"/>
        <v>0</v>
      </c>
      <c r="AX71" s="53">
        <f t="shared" si="16"/>
        <v>1462543969.136503</v>
      </c>
      <c r="AY71" s="41" t="s">
        <v>557</v>
      </c>
    </row>
    <row r="72" spans="1:51" x14ac:dyDescent="0.2">
      <c r="A72" s="86" t="s">
        <v>144</v>
      </c>
      <c r="B72" s="60" t="s">
        <v>559</v>
      </c>
      <c r="C72" s="60" t="s">
        <v>96</v>
      </c>
      <c r="D72" s="60" t="s">
        <v>88</v>
      </c>
      <c r="E72" s="58">
        <v>50</v>
      </c>
      <c r="F72" s="60" t="s">
        <v>563</v>
      </c>
      <c r="G72" s="79">
        <f>SUM(G57:G71)</f>
        <v>410101126.7547698</v>
      </c>
      <c r="H72" s="80">
        <f>AO72/$G72</f>
        <v>0.93682169827105088</v>
      </c>
      <c r="K72" s="89">
        <f>AR72/$G72</f>
        <v>1.7978089793300567E-2</v>
      </c>
      <c r="S72" s="79">
        <f>SUM(S57:S71)</f>
        <v>3385965</v>
      </c>
      <c r="W72" s="79">
        <f>SUM(W57:W71)</f>
        <v>55296.261608482419</v>
      </c>
      <c r="AH72" s="79">
        <f>SUM(AH57:AH71)</f>
        <v>391906952.51818079</v>
      </c>
      <c r="AM72" s="79">
        <f>SUM(AM57:AM71)</f>
        <v>474152142.32074517</v>
      </c>
      <c r="AO72" s="79">
        <f>SUM(AO57:AO71)</f>
        <v>384191634.02927494</v>
      </c>
      <c r="AP72" s="79">
        <f t="shared" ref="AP72:AX72" si="17">SUM(AP57:AP71)</f>
        <v>0</v>
      </c>
      <c r="AQ72" s="79">
        <f t="shared" si="17"/>
        <v>0</v>
      </c>
      <c r="AR72" s="79">
        <f t="shared" si="17"/>
        <v>7372834.8811309887</v>
      </c>
      <c r="AS72" s="79">
        <f t="shared" si="17"/>
        <v>0</v>
      </c>
      <c r="AT72" s="79">
        <f t="shared" si="17"/>
        <v>0</v>
      </c>
      <c r="AU72" s="79">
        <f t="shared" si="17"/>
        <v>0</v>
      </c>
      <c r="AV72" s="79">
        <f t="shared" si="17"/>
        <v>0</v>
      </c>
      <c r="AW72" s="79">
        <f t="shared" si="17"/>
        <v>0</v>
      </c>
      <c r="AX72" s="79">
        <f t="shared" si="17"/>
        <v>20505056337.738487</v>
      </c>
      <c r="AY72" s="41" t="s">
        <v>557</v>
      </c>
    </row>
    <row r="73" spans="1:51" x14ac:dyDescent="0.2">
      <c r="A73" s="86" t="s">
        <v>144</v>
      </c>
      <c r="B73" s="43" t="s">
        <v>560</v>
      </c>
      <c r="G73" s="53">
        <f>STDEV(G57:G71)</f>
        <v>4314969.0255593294</v>
      </c>
      <c r="H73" s="46">
        <f>STDEV(H57:H71)</f>
        <v>0.14473628227839638</v>
      </c>
      <c r="K73" s="42">
        <f>STDEV(K57:K71)</f>
        <v>5.8533367328542371E-3</v>
      </c>
      <c r="S73" s="53">
        <f>STDEV(S57:S71)</f>
        <v>18077.774543028558</v>
      </c>
      <c r="W73" s="53">
        <f>STDEV(W57:W71)</f>
        <v>1752.1307796493022</v>
      </c>
      <c r="AH73" s="53">
        <f>STDEV(AH57:AH71)</f>
        <v>3446737.9378370624</v>
      </c>
      <c r="AM73" s="53">
        <f>STDEV(AM57:AM71)</f>
        <v>14705347.711281965</v>
      </c>
      <c r="AY73" s="41" t="s">
        <v>557</v>
      </c>
    </row>
    <row r="74" spans="1:51" x14ac:dyDescent="0.2">
      <c r="A74" s="86" t="s">
        <v>144</v>
      </c>
      <c r="B74" s="81" t="s">
        <v>249</v>
      </c>
      <c r="G74" s="41">
        <f>COUNT(G57:G71)</f>
        <v>15</v>
      </c>
      <c r="H74" s="41">
        <f>COUNT(H57:H71)</f>
        <v>15</v>
      </c>
      <c r="K74" s="41">
        <f>COUNT(K57:K71)</f>
        <v>15</v>
      </c>
      <c r="S74" s="41">
        <f>COUNT(S57:S71)</f>
        <v>15</v>
      </c>
      <c r="W74" s="41">
        <f>COUNT(W57:W71)</f>
        <v>15</v>
      </c>
      <c r="AH74" s="41">
        <f>COUNT(AH57:AH71)</f>
        <v>15</v>
      </c>
      <c r="AM74" s="41">
        <f>COUNT(AM57:AM71)</f>
        <v>15</v>
      </c>
      <c r="AY74" s="41" t="s">
        <v>557</v>
      </c>
    </row>
    <row r="75" spans="1:51" x14ac:dyDescent="0.2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41" t="s">
        <v>557</v>
      </c>
    </row>
    <row r="76" spans="1:51" x14ac:dyDescent="0.2">
      <c r="A76" s="41" t="s">
        <v>161</v>
      </c>
      <c r="B76" s="41">
        <v>2015</v>
      </c>
      <c r="C76" s="41" t="s">
        <v>87</v>
      </c>
      <c r="D76" s="41" t="s">
        <v>113</v>
      </c>
      <c r="E76" s="41">
        <v>100</v>
      </c>
      <c r="F76" s="41" t="s">
        <v>9</v>
      </c>
      <c r="AI76" s="53">
        <v>11570500</v>
      </c>
      <c r="AJ76" s="41">
        <v>0.36</v>
      </c>
      <c r="AL76" s="53">
        <v>12200</v>
      </c>
      <c r="AM76" s="53">
        <v>34711500</v>
      </c>
      <c r="AO76" s="53">
        <f>AI76*AJ76</f>
        <v>4165380</v>
      </c>
      <c r="AY76" s="41" t="s">
        <v>557</v>
      </c>
    </row>
    <row r="77" spans="1:51" x14ac:dyDescent="0.2">
      <c r="A77" s="41" t="s">
        <v>161</v>
      </c>
      <c r="B77" s="41">
        <v>2016</v>
      </c>
      <c r="C77" s="41" t="s">
        <v>87</v>
      </c>
      <c r="D77" s="41" t="s">
        <v>113</v>
      </c>
      <c r="E77" s="41">
        <v>100</v>
      </c>
      <c r="F77" s="41" t="s">
        <v>9</v>
      </c>
      <c r="AI77" s="53">
        <v>24674000</v>
      </c>
      <c r="AJ77" s="41">
        <v>0.39</v>
      </c>
      <c r="AL77" s="53">
        <v>66200</v>
      </c>
      <c r="AM77" s="53">
        <v>49348000</v>
      </c>
      <c r="AO77" s="53">
        <f>AI77*AJ77</f>
        <v>9622860</v>
      </c>
      <c r="AY77" s="41" t="s">
        <v>557</v>
      </c>
    </row>
    <row r="78" spans="1:51" x14ac:dyDescent="0.2">
      <c r="A78" s="60"/>
      <c r="B78" s="85" t="s">
        <v>564</v>
      </c>
      <c r="C78" s="60" t="s">
        <v>87</v>
      </c>
      <c r="D78" s="60" t="s">
        <v>113</v>
      </c>
      <c r="E78" s="60">
        <v>100</v>
      </c>
      <c r="F78" s="60" t="s">
        <v>9</v>
      </c>
      <c r="AI78" s="79">
        <f>AI76+0.5*AI77</f>
        <v>23907500</v>
      </c>
      <c r="AJ78" s="80">
        <f>AO78/AI78</f>
        <v>0.37548091603053435</v>
      </c>
      <c r="AL78" s="79">
        <f>AL76+0.5*AL77</f>
        <v>45300</v>
      </c>
      <c r="AM78" s="79">
        <f>AM76+0.5*AM77</f>
        <v>59385500</v>
      </c>
      <c r="AO78" s="79">
        <f>AO76+0.5*AO77</f>
        <v>8976810</v>
      </c>
      <c r="AY78" s="41" t="s">
        <v>557</v>
      </c>
    </row>
    <row r="79" spans="1:51" x14ac:dyDescent="0.2">
      <c r="A79" s="41" t="s">
        <v>161</v>
      </c>
      <c r="B79" s="43" t="s">
        <v>560</v>
      </c>
      <c r="AI79" s="53">
        <f>STDEV(AI76:AI77)</f>
        <v>9265573.7072779257</v>
      </c>
      <c r="AJ79" s="46">
        <f>STDEV(AJ76:AJ77)</f>
        <v>2.1213203435596444E-2</v>
      </c>
      <c r="AL79" s="53">
        <f>STDEV(AL76:AL77)</f>
        <v>38183.766184073567</v>
      </c>
      <c r="AM79" s="53">
        <f>STDEV(AM76:AM77)</f>
        <v>10349568.402836902</v>
      </c>
      <c r="AY79" s="41" t="s">
        <v>557</v>
      </c>
    </row>
    <row r="80" spans="1:51" x14ac:dyDescent="0.2">
      <c r="A80" s="41" t="s">
        <v>161</v>
      </c>
      <c r="B80" s="81" t="s">
        <v>249</v>
      </c>
      <c r="AI80" s="41">
        <f>COUNT(AI76:AI77)</f>
        <v>2</v>
      </c>
      <c r="AJ80" s="41">
        <f>COUNT(AJ76:AJ77)</f>
        <v>2</v>
      </c>
      <c r="AL80" s="41">
        <f>COUNT(AL76:AL77)</f>
        <v>2</v>
      </c>
      <c r="AM80" s="41">
        <f>COUNT(AM76:AM77)</f>
        <v>2</v>
      </c>
      <c r="AY80" s="41" t="s">
        <v>557</v>
      </c>
    </row>
    <row r="81" spans="1:51" x14ac:dyDescent="0.2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41" t="s">
        <v>557</v>
      </c>
    </row>
    <row r="82" spans="1:51" x14ac:dyDescent="0.2">
      <c r="A82" s="41" t="s">
        <v>474</v>
      </c>
      <c r="B82" s="41">
        <v>1979</v>
      </c>
      <c r="C82" s="41" t="s">
        <v>96</v>
      </c>
      <c r="D82" s="41" t="s">
        <v>175</v>
      </c>
      <c r="E82" s="41">
        <v>100</v>
      </c>
      <c r="F82" s="41" t="s">
        <v>475</v>
      </c>
      <c r="G82" s="53">
        <v>2016.6000000000001</v>
      </c>
      <c r="P82" s="90">
        <f>AF82/G82</f>
        <v>2.538664088069027</v>
      </c>
      <c r="Q82" s="41" t="s">
        <v>471</v>
      </c>
      <c r="AF82" s="53">
        <v>5119.47</v>
      </c>
      <c r="AG82" s="41" t="s">
        <v>472</v>
      </c>
      <c r="AO82" s="53">
        <f t="shared" ref="AO82:AW110" si="18">$G82*H82</f>
        <v>0</v>
      </c>
      <c r="AP82" s="53">
        <f t="shared" si="18"/>
        <v>0</v>
      </c>
      <c r="AQ82" s="53">
        <f t="shared" si="18"/>
        <v>0</v>
      </c>
      <c r="AR82" s="53">
        <f t="shared" si="18"/>
        <v>0</v>
      </c>
      <c r="AS82" s="53">
        <f t="shared" si="18"/>
        <v>0</v>
      </c>
      <c r="AT82" s="53">
        <f t="shared" si="18"/>
        <v>0</v>
      </c>
      <c r="AU82" s="53">
        <f t="shared" si="18"/>
        <v>0</v>
      </c>
      <c r="AV82" s="53">
        <f t="shared" si="18"/>
        <v>0</v>
      </c>
      <c r="AW82" s="53">
        <f t="shared" si="18"/>
        <v>5119.47</v>
      </c>
      <c r="AX82" s="53">
        <f t="shared" ref="AX82:AX118" si="19">$G82*E82</f>
        <v>201660</v>
      </c>
      <c r="AY82" s="41" t="s">
        <v>557</v>
      </c>
    </row>
    <row r="83" spans="1:51" x14ac:dyDescent="0.2">
      <c r="A83" s="41" t="s">
        <v>474</v>
      </c>
      <c r="B83" s="41">
        <v>1981</v>
      </c>
      <c r="C83" s="41" t="s">
        <v>96</v>
      </c>
      <c r="D83" s="41" t="s">
        <v>175</v>
      </c>
      <c r="E83" s="41">
        <v>100</v>
      </c>
      <c r="F83" s="41" t="s">
        <v>475</v>
      </c>
      <c r="G83" s="53">
        <v>86415.200000000012</v>
      </c>
      <c r="P83" s="90">
        <f t="shared" ref="P83:P118" si="20">AF83/G83</f>
        <v>2.9382814597431932</v>
      </c>
      <c r="Q83" s="41" t="s">
        <v>471</v>
      </c>
      <c r="AF83" s="53">
        <v>253912.18000000002</v>
      </c>
      <c r="AG83" s="41" t="s">
        <v>472</v>
      </c>
      <c r="AO83" s="53">
        <f t="shared" si="18"/>
        <v>0</v>
      </c>
      <c r="AP83" s="53">
        <f t="shared" si="18"/>
        <v>0</v>
      </c>
      <c r="AQ83" s="53">
        <f t="shared" si="18"/>
        <v>0</v>
      </c>
      <c r="AR83" s="53">
        <f t="shared" si="18"/>
        <v>0</v>
      </c>
      <c r="AS83" s="53">
        <f t="shared" si="18"/>
        <v>0</v>
      </c>
      <c r="AT83" s="53">
        <f t="shared" si="18"/>
        <v>0</v>
      </c>
      <c r="AU83" s="53">
        <f t="shared" si="18"/>
        <v>0</v>
      </c>
      <c r="AV83" s="53">
        <f t="shared" si="18"/>
        <v>0</v>
      </c>
      <c r="AW83" s="53">
        <f t="shared" si="18"/>
        <v>253912.18000000002</v>
      </c>
      <c r="AX83" s="53">
        <f t="shared" si="19"/>
        <v>8641520.0000000019</v>
      </c>
      <c r="AY83" s="41" t="s">
        <v>557</v>
      </c>
    </row>
    <row r="84" spans="1:51" x14ac:dyDescent="0.2">
      <c r="A84" s="41" t="s">
        <v>474</v>
      </c>
      <c r="B84" s="41">
        <v>1982</v>
      </c>
      <c r="C84" s="41" t="s">
        <v>96</v>
      </c>
      <c r="D84" s="41" t="s">
        <v>175</v>
      </c>
      <c r="E84" s="41">
        <v>100</v>
      </c>
      <c r="F84" s="41" t="s">
        <v>475</v>
      </c>
      <c r="G84" s="53">
        <v>183497</v>
      </c>
      <c r="P84" s="90">
        <f t="shared" si="20"/>
        <v>4.4707924380235102</v>
      </c>
      <c r="Q84" s="41" t="s">
        <v>471</v>
      </c>
      <c r="AF84" s="53">
        <v>820377</v>
      </c>
      <c r="AG84" s="41" t="s">
        <v>472</v>
      </c>
      <c r="AO84" s="53">
        <f t="shared" si="18"/>
        <v>0</v>
      </c>
      <c r="AP84" s="53">
        <f t="shared" si="18"/>
        <v>0</v>
      </c>
      <c r="AQ84" s="53">
        <f t="shared" si="18"/>
        <v>0</v>
      </c>
      <c r="AR84" s="53">
        <f t="shared" si="18"/>
        <v>0</v>
      </c>
      <c r="AS84" s="53">
        <f t="shared" si="18"/>
        <v>0</v>
      </c>
      <c r="AT84" s="53">
        <f t="shared" si="18"/>
        <v>0</v>
      </c>
      <c r="AU84" s="53">
        <f t="shared" si="18"/>
        <v>0</v>
      </c>
      <c r="AV84" s="53">
        <f t="shared" si="18"/>
        <v>0</v>
      </c>
      <c r="AW84" s="53">
        <f t="shared" si="18"/>
        <v>820377</v>
      </c>
      <c r="AX84" s="53">
        <f t="shared" si="19"/>
        <v>18349700</v>
      </c>
      <c r="AY84" s="41" t="s">
        <v>557</v>
      </c>
    </row>
    <row r="85" spans="1:51" x14ac:dyDescent="0.2">
      <c r="A85" s="41" t="s">
        <v>474</v>
      </c>
      <c r="B85" s="41">
        <v>1983</v>
      </c>
      <c r="C85" s="41" t="s">
        <v>96</v>
      </c>
      <c r="D85" s="41" t="s">
        <v>175</v>
      </c>
      <c r="E85" s="41">
        <v>100</v>
      </c>
      <c r="F85" s="41" t="s">
        <v>475</v>
      </c>
      <c r="G85" s="53">
        <v>1070000</v>
      </c>
      <c r="P85" s="51">
        <v>5.93</v>
      </c>
      <c r="Q85" s="41" t="s">
        <v>471</v>
      </c>
      <c r="AF85" s="53">
        <v>6200000</v>
      </c>
      <c r="AG85" s="41" t="s">
        <v>472</v>
      </c>
      <c r="AM85" s="91">
        <v>4000000</v>
      </c>
      <c r="AO85" s="53">
        <f t="shared" si="18"/>
        <v>0</v>
      </c>
      <c r="AP85" s="53">
        <f t="shared" si="18"/>
        <v>0</v>
      </c>
      <c r="AQ85" s="53">
        <f t="shared" si="18"/>
        <v>0</v>
      </c>
      <c r="AR85" s="53">
        <f t="shared" si="18"/>
        <v>0</v>
      </c>
      <c r="AS85" s="53">
        <f t="shared" si="18"/>
        <v>0</v>
      </c>
      <c r="AT85" s="53">
        <f t="shared" si="18"/>
        <v>0</v>
      </c>
      <c r="AU85" s="53">
        <f t="shared" si="18"/>
        <v>0</v>
      </c>
      <c r="AV85" s="53">
        <f t="shared" si="18"/>
        <v>0</v>
      </c>
      <c r="AW85" s="53">
        <f t="shared" si="18"/>
        <v>6345100</v>
      </c>
      <c r="AX85" s="53">
        <f t="shared" si="19"/>
        <v>107000000</v>
      </c>
      <c r="AY85" s="41" t="s">
        <v>557</v>
      </c>
    </row>
    <row r="86" spans="1:51" x14ac:dyDescent="0.2">
      <c r="A86" s="41" t="s">
        <v>474</v>
      </c>
      <c r="B86" s="41">
        <v>1984</v>
      </c>
      <c r="C86" s="41" t="s">
        <v>96</v>
      </c>
      <c r="D86" s="41" t="s">
        <v>175</v>
      </c>
      <c r="E86" s="41">
        <v>100</v>
      </c>
      <c r="F86" s="41" t="s">
        <v>475</v>
      </c>
      <c r="G86" s="53">
        <v>1470000</v>
      </c>
      <c r="P86" s="90">
        <f t="shared" si="20"/>
        <v>3.8704666666666667</v>
      </c>
      <c r="Q86" s="41" t="s">
        <v>471</v>
      </c>
      <c r="AF86" s="53">
        <v>5689586</v>
      </c>
      <c r="AG86" s="41" t="s">
        <v>472</v>
      </c>
      <c r="AM86" s="91">
        <v>8000000</v>
      </c>
      <c r="AO86" s="53">
        <f t="shared" si="18"/>
        <v>0</v>
      </c>
      <c r="AP86" s="53">
        <f t="shared" si="18"/>
        <v>0</v>
      </c>
      <c r="AQ86" s="53">
        <f t="shared" si="18"/>
        <v>0</v>
      </c>
      <c r="AR86" s="53">
        <f t="shared" si="18"/>
        <v>0</v>
      </c>
      <c r="AS86" s="53">
        <f t="shared" si="18"/>
        <v>0</v>
      </c>
      <c r="AT86" s="53">
        <f t="shared" si="18"/>
        <v>0</v>
      </c>
      <c r="AU86" s="53">
        <f t="shared" si="18"/>
        <v>0</v>
      </c>
      <c r="AV86" s="53">
        <f t="shared" si="18"/>
        <v>0</v>
      </c>
      <c r="AW86" s="53">
        <f t="shared" si="18"/>
        <v>5689586</v>
      </c>
      <c r="AX86" s="53">
        <f t="shared" si="19"/>
        <v>147000000</v>
      </c>
      <c r="AY86" s="41" t="s">
        <v>557</v>
      </c>
    </row>
    <row r="87" spans="1:51" x14ac:dyDescent="0.2">
      <c r="A87" s="41" t="s">
        <v>474</v>
      </c>
      <c r="B87" s="41">
        <v>1985</v>
      </c>
      <c r="C87" s="41" t="s">
        <v>96</v>
      </c>
      <c r="D87" s="41" t="s">
        <v>175</v>
      </c>
      <c r="E87" s="41">
        <v>100</v>
      </c>
      <c r="F87" s="41" t="s">
        <v>475</v>
      </c>
      <c r="G87" s="53">
        <v>1500000</v>
      </c>
      <c r="P87" s="90">
        <f t="shared" si="20"/>
        <v>4.7133746666666667</v>
      </c>
      <c r="Q87" s="41" t="s">
        <v>471</v>
      </c>
      <c r="AF87" s="53">
        <v>7070062</v>
      </c>
      <c r="AG87" s="41" t="s">
        <v>472</v>
      </c>
      <c r="AM87" s="91">
        <v>8000000</v>
      </c>
      <c r="AO87" s="53">
        <f t="shared" si="18"/>
        <v>0</v>
      </c>
      <c r="AP87" s="53">
        <f t="shared" si="18"/>
        <v>0</v>
      </c>
      <c r="AQ87" s="53">
        <f t="shared" si="18"/>
        <v>0</v>
      </c>
      <c r="AR87" s="53">
        <f t="shared" si="18"/>
        <v>0</v>
      </c>
      <c r="AS87" s="53">
        <f t="shared" si="18"/>
        <v>0</v>
      </c>
      <c r="AT87" s="53">
        <f t="shared" si="18"/>
        <v>0</v>
      </c>
      <c r="AU87" s="53">
        <f t="shared" si="18"/>
        <v>0</v>
      </c>
      <c r="AV87" s="53">
        <f t="shared" si="18"/>
        <v>0</v>
      </c>
      <c r="AW87" s="53">
        <f t="shared" si="18"/>
        <v>7070062</v>
      </c>
      <c r="AX87" s="53">
        <f t="shared" si="19"/>
        <v>150000000</v>
      </c>
      <c r="AY87" s="41" t="s">
        <v>557</v>
      </c>
    </row>
    <row r="88" spans="1:51" x14ac:dyDescent="0.2">
      <c r="A88" s="41" t="s">
        <v>474</v>
      </c>
      <c r="B88" s="41">
        <v>1986</v>
      </c>
      <c r="C88" s="41" t="s">
        <v>96</v>
      </c>
      <c r="D88" s="41" t="s">
        <v>175</v>
      </c>
      <c r="E88" s="41">
        <v>100</v>
      </c>
      <c r="F88" s="41" t="s">
        <v>475</v>
      </c>
      <c r="G88" s="53">
        <v>3239467</v>
      </c>
      <c r="P88" s="90">
        <f t="shared" si="20"/>
        <v>9.0171512782812719</v>
      </c>
      <c r="Q88" s="41" t="s">
        <v>471</v>
      </c>
      <c r="AF88" s="53">
        <v>29210764</v>
      </c>
      <c r="AG88" s="41" t="s">
        <v>472</v>
      </c>
      <c r="AM88" s="53">
        <v>12960000</v>
      </c>
      <c r="AO88" s="53">
        <f t="shared" si="18"/>
        <v>0</v>
      </c>
      <c r="AP88" s="53">
        <f t="shared" si="18"/>
        <v>0</v>
      </c>
      <c r="AQ88" s="53">
        <f t="shared" si="18"/>
        <v>0</v>
      </c>
      <c r="AR88" s="53">
        <f t="shared" si="18"/>
        <v>0</v>
      </c>
      <c r="AS88" s="53">
        <f t="shared" si="18"/>
        <v>0</v>
      </c>
      <c r="AT88" s="53">
        <f t="shared" si="18"/>
        <v>0</v>
      </c>
      <c r="AU88" s="53">
        <f t="shared" si="18"/>
        <v>0</v>
      </c>
      <c r="AV88" s="53">
        <f t="shared" si="18"/>
        <v>0</v>
      </c>
      <c r="AW88" s="53">
        <f t="shared" si="18"/>
        <v>29210763.999999996</v>
      </c>
      <c r="AX88" s="53">
        <f t="shared" si="19"/>
        <v>323946700</v>
      </c>
      <c r="AY88" s="41" t="s">
        <v>557</v>
      </c>
    </row>
    <row r="89" spans="1:51" x14ac:dyDescent="0.2">
      <c r="A89" s="41" t="s">
        <v>474</v>
      </c>
      <c r="B89" s="41">
        <v>1987</v>
      </c>
      <c r="C89" s="41" t="s">
        <v>96</v>
      </c>
      <c r="D89" s="41" t="s">
        <v>175</v>
      </c>
      <c r="E89" s="41">
        <v>100</v>
      </c>
      <c r="F89" s="41" t="s">
        <v>475</v>
      </c>
      <c r="G89" s="53">
        <v>3504458</v>
      </c>
      <c r="P89" s="90">
        <f t="shared" si="20"/>
        <v>8.6554545667261529</v>
      </c>
      <c r="Q89" s="41" t="s">
        <v>471</v>
      </c>
      <c r="AF89" s="53">
        <v>30332677</v>
      </c>
      <c r="AG89" s="41" t="s">
        <v>472</v>
      </c>
      <c r="AM89" s="91">
        <v>14030000</v>
      </c>
      <c r="AO89" s="53">
        <f t="shared" si="18"/>
        <v>0</v>
      </c>
      <c r="AP89" s="53">
        <f t="shared" si="18"/>
        <v>0</v>
      </c>
      <c r="AQ89" s="53">
        <f t="shared" si="18"/>
        <v>0</v>
      </c>
      <c r="AR89" s="53">
        <f t="shared" si="18"/>
        <v>0</v>
      </c>
      <c r="AS89" s="53">
        <f t="shared" si="18"/>
        <v>0</v>
      </c>
      <c r="AT89" s="53">
        <f t="shared" si="18"/>
        <v>0</v>
      </c>
      <c r="AU89" s="53">
        <f t="shared" si="18"/>
        <v>0</v>
      </c>
      <c r="AV89" s="53">
        <f t="shared" si="18"/>
        <v>0</v>
      </c>
      <c r="AW89" s="53">
        <f t="shared" si="18"/>
        <v>30332677</v>
      </c>
      <c r="AX89" s="53">
        <f t="shared" si="19"/>
        <v>350445800</v>
      </c>
      <c r="AY89" s="41" t="s">
        <v>557</v>
      </c>
    </row>
    <row r="90" spans="1:51" x14ac:dyDescent="0.2">
      <c r="A90" s="41" t="s">
        <v>474</v>
      </c>
      <c r="B90" s="41">
        <v>1988</v>
      </c>
      <c r="C90" s="41" t="s">
        <v>96</v>
      </c>
      <c r="D90" s="41" t="s">
        <v>175</v>
      </c>
      <c r="E90" s="41">
        <v>100</v>
      </c>
      <c r="F90" s="41" t="s">
        <v>475</v>
      </c>
      <c r="G90" s="53">
        <v>4700000</v>
      </c>
      <c r="P90" s="90">
        <f t="shared" si="20"/>
        <v>7.3617021276595747</v>
      </c>
      <c r="Q90" s="41" t="s">
        <v>471</v>
      </c>
      <c r="AF90" s="53">
        <v>34600000</v>
      </c>
      <c r="AG90" s="41" t="s">
        <v>472</v>
      </c>
      <c r="AM90" s="53">
        <v>15100000</v>
      </c>
      <c r="AO90" s="53">
        <f t="shared" si="18"/>
        <v>0</v>
      </c>
      <c r="AP90" s="53">
        <f t="shared" si="18"/>
        <v>0</v>
      </c>
      <c r="AQ90" s="53">
        <f t="shared" si="18"/>
        <v>0</v>
      </c>
      <c r="AR90" s="53">
        <f t="shared" si="18"/>
        <v>0</v>
      </c>
      <c r="AS90" s="53">
        <f t="shared" si="18"/>
        <v>0</v>
      </c>
      <c r="AT90" s="53">
        <f t="shared" si="18"/>
        <v>0</v>
      </c>
      <c r="AU90" s="53">
        <f t="shared" si="18"/>
        <v>0</v>
      </c>
      <c r="AV90" s="53">
        <f t="shared" si="18"/>
        <v>0</v>
      </c>
      <c r="AW90" s="53">
        <f t="shared" si="18"/>
        <v>34600000</v>
      </c>
      <c r="AX90" s="53">
        <f t="shared" si="19"/>
        <v>470000000</v>
      </c>
      <c r="AY90" s="41" t="s">
        <v>557</v>
      </c>
    </row>
    <row r="91" spans="1:51" x14ac:dyDescent="0.2">
      <c r="A91" s="41" t="s">
        <v>474</v>
      </c>
      <c r="B91" s="41">
        <v>1989</v>
      </c>
      <c r="C91" s="41" t="s">
        <v>96</v>
      </c>
      <c r="D91" s="41" t="s">
        <v>175</v>
      </c>
      <c r="E91" s="41">
        <v>100</v>
      </c>
      <c r="F91" s="41" t="s">
        <v>475</v>
      </c>
      <c r="G91" s="53">
        <v>5700000</v>
      </c>
      <c r="P91" s="90">
        <f t="shared" si="20"/>
        <v>6.0350877192982457</v>
      </c>
      <c r="Q91" s="41" t="s">
        <v>471</v>
      </c>
      <c r="AF91" s="53">
        <v>34400000</v>
      </c>
      <c r="AG91" s="41" t="s">
        <v>472</v>
      </c>
      <c r="AM91" s="53">
        <v>19200000</v>
      </c>
      <c r="AO91" s="53">
        <f t="shared" si="18"/>
        <v>0</v>
      </c>
      <c r="AP91" s="53">
        <f t="shared" si="18"/>
        <v>0</v>
      </c>
      <c r="AQ91" s="53">
        <f t="shared" si="18"/>
        <v>0</v>
      </c>
      <c r="AR91" s="53">
        <f t="shared" si="18"/>
        <v>0</v>
      </c>
      <c r="AS91" s="53">
        <f t="shared" si="18"/>
        <v>0</v>
      </c>
      <c r="AT91" s="53">
        <f t="shared" si="18"/>
        <v>0</v>
      </c>
      <c r="AU91" s="53">
        <f t="shared" si="18"/>
        <v>0</v>
      </c>
      <c r="AV91" s="53">
        <f t="shared" si="18"/>
        <v>0</v>
      </c>
      <c r="AW91" s="53">
        <f t="shared" si="18"/>
        <v>34400000</v>
      </c>
      <c r="AX91" s="53">
        <f t="shared" si="19"/>
        <v>570000000</v>
      </c>
      <c r="AY91" s="41" t="s">
        <v>557</v>
      </c>
    </row>
    <row r="92" spans="1:51" x14ac:dyDescent="0.2">
      <c r="A92" s="41" t="s">
        <v>474</v>
      </c>
      <c r="B92" s="41">
        <v>1990</v>
      </c>
      <c r="C92" s="41" t="s">
        <v>96</v>
      </c>
      <c r="D92" s="41" t="s">
        <v>175</v>
      </c>
      <c r="E92" s="41">
        <v>100</v>
      </c>
      <c r="F92" s="41" t="s">
        <v>475</v>
      </c>
      <c r="G92" s="53">
        <v>7000000</v>
      </c>
      <c r="P92" s="90">
        <f t="shared" si="20"/>
        <v>4.8285714285714283</v>
      </c>
      <c r="Q92" s="41" t="s">
        <v>471</v>
      </c>
      <c r="AF92" s="53">
        <v>33800000</v>
      </c>
      <c r="AG92" s="41" t="s">
        <v>472</v>
      </c>
      <c r="AM92" s="53">
        <v>27300000</v>
      </c>
      <c r="AO92" s="53">
        <f t="shared" si="18"/>
        <v>0</v>
      </c>
      <c r="AP92" s="53">
        <f t="shared" si="18"/>
        <v>0</v>
      </c>
      <c r="AQ92" s="53">
        <f t="shared" si="18"/>
        <v>0</v>
      </c>
      <c r="AR92" s="53">
        <f t="shared" si="18"/>
        <v>0</v>
      </c>
      <c r="AS92" s="53">
        <f t="shared" si="18"/>
        <v>0</v>
      </c>
      <c r="AT92" s="53">
        <f t="shared" si="18"/>
        <v>0</v>
      </c>
      <c r="AU92" s="53">
        <f t="shared" si="18"/>
        <v>0</v>
      </c>
      <c r="AV92" s="53">
        <f t="shared" si="18"/>
        <v>0</v>
      </c>
      <c r="AW92" s="53">
        <f t="shared" si="18"/>
        <v>33800000</v>
      </c>
      <c r="AX92" s="53">
        <f t="shared" si="19"/>
        <v>700000000</v>
      </c>
      <c r="AY92" s="41" t="s">
        <v>557</v>
      </c>
    </row>
    <row r="93" spans="1:51" x14ac:dyDescent="0.2">
      <c r="A93" s="41" t="s">
        <v>474</v>
      </c>
      <c r="B93" s="41">
        <v>1991</v>
      </c>
      <c r="C93" s="41" t="s">
        <v>96</v>
      </c>
      <c r="D93" s="41" t="s">
        <v>175</v>
      </c>
      <c r="E93" s="41">
        <v>100</v>
      </c>
      <c r="F93" s="41" t="s">
        <v>475</v>
      </c>
      <c r="G93" s="53">
        <v>7300000</v>
      </c>
      <c r="P93" s="90">
        <f t="shared" si="20"/>
        <v>4.7945205479452051</v>
      </c>
      <c r="Q93" s="41" t="s">
        <v>471</v>
      </c>
      <c r="AF93" s="53">
        <v>35000000</v>
      </c>
      <c r="AG93" s="41" t="s">
        <v>472</v>
      </c>
      <c r="AM93" s="53">
        <v>28200000</v>
      </c>
      <c r="AO93" s="53">
        <f t="shared" si="18"/>
        <v>0</v>
      </c>
      <c r="AP93" s="53">
        <f t="shared" si="18"/>
        <v>0</v>
      </c>
      <c r="AQ93" s="53">
        <f t="shared" si="18"/>
        <v>0</v>
      </c>
      <c r="AR93" s="53">
        <f t="shared" si="18"/>
        <v>0</v>
      </c>
      <c r="AS93" s="53">
        <f t="shared" si="18"/>
        <v>0</v>
      </c>
      <c r="AT93" s="53">
        <f t="shared" si="18"/>
        <v>0</v>
      </c>
      <c r="AU93" s="53">
        <f t="shared" si="18"/>
        <v>0</v>
      </c>
      <c r="AV93" s="53">
        <f t="shared" si="18"/>
        <v>0</v>
      </c>
      <c r="AW93" s="53">
        <f t="shared" si="18"/>
        <v>35000000</v>
      </c>
      <c r="AX93" s="53">
        <f t="shared" si="19"/>
        <v>730000000</v>
      </c>
      <c r="AY93" s="41" t="s">
        <v>557</v>
      </c>
    </row>
    <row r="94" spans="1:51" x14ac:dyDescent="0.2">
      <c r="A94" s="41" t="s">
        <v>474</v>
      </c>
      <c r="B94" s="41">
        <v>1992</v>
      </c>
      <c r="C94" s="41" t="s">
        <v>96</v>
      </c>
      <c r="D94" s="41" t="s">
        <v>175</v>
      </c>
      <c r="E94" s="41">
        <v>100</v>
      </c>
      <c r="F94" s="41" t="s">
        <v>475</v>
      </c>
      <c r="G94" s="53">
        <v>10300000</v>
      </c>
      <c r="P94" s="90">
        <f t="shared" si="20"/>
        <v>3.7864077669902914</v>
      </c>
      <c r="Q94" s="41" t="s">
        <v>471</v>
      </c>
      <c r="AF94" s="53">
        <v>39000000</v>
      </c>
      <c r="AG94" s="41" t="s">
        <v>472</v>
      </c>
      <c r="AM94" s="53">
        <v>26100000</v>
      </c>
      <c r="AO94" s="53">
        <f t="shared" si="18"/>
        <v>0</v>
      </c>
      <c r="AP94" s="53">
        <f t="shared" si="18"/>
        <v>0</v>
      </c>
      <c r="AQ94" s="53">
        <f t="shared" si="18"/>
        <v>0</v>
      </c>
      <c r="AR94" s="53">
        <f t="shared" si="18"/>
        <v>0</v>
      </c>
      <c r="AS94" s="53">
        <f t="shared" si="18"/>
        <v>0</v>
      </c>
      <c r="AT94" s="53">
        <f t="shared" si="18"/>
        <v>0</v>
      </c>
      <c r="AU94" s="53">
        <f t="shared" si="18"/>
        <v>0</v>
      </c>
      <c r="AV94" s="53">
        <f t="shared" si="18"/>
        <v>0</v>
      </c>
      <c r="AW94" s="53">
        <f t="shared" si="18"/>
        <v>39000000</v>
      </c>
      <c r="AX94" s="53">
        <f t="shared" si="19"/>
        <v>1030000000</v>
      </c>
      <c r="AY94" s="41" t="s">
        <v>557</v>
      </c>
    </row>
    <row r="95" spans="1:51" x14ac:dyDescent="0.2">
      <c r="A95" s="41" t="s">
        <v>474</v>
      </c>
      <c r="B95" s="41">
        <v>1993</v>
      </c>
      <c r="C95" s="41" t="s">
        <v>96</v>
      </c>
      <c r="D95" s="41" t="s">
        <v>175</v>
      </c>
      <c r="E95" s="41">
        <v>100</v>
      </c>
      <c r="F95" s="41" t="s">
        <v>475</v>
      </c>
      <c r="G95" s="53">
        <v>10900000</v>
      </c>
      <c r="P95" s="90">
        <f t="shared" si="20"/>
        <v>3.7522935779816513</v>
      </c>
      <c r="Q95" s="41" t="s">
        <v>471</v>
      </c>
      <c r="AF95" s="53">
        <v>40900000</v>
      </c>
      <c r="AG95" s="41" t="s">
        <v>472</v>
      </c>
      <c r="AM95" s="53">
        <v>33300000</v>
      </c>
      <c r="AO95" s="53">
        <f t="shared" si="18"/>
        <v>0</v>
      </c>
      <c r="AP95" s="53">
        <f t="shared" si="18"/>
        <v>0</v>
      </c>
      <c r="AQ95" s="53">
        <f t="shared" si="18"/>
        <v>0</v>
      </c>
      <c r="AR95" s="53">
        <f t="shared" si="18"/>
        <v>0</v>
      </c>
      <c r="AS95" s="53">
        <f t="shared" si="18"/>
        <v>0</v>
      </c>
      <c r="AT95" s="53">
        <f t="shared" si="18"/>
        <v>0</v>
      </c>
      <c r="AU95" s="53">
        <f t="shared" si="18"/>
        <v>0</v>
      </c>
      <c r="AV95" s="53">
        <f t="shared" si="18"/>
        <v>0</v>
      </c>
      <c r="AW95" s="53">
        <f t="shared" si="18"/>
        <v>40900000</v>
      </c>
      <c r="AX95" s="53">
        <f t="shared" si="19"/>
        <v>1090000000</v>
      </c>
      <c r="AY95" s="41" t="s">
        <v>557</v>
      </c>
    </row>
    <row r="96" spans="1:51" x14ac:dyDescent="0.2">
      <c r="A96" s="41" t="s">
        <v>474</v>
      </c>
      <c r="B96" s="41">
        <v>1994</v>
      </c>
      <c r="C96" s="41" t="s">
        <v>96</v>
      </c>
      <c r="D96" s="41" t="s">
        <v>175</v>
      </c>
      <c r="E96" s="41">
        <v>100</v>
      </c>
      <c r="F96" s="41" t="s">
        <v>475</v>
      </c>
      <c r="G96" s="53">
        <v>12500000</v>
      </c>
      <c r="P96" s="47">
        <v>9.7376000000000005</v>
      </c>
      <c r="Q96" s="41" t="s">
        <v>471</v>
      </c>
      <c r="AF96" s="53">
        <v>42800000</v>
      </c>
      <c r="AG96" s="41" t="s">
        <v>472</v>
      </c>
      <c r="AM96" s="53">
        <v>34600000</v>
      </c>
      <c r="AO96" s="53">
        <f t="shared" si="18"/>
        <v>0</v>
      </c>
      <c r="AP96" s="53">
        <f t="shared" si="18"/>
        <v>0</v>
      </c>
      <c r="AQ96" s="53">
        <f t="shared" si="18"/>
        <v>0</v>
      </c>
      <c r="AR96" s="53">
        <f t="shared" si="18"/>
        <v>0</v>
      </c>
      <c r="AS96" s="53">
        <f t="shared" si="18"/>
        <v>0</v>
      </c>
      <c r="AT96" s="53">
        <f t="shared" si="18"/>
        <v>0</v>
      </c>
      <c r="AU96" s="53">
        <f t="shared" si="18"/>
        <v>0</v>
      </c>
      <c r="AV96" s="53">
        <f t="shared" si="18"/>
        <v>0</v>
      </c>
      <c r="AW96" s="53">
        <f t="shared" si="18"/>
        <v>121720000</v>
      </c>
      <c r="AX96" s="53">
        <f t="shared" si="19"/>
        <v>1250000000</v>
      </c>
      <c r="AY96" s="41" t="s">
        <v>557</v>
      </c>
    </row>
    <row r="97" spans="1:51" x14ac:dyDescent="0.2">
      <c r="A97" s="41" t="s">
        <v>474</v>
      </c>
      <c r="B97" s="41">
        <v>1995</v>
      </c>
      <c r="C97" s="41" t="s">
        <v>96</v>
      </c>
      <c r="D97" s="41" t="s">
        <v>175</v>
      </c>
      <c r="E97" s="41">
        <v>100</v>
      </c>
      <c r="F97" s="41" t="s">
        <v>475</v>
      </c>
      <c r="G97" s="53">
        <v>14200000</v>
      </c>
      <c r="P97" s="90">
        <f t="shared" si="20"/>
        <v>2.8098591549295775</v>
      </c>
      <c r="Q97" s="41" t="s">
        <v>471</v>
      </c>
      <c r="AF97" s="53">
        <v>39900000</v>
      </c>
      <c r="AG97" s="41" t="s">
        <v>472</v>
      </c>
      <c r="AM97" s="53">
        <v>36000000</v>
      </c>
      <c r="AO97" s="53">
        <f t="shared" si="18"/>
        <v>0</v>
      </c>
      <c r="AP97" s="53">
        <f t="shared" si="18"/>
        <v>0</v>
      </c>
      <c r="AQ97" s="53">
        <f t="shared" si="18"/>
        <v>0</v>
      </c>
      <c r="AR97" s="53">
        <f t="shared" si="18"/>
        <v>0</v>
      </c>
      <c r="AS97" s="53">
        <f t="shared" si="18"/>
        <v>0</v>
      </c>
      <c r="AT97" s="53">
        <f t="shared" si="18"/>
        <v>0</v>
      </c>
      <c r="AU97" s="53">
        <f t="shared" si="18"/>
        <v>0</v>
      </c>
      <c r="AV97" s="53">
        <f t="shared" si="18"/>
        <v>0</v>
      </c>
      <c r="AW97" s="53">
        <f t="shared" si="18"/>
        <v>39900000</v>
      </c>
      <c r="AX97" s="53">
        <f t="shared" si="19"/>
        <v>1420000000</v>
      </c>
      <c r="AY97" s="41" t="s">
        <v>557</v>
      </c>
    </row>
    <row r="98" spans="1:51" x14ac:dyDescent="0.2">
      <c r="A98" s="41" t="s">
        <v>474</v>
      </c>
      <c r="B98" s="41">
        <v>1996</v>
      </c>
      <c r="C98" s="41" t="s">
        <v>96</v>
      </c>
      <c r="D98" s="41" t="s">
        <v>175</v>
      </c>
      <c r="E98" s="41">
        <v>100</v>
      </c>
      <c r="F98" s="41" t="s">
        <v>475</v>
      </c>
      <c r="G98" s="53">
        <v>17000000</v>
      </c>
      <c r="P98" s="90">
        <f t="shared" si="20"/>
        <v>2.4705882352941178</v>
      </c>
      <c r="Q98" s="41" t="s">
        <v>471</v>
      </c>
      <c r="AF98" s="53">
        <v>42000000</v>
      </c>
      <c r="AG98" s="41" t="s">
        <v>472</v>
      </c>
      <c r="AM98" s="53">
        <v>39000000</v>
      </c>
      <c r="AO98" s="53">
        <f t="shared" si="18"/>
        <v>0</v>
      </c>
      <c r="AP98" s="53">
        <f t="shared" si="18"/>
        <v>0</v>
      </c>
      <c r="AQ98" s="53">
        <f t="shared" si="18"/>
        <v>0</v>
      </c>
      <c r="AR98" s="53">
        <f t="shared" si="18"/>
        <v>0</v>
      </c>
      <c r="AS98" s="53">
        <f t="shared" si="18"/>
        <v>0</v>
      </c>
      <c r="AT98" s="53">
        <f t="shared" si="18"/>
        <v>0</v>
      </c>
      <c r="AU98" s="53">
        <f t="shared" si="18"/>
        <v>0</v>
      </c>
      <c r="AV98" s="53">
        <f t="shared" si="18"/>
        <v>0</v>
      </c>
      <c r="AW98" s="53">
        <f t="shared" si="18"/>
        <v>42000000</v>
      </c>
      <c r="AX98" s="53">
        <f t="shared" si="19"/>
        <v>1700000000</v>
      </c>
      <c r="AY98" s="41" t="s">
        <v>557</v>
      </c>
    </row>
    <row r="99" spans="1:51" x14ac:dyDescent="0.2">
      <c r="A99" s="41" t="s">
        <v>474</v>
      </c>
      <c r="B99" s="41">
        <v>1997</v>
      </c>
      <c r="C99" s="41" t="s">
        <v>96</v>
      </c>
      <c r="D99" s="41" t="s">
        <v>175</v>
      </c>
      <c r="E99" s="41">
        <v>100</v>
      </c>
      <c r="F99" s="41" t="s">
        <v>475</v>
      </c>
      <c r="G99" s="53">
        <v>16300000</v>
      </c>
      <c r="P99" s="90">
        <f t="shared" si="20"/>
        <v>2.4662576687116564</v>
      </c>
      <c r="Q99" s="41" t="s">
        <v>471</v>
      </c>
      <c r="AF99" s="53">
        <v>40200000</v>
      </c>
      <c r="AG99" s="41" t="s">
        <v>472</v>
      </c>
      <c r="AM99" s="53">
        <v>29800000</v>
      </c>
      <c r="AO99" s="53">
        <f t="shared" si="18"/>
        <v>0</v>
      </c>
      <c r="AP99" s="53">
        <f t="shared" si="18"/>
        <v>0</v>
      </c>
      <c r="AQ99" s="53">
        <f t="shared" si="18"/>
        <v>0</v>
      </c>
      <c r="AR99" s="53">
        <f t="shared" si="18"/>
        <v>0</v>
      </c>
      <c r="AS99" s="53">
        <f t="shared" si="18"/>
        <v>0</v>
      </c>
      <c r="AT99" s="53">
        <f t="shared" si="18"/>
        <v>0</v>
      </c>
      <c r="AU99" s="53">
        <f t="shared" si="18"/>
        <v>0</v>
      </c>
      <c r="AV99" s="53">
        <f t="shared" si="18"/>
        <v>0</v>
      </c>
      <c r="AW99" s="53">
        <f t="shared" si="18"/>
        <v>40200000</v>
      </c>
      <c r="AX99" s="53">
        <f t="shared" si="19"/>
        <v>1630000000</v>
      </c>
      <c r="AY99" s="41" t="s">
        <v>557</v>
      </c>
    </row>
    <row r="100" spans="1:51" x14ac:dyDescent="0.2">
      <c r="A100" s="41" t="s">
        <v>474</v>
      </c>
      <c r="B100" s="41">
        <v>1998</v>
      </c>
      <c r="C100" s="41" t="s">
        <v>96</v>
      </c>
      <c r="D100" s="41" t="s">
        <v>175</v>
      </c>
      <c r="E100" s="41">
        <v>100</v>
      </c>
      <c r="F100" s="41" t="s">
        <v>475</v>
      </c>
      <c r="G100" s="53">
        <v>17500000</v>
      </c>
      <c r="P100" s="90">
        <f t="shared" si="20"/>
        <v>2.3314285714285714</v>
      </c>
      <c r="Q100" s="41" t="s">
        <v>471</v>
      </c>
      <c r="AF100" s="53">
        <v>40800000</v>
      </c>
      <c r="AG100" s="41" t="s">
        <v>472</v>
      </c>
      <c r="AM100" s="53">
        <v>21600000</v>
      </c>
      <c r="AO100" s="53">
        <f t="shared" si="18"/>
        <v>0</v>
      </c>
      <c r="AP100" s="53">
        <f t="shared" si="18"/>
        <v>0</v>
      </c>
      <c r="AQ100" s="53">
        <f t="shared" si="18"/>
        <v>0</v>
      </c>
      <c r="AR100" s="53">
        <f t="shared" si="18"/>
        <v>0</v>
      </c>
      <c r="AS100" s="53">
        <f t="shared" si="18"/>
        <v>0</v>
      </c>
      <c r="AT100" s="53">
        <f t="shared" si="18"/>
        <v>0</v>
      </c>
      <c r="AU100" s="53">
        <f t="shared" si="18"/>
        <v>0</v>
      </c>
      <c r="AV100" s="53">
        <f t="shared" si="18"/>
        <v>0</v>
      </c>
      <c r="AW100" s="53">
        <f t="shared" si="18"/>
        <v>40800000</v>
      </c>
      <c r="AX100" s="53">
        <f t="shared" si="19"/>
        <v>1750000000</v>
      </c>
      <c r="AY100" s="41" t="s">
        <v>557</v>
      </c>
    </row>
    <row r="101" spans="1:51" x14ac:dyDescent="0.2">
      <c r="A101" s="41" t="s">
        <v>474</v>
      </c>
      <c r="B101" s="41">
        <v>1999</v>
      </c>
      <c r="C101" s="41" t="s">
        <v>96</v>
      </c>
      <c r="D101" s="41" t="s">
        <v>175</v>
      </c>
      <c r="E101" s="41">
        <v>100</v>
      </c>
      <c r="F101" s="41" t="s">
        <v>475</v>
      </c>
      <c r="G101" s="53">
        <v>15400000</v>
      </c>
      <c r="P101" s="90">
        <f t="shared" si="20"/>
        <v>1.9285714285714286</v>
      </c>
      <c r="Q101" s="41" t="s">
        <v>471</v>
      </c>
      <c r="AF101" s="53">
        <v>29700000</v>
      </c>
      <c r="AG101" s="41" t="s">
        <v>472</v>
      </c>
      <c r="AM101" s="53">
        <v>53000000</v>
      </c>
      <c r="AO101" s="53">
        <f t="shared" si="18"/>
        <v>0</v>
      </c>
      <c r="AP101" s="53">
        <f t="shared" si="18"/>
        <v>0</v>
      </c>
      <c r="AQ101" s="53">
        <f t="shared" si="18"/>
        <v>0</v>
      </c>
      <c r="AR101" s="53">
        <f t="shared" si="18"/>
        <v>0</v>
      </c>
      <c r="AS101" s="53">
        <f t="shared" si="18"/>
        <v>0</v>
      </c>
      <c r="AT101" s="53">
        <f t="shared" si="18"/>
        <v>0</v>
      </c>
      <c r="AU101" s="53">
        <f t="shared" si="18"/>
        <v>0</v>
      </c>
      <c r="AV101" s="53">
        <f t="shared" si="18"/>
        <v>0</v>
      </c>
      <c r="AW101" s="53">
        <f t="shared" si="18"/>
        <v>29700000</v>
      </c>
      <c r="AX101" s="53">
        <f t="shared" si="19"/>
        <v>1540000000</v>
      </c>
      <c r="AY101" s="41" t="s">
        <v>557</v>
      </c>
    </row>
    <row r="102" spans="1:51" x14ac:dyDescent="0.2">
      <c r="A102" s="41" t="s">
        <v>474</v>
      </c>
      <c r="B102" s="41">
        <v>2000</v>
      </c>
      <c r="C102" s="41" t="s">
        <v>96</v>
      </c>
      <c r="D102" s="41" t="s">
        <v>175</v>
      </c>
      <c r="E102" s="41">
        <v>100</v>
      </c>
      <c r="F102" s="41" t="s">
        <v>475</v>
      </c>
      <c r="G102" s="53">
        <v>15326000</v>
      </c>
      <c r="P102" s="90">
        <f t="shared" si="20"/>
        <v>1.7274566096828918</v>
      </c>
      <c r="Q102" s="41" t="s">
        <v>471</v>
      </c>
      <c r="AF102" s="53">
        <v>26475000</v>
      </c>
      <c r="AG102" s="41" t="s">
        <v>472</v>
      </c>
      <c r="AM102" s="53">
        <v>63274000</v>
      </c>
      <c r="AO102" s="53">
        <f t="shared" si="18"/>
        <v>0</v>
      </c>
      <c r="AP102" s="53">
        <f t="shared" si="18"/>
        <v>0</v>
      </c>
      <c r="AQ102" s="53">
        <f t="shared" si="18"/>
        <v>0</v>
      </c>
      <c r="AR102" s="53">
        <f t="shared" si="18"/>
        <v>0</v>
      </c>
      <c r="AS102" s="53">
        <f t="shared" si="18"/>
        <v>0</v>
      </c>
      <c r="AT102" s="53">
        <f t="shared" si="18"/>
        <v>0</v>
      </c>
      <c r="AU102" s="53">
        <f t="shared" si="18"/>
        <v>0</v>
      </c>
      <c r="AV102" s="53">
        <f t="shared" si="18"/>
        <v>0</v>
      </c>
      <c r="AW102" s="53">
        <f t="shared" si="18"/>
        <v>26475000</v>
      </c>
      <c r="AX102" s="53">
        <f t="shared" si="19"/>
        <v>1532600000</v>
      </c>
      <c r="AY102" s="41" t="s">
        <v>557</v>
      </c>
    </row>
    <row r="103" spans="1:51" x14ac:dyDescent="0.2">
      <c r="A103" s="41" t="s">
        <v>474</v>
      </c>
      <c r="B103" s="41">
        <v>2001</v>
      </c>
      <c r="C103" s="41" t="s">
        <v>96</v>
      </c>
      <c r="D103" s="41" t="s">
        <v>175</v>
      </c>
      <c r="E103" s="41">
        <v>100</v>
      </c>
      <c r="F103" s="41" t="s">
        <v>475</v>
      </c>
      <c r="G103" s="53">
        <v>14503000</v>
      </c>
      <c r="P103" s="90">
        <f t="shared" si="20"/>
        <v>1.7994208094876922</v>
      </c>
      <c r="Q103" s="41" t="s">
        <v>471</v>
      </c>
      <c r="AF103" s="53">
        <v>26097000</v>
      </c>
      <c r="AG103" s="41" t="s">
        <v>472</v>
      </c>
      <c r="AM103" s="53">
        <v>67497000</v>
      </c>
      <c r="AO103" s="53">
        <f t="shared" si="18"/>
        <v>0</v>
      </c>
      <c r="AP103" s="53">
        <f t="shared" si="18"/>
        <v>0</v>
      </c>
      <c r="AQ103" s="53">
        <f t="shared" si="18"/>
        <v>0</v>
      </c>
      <c r="AR103" s="53">
        <f t="shared" si="18"/>
        <v>0</v>
      </c>
      <c r="AS103" s="53">
        <f t="shared" si="18"/>
        <v>0</v>
      </c>
      <c r="AT103" s="53">
        <f t="shared" si="18"/>
        <v>0</v>
      </c>
      <c r="AU103" s="53">
        <f t="shared" si="18"/>
        <v>0</v>
      </c>
      <c r="AV103" s="53">
        <f t="shared" si="18"/>
        <v>0</v>
      </c>
      <c r="AW103" s="53">
        <f t="shared" si="18"/>
        <v>26097000</v>
      </c>
      <c r="AX103" s="53">
        <f t="shared" si="19"/>
        <v>1450300000</v>
      </c>
      <c r="AY103" s="41" t="s">
        <v>557</v>
      </c>
    </row>
    <row r="104" spans="1:51" x14ac:dyDescent="0.2">
      <c r="A104" s="41" t="s">
        <v>474</v>
      </c>
      <c r="B104" s="41">
        <v>2002</v>
      </c>
      <c r="C104" s="41" t="s">
        <v>96</v>
      </c>
      <c r="D104" s="41" t="s">
        <v>175</v>
      </c>
      <c r="E104" s="41">
        <v>100</v>
      </c>
      <c r="F104" s="41" t="s">
        <v>475</v>
      </c>
      <c r="G104" s="53">
        <v>13752000</v>
      </c>
      <c r="P104" s="90">
        <f t="shared" si="20"/>
        <v>2.4458987783595112</v>
      </c>
      <c r="Q104" s="41" t="s">
        <v>471</v>
      </c>
      <c r="AF104" s="53">
        <v>33636000</v>
      </c>
      <c r="AG104" s="41" t="s">
        <v>472</v>
      </c>
      <c r="AM104" s="53">
        <v>78048000</v>
      </c>
      <c r="AO104" s="53">
        <f t="shared" si="18"/>
        <v>0</v>
      </c>
      <c r="AP104" s="53">
        <f t="shared" si="18"/>
        <v>0</v>
      </c>
      <c r="AQ104" s="53">
        <f t="shared" si="18"/>
        <v>0</v>
      </c>
      <c r="AR104" s="53">
        <f t="shared" si="18"/>
        <v>0</v>
      </c>
      <c r="AS104" s="53">
        <f t="shared" si="18"/>
        <v>0</v>
      </c>
      <c r="AT104" s="53">
        <f t="shared" si="18"/>
        <v>0</v>
      </c>
      <c r="AU104" s="53">
        <f t="shared" si="18"/>
        <v>0</v>
      </c>
      <c r="AV104" s="53">
        <f t="shared" si="18"/>
        <v>0</v>
      </c>
      <c r="AW104" s="53">
        <f t="shared" si="18"/>
        <v>33636000</v>
      </c>
      <c r="AX104" s="53">
        <f t="shared" si="19"/>
        <v>1375200000</v>
      </c>
      <c r="AY104" s="41" t="s">
        <v>557</v>
      </c>
    </row>
    <row r="105" spans="1:51" x14ac:dyDescent="0.2">
      <c r="A105" s="41" t="s">
        <v>474</v>
      </c>
      <c r="B105" s="41">
        <v>2003</v>
      </c>
      <c r="C105" s="41" t="s">
        <v>96</v>
      </c>
      <c r="D105" s="41" t="s">
        <v>175</v>
      </c>
      <c r="E105" s="41">
        <v>100</v>
      </c>
      <c r="F105" s="41" t="s">
        <v>475</v>
      </c>
      <c r="G105" s="53">
        <v>9787000</v>
      </c>
      <c r="P105" s="90">
        <f t="shared" si="20"/>
        <v>3.1582711760498619</v>
      </c>
      <c r="Q105" s="41" t="s">
        <v>471</v>
      </c>
      <c r="AF105" s="53">
        <v>30910000</v>
      </c>
      <c r="AG105" s="41" t="s">
        <v>472</v>
      </c>
      <c r="AM105" s="53">
        <v>68113000</v>
      </c>
      <c r="AO105" s="53">
        <f t="shared" si="18"/>
        <v>0</v>
      </c>
      <c r="AP105" s="53">
        <f t="shared" si="18"/>
        <v>0</v>
      </c>
      <c r="AQ105" s="53">
        <f t="shared" si="18"/>
        <v>0</v>
      </c>
      <c r="AR105" s="53">
        <f t="shared" si="18"/>
        <v>0</v>
      </c>
      <c r="AS105" s="53">
        <f t="shared" si="18"/>
        <v>0</v>
      </c>
      <c r="AT105" s="53">
        <f t="shared" si="18"/>
        <v>0</v>
      </c>
      <c r="AU105" s="53">
        <f t="shared" si="18"/>
        <v>0</v>
      </c>
      <c r="AV105" s="53">
        <f t="shared" si="18"/>
        <v>0</v>
      </c>
      <c r="AW105" s="53">
        <f t="shared" si="18"/>
        <v>30909999.999999996</v>
      </c>
      <c r="AX105" s="53">
        <f t="shared" si="19"/>
        <v>978700000</v>
      </c>
      <c r="AY105" s="41" t="s">
        <v>557</v>
      </c>
    </row>
    <row r="106" spans="1:51" x14ac:dyDescent="0.2">
      <c r="A106" s="41" t="s">
        <v>474</v>
      </c>
      <c r="B106" s="41">
        <v>2004</v>
      </c>
      <c r="C106" s="41" t="s">
        <v>96</v>
      </c>
      <c r="D106" s="41" t="s">
        <v>175</v>
      </c>
      <c r="E106" s="41">
        <v>100</v>
      </c>
      <c r="F106" s="41" t="s">
        <v>475</v>
      </c>
      <c r="G106" s="53">
        <v>9576000</v>
      </c>
      <c r="P106" s="90">
        <f t="shared" si="20"/>
        <v>2.153299916457811</v>
      </c>
      <c r="Q106" s="41" t="s">
        <v>471</v>
      </c>
      <c r="AF106" s="53">
        <v>20620000</v>
      </c>
      <c r="AG106" s="41" t="s">
        <v>472</v>
      </c>
      <c r="AM106" s="53">
        <v>60914000</v>
      </c>
      <c r="AO106" s="53">
        <f t="shared" si="18"/>
        <v>0</v>
      </c>
      <c r="AP106" s="53">
        <f t="shared" si="18"/>
        <v>0</v>
      </c>
      <c r="AQ106" s="53">
        <f t="shared" si="18"/>
        <v>0</v>
      </c>
      <c r="AR106" s="53">
        <f t="shared" si="18"/>
        <v>0</v>
      </c>
      <c r="AS106" s="53">
        <f t="shared" si="18"/>
        <v>0</v>
      </c>
      <c r="AT106" s="53">
        <f t="shared" si="18"/>
        <v>0</v>
      </c>
      <c r="AU106" s="53">
        <f t="shared" si="18"/>
        <v>0</v>
      </c>
      <c r="AV106" s="53">
        <f t="shared" si="18"/>
        <v>0</v>
      </c>
      <c r="AW106" s="53">
        <f t="shared" si="18"/>
        <v>20620000</v>
      </c>
      <c r="AX106" s="53">
        <f t="shared" si="19"/>
        <v>957600000</v>
      </c>
      <c r="AY106" s="41" t="s">
        <v>557</v>
      </c>
    </row>
    <row r="107" spans="1:51" x14ac:dyDescent="0.2">
      <c r="A107" s="41" t="s">
        <v>474</v>
      </c>
      <c r="B107" s="41">
        <v>2005</v>
      </c>
      <c r="C107" s="41" t="s">
        <v>96</v>
      </c>
      <c r="D107" s="41" t="s">
        <v>175</v>
      </c>
      <c r="E107" s="41">
        <v>100</v>
      </c>
      <c r="F107" s="41" t="s">
        <v>475</v>
      </c>
      <c r="G107" s="53">
        <v>8969000</v>
      </c>
      <c r="P107" s="90">
        <f t="shared" si="20"/>
        <v>3.3979261902107258</v>
      </c>
      <c r="Q107" s="41" t="s">
        <v>471</v>
      </c>
      <c r="AF107" s="53">
        <v>30476000</v>
      </c>
      <c r="AG107" s="41" t="s">
        <v>472</v>
      </c>
      <c r="AM107" s="53">
        <v>53970000</v>
      </c>
      <c r="AO107" s="53">
        <f t="shared" si="18"/>
        <v>0</v>
      </c>
      <c r="AP107" s="53">
        <f t="shared" si="18"/>
        <v>0</v>
      </c>
      <c r="AQ107" s="53">
        <f t="shared" si="18"/>
        <v>0</v>
      </c>
      <c r="AR107" s="53">
        <f t="shared" si="18"/>
        <v>0</v>
      </c>
      <c r="AS107" s="53">
        <f t="shared" si="18"/>
        <v>0</v>
      </c>
      <c r="AT107" s="53">
        <f t="shared" si="18"/>
        <v>0</v>
      </c>
      <c r="AU107" s="53">
        <f t="shared" si="18"/>
        <v>0</v>
      </c>
      <c r="AV107" s="53">
        <f t="shared" si="18"/>
        <v>0</v>
      </c>
      <c r="AW107" s="53">
        <f t="shared" si="18"/>
        <v>30476000</v>
      </c>
      <c r="AX107" s="53">
        <f t="shared" si="19"/>
        <v>896900000</v>
      </c>
      <c r="AY107" s="41" t="s">
        <v>557</v>
      </c>
    </row>
    <row r="108" spans="1:51" x14ac:dyDescent="0.2">
      <c r="A108" s="41" t="s">
        <v>474</v>
      </c>
      <c r="B108" s="41">
        <v>2006</v>
      </c>
      <c r="C108" s="41" t="s">
        <v>96</v>
      </c>
      <c r="D108" s="41" t="s">
        <v>175</v>
      </c>
      <c r="E108" s="41">
        <v>100</v>
      </c>
      <c r="F108" s="41" t="s">
        <v>475</v>
      </c>
      <c r="G108" s="53">
        <v>8441000</v>
      </c>
      <c r="P108" s="90">
        <f t="shared" si="20"/>
        <v>3.4448525056272952</v>
      </c>
      <c r="Q108" s="41" t="s">
        <v>471</v>
      </c>
      <c r="AF108" s="53">
        <v>29078000</v>
      </c>
      <c r="AG108" s="41" t="s">
        <v>472</v>
      </c>
      <c r="AM108" s="92">
        <v>36059000</v>
      </c>
      <c r="AO108" s="53">
        <f t="shared" si="18"/>
        <v>0</v>
      </c>
      <c r="AP108" s="53">
        <f t="shared" si="18"/>
        <v>0</v>
      </c>
      <c r="AQ108" s="53">
        <f t="shared" si="18"/>
        <v>0</v>
      </c>
      <c r="AR108" s="53">
        <f t="shared" si="18"/>
        <v>0</v>
      </c>
      <c r="AS108" s="53">
        <f t="shared" si="18"/>
        <v>0</v>
      </c>
      <c r="AT108" s="53">
        <f t="shared" si="18"/>
        <v>0</v>
      </c>
      <c r="AU108" s="53">
        <f t="shared" si="18"/>
        <v>0</v>
      </c>
      <c r="AV108" s="53">
        <f t="shared" si="18"/>
        <v>0</v>
      </c>
      <c r="AW108" s="53">
        <f t="shared" si="18"/>
        <v>29078000</v>
      </c>
      <c r="AX108" s="53">
        <f t="shared" si="19"/>
        <v>844100000</v>
      </c>
      <c r="AY108" s="41" t="s">
        <v>557</v>
      </c>
    </row>
    <row r="109" spans="1:51" x14ac:dyDescent="0.2">
      <c r="A109" s="41" t="s">
        <v>474</v>
      </c>
      <c r="B109" s="41">
        <v>2007</v>
      </c>
      <c r="C109" s="41" t="s">
        <v>96</v>
      </c>
      <c r="D109" s="41" t="s">
        <v>175</v>
      </c>
      <c r="E109" s="41">
        <v>100</v>
      </c>
      <c r="F109" s="41" t="s">
        <v>475</v>
      </c>
      <c r="G109" s="53">
        <v>8625000</v>
      </c>
      <c r="P109" s="90">
        <f t="shared" si="20"/>
        <v>2.1732173913043478</v>
      </c>
      <c r="Q109" s="41" t="s">
        <v>471</v>
      </c>
      <c r="AF109" s="53">
        <v>18744000</v>
      </c>
      <c r="AG109" s="41" t="s">
        <v>472</v>
      </c>
      <c r="AM109" s="92">
        <v>37175000</v>
      </c>
      <c r="AO109" s="53">
        <f t="shared" si="18"/>
        <v>0</v>
      </c>
      <c r="AP109" s="53">
        <f t="shared" si="18"/>
        <v>0</v>
      </c>
      <c r="AQ109" s="53">
        <f t="shared" si="18"/>
        <v>0</v>
      </c>
      <c r="AR109" s="53">
        <f t="shared" si="18"/>
        <v>0</v>
      </c>
      <c r="AS109" s="53">
        <f t="shared" si="18"/>
        <v>0</v>
      </c>
      <c r="AT109" s="53">
        <f t="shared" si="18"/>
        <v>0</v>
      </c>
      <c r="AU109" s="53">
        <f t="shared" si="18"/>
        <v>0</v>
      </c>
      <c r="AV109" s="53">
        <f t="shared" si="18"/>
        <v>0</v>
      </c>
      <c r="AW109" s="53">
        <f t="shared" si="18"/>
        <v>18744000</v>
      </c>
      <c r="AX109" s="53">
        <f t="shared" si="19"/>
        <v>862500000</v>
      </c>
      <c r="AY109" s="41" t="s">
        <v>557</v>
      </c>
    </row>
    <row r="110" spans="1:51" x14ac:dyDescent="0.2">
      <c r="A110" s="41" t="s">
        <v>474</v>
      </c>
      <c r="B110" s="41">
        <v>2008</v>
      </c>
      <c r="C110" s="41" t="s">
        <v>96</v>
      </c>
      <c r="D110" s="41" t="s">
        <v>175</v>
      </c>
      <c r="E110" s="41">
        <v>100</v>
      </c>
      <c r="F110" s="41" t="s">
        <v>475</v>
      </c>
      <c r="G110" s="53">
        <v>6809000</v>
      </c>
      <c r="P110" s="90">
        <f t="shared" si="20"/>
        <v>2.214128359524159</v>
      </c>
      <c r="Q110" s="41" t="s">
        <v>471</v>
      </c>
      <c r="AF110" s="53">
        <v>15076000</v>
      </c>
      <c r="AG110" s="41" t="s">
        <v>472</v>
      </c>
      <c r="AM110" s="92">
        <v>33391000</v>
      </c>
      <c r="AO110" s="53">
        <f t="shared" si="18"/>
        <v>0</v>
      </c>
      <c r="AP110" s="53">
        <f t="shared" si="18"/>
        <v>0</v>
      </c>
      <c r="AQ110" s="53">
        <f t="shared" si="18"/>
        <v>0</v>
      </c>
      <c r="AR110" s="53">
        <f t="shared" ref="AR110:AW118" si="21">$G110*K110</f>
        <v>0</v>
      </c>
      <c r="AS110" s="53">
        <f t="shared" si="21"/>
        <v>0</v>
      </c>
      <c r="AT110" s="53">
        <f t="shared" si="21"/>
        <v>0</v>
      </c>
      <c r="AU110" s="53">
        <f t="shared" si="21"/>
        <v>0</v>
      </c>
      <c r="AV110" s="53">
        <f t="shared" si="21"/>
        <v>0</v>
      </c>
      <c r="AW110" s="53">
        <f t="shared" si="21"/>
        <v>15075999.999999998</v>
      </c>
      <c r="AX110" s="53">
        <f t="shared" si="19"/>
        <v>680900000</v>
      </c>
      <c r="AY110" s="41" t="s">
        <v>557</v>
      </c>
    </row>
    <row r="111" spans="1:51" x14ac:dyDescent="0.2">
      <c r="A111" s="41" t="s">
        <v>474</v>
      </c>
      <c r="B111" s="41">
        <v>2009</v>
      </c>
      <c r="C111" s="41" t="s">
        <v>96</v>
      </c>
      <c r="D111" s="41" t="s">
        <v>175</v>
      </c>
      <c r="E111" s="41">
        <v>100</v>
      </c>
      <c r="F111" s="41" t="s">
        <v>475</v>
      </c>
      <c r="G111" s="53">
        <v>4634000</v>
      </c>
      <c r="P111" s="90">
        <f t="shared" si="20"/>
        <v>2.285498489425982</v>
      </c>
      <c r="Q111" s="41" t="s">
        <v>471</v>
      </c>
      <c r="AF111" s="53">
        <v>10591000</v>
      </c>
      <c r="AG111" s="41" t="s">
        <v>472</v>
      </c>
      <c r="AM111" s="92">
        <v>22566000</v>
      </c>
      <c r="AO111" s="53">
        <f t="shared" ref="AO111:AQ118" si="22">$G111*H111</f>
        <v>0</v>
      </c>
      <c r="AP111" s="53">
        <f t="shared" si="22"/>
        <v>0</v>
      </c>
      <c r="AQ111" s="53">
        <f t="shared" si="22"/>
        <v>0</v>
      </c>
      <c r="AR111" s="53">
        <f t="shared" si="21"/>
        <v>0</v>
      </c>
      <c r="AS111" s="53">
        <f t="shared" si="21"/>
        <v>0</v>
      </c>
      <c r="AT111" s="53">
        <f t="shared" si="21"/>
        <v>0</v>
      </c>
      <c r="AU111" s="53">
        <f t="shared" si="21"/>
        <v>0</v>
      </c>
      <c r="AV111" s="53">
        <f t="shared" si="21"/>
        <v>0</v>
      </c>
      <c r="AW111" s="53">
        <f t="shared" si="21"/>
        <v>10591000</v>
      </c>
      <c r="AX111" s="53">
        <f t="shared" si="19"/>
        <v>463400000</v>
      </c>
      <c r="AY111" s="41" t="s">
        <v>557</v>
      </c>
    </row>
    <row r="112" spans="1:51" x14ac:dyDescent="0.2">
      <c r="A112" s="41" t="s">
        <v>474</v>
      </c>
      <c r="B112" s="41">
        <v>2010</v>
      </c>
      <c r="C112" s="41" t="s">
        <v>96</v>
      </c>
      <c r="D112" s="41" t="s">
        <v>175</v>
      </c>
      <c r="E112" s="41">
        <v>100</v>
      </c>
      <c r="F112" s="41" t="s">
        <v>475</v>
      </c>
      <c r="G112" s="53">
        <v>7274000</v>
      </c>
      <c r="P112" s="90">
        <f t="shared" si="20"/>
        <v>1.3478141325268078</v>
      </c>
      <c r="Q112" s="41" t="s">
        <v>471</v>
      </c>
      <c r="AF112" s="53">
        <v>9804000</v>
      </c>
      <c r="AG112" s="41" t="s">
        <v>472</v>
      </c>
      <c r="AM112" s="92">
        <v>16726000</v>
      </c>
      <c r="AO112" s="53">
        <f t="shared" si="22"/>
        <v>0</v>
      </c>
      <c r="AP112" s="53">
        <f t="shared" si="22"/>
        <v>0</v>
      </c>
      <c r="AQ112" s="53">
        <f t="shared" si="22"/>
        <v>0</v>
      </c>
      <c r="AR112" s="53">
        <f t="shared" si="21"/>
        <v>0</v>
      </c>
      <c r="AS112" s="53">
        <f t="shared" si="21"/>
        <v>0</v>
      </c>
      <c r="AT112" s="53">
        <f t="shared" si="21"/>
        <v>0</v>
      </c>
      <c r="AU112" s="53">
        <f t="shared" si="21"/>
        <v>0</v>
      </c>
      <c r="AV112" s="53">
        <f t="shared" si="21"/>
        <v>0</v>
      </c>
      <c r="AW112" s="53">
        <f t="shared" si="21"/>
        <v>9804000</v>
      </c>
      <c r="AX112" s="53">
        <f t="shared" si="19"/>
        <v>727400000</v>
      </c>
      <c r="AY112" s="41" t="s">
        <v>557</v>
      </c>
    </row>
    <row r="113" spans="1:51" x14ac:dyDescent="0.2">
      <c r="A113" s="41" t="s">
        <v>474</v>
      </c>
      <c r="B113" s="41">
        <v>2011</v>
      </c>
      <c r="C113" s="41" t="s">
        <v>96</v>
      </c>
      <c r="D113" s="41" t="s">
        <v>175</v>
      </c>
      <c r="E113" s="41">
        <v>100</v>
      </c>
      <c r="F113" s="41" t="s">
        <v>475</v>
      </c>
      <c r="G113" s="53">
        <v>6379000</v>
      </c>
      <c r="P113" s="90">
        <f t="shared" si="20"/>
        <v>1.1664837748863459</v>
      </c>
      <c r="Q113" s="41" t="s">
        <v>471</v>
      </c>
      <c r="AF113" s="53">
        <v>7441000</v>
      </c>
      <c r="AG113" s="41" t="s">
        <v>472</v>
      </c>
      <c r="AM113" s="92">
        <v>15421000</v>
      </c>
      <c r="AO113" s="53">
        <f t="shared" si="22"/>
        <v>0</v>
      </c>
      <c r="AP113" s="53">
        <f t="shared" si="22"/>
        <v>0</v>
      </c>
      <c r="AQ113" s="53">
        <f t="shared" si="22"/>
        <v>0</v>
      </c>
      <c r="AR113" s="53">
        <f t="shared" si="21"/>
        <v>0</v>
      </c>
      <c r="AS113" s="53">
        <f t="shared" si="21"/>
        <v>0</v>
      </c>
      <c r="AT113" s="53">
        <f t="shared" si="21"/>
        <v>0</v>
      </c>
      <c r="AU113" s="53">
        <f t="shared" si="21"/>
        <v>0</v>
      </c>
      <c r="AV113" s="53">
        <f t="shared" si="21"/>
        <v>0</v>
      </c>
      <c r="AW113" s="53">
        <f t="shared" si="21"/>
        <v>7441000.0000000009</v>
      </c>
      <c r="AX113" s="53">
        <f t="shared" si="19"/>
        <v>637900000</v>
      </c>
      <c r="AY113" s="41" t="s">
        <v>557</v>
      </c>
    </row>
    <row r="114" spans="1:51" x14ac:dyDescent="0.2">
      <c r="A114" s="41" t="s">
        <v>474</v>
      </c>
      <c r="B114" s="41">
        <v>2012</v>
      </c>
      <c r="C114" s="41" t="s">
        <v>96</v>
      </c>
      <c r="D114" s="41" t="s">
        <v>175</v>
      </c>
      <c r="E114" s="41">
        <v>100</v>
      </c>
      <c r="F114" s="41" t="s">
        <v>475</v>
      </c>
      <c r="G114" s="53">
        <v>7011000</v>
      </c>
      <c r="P114" s="90">
        <f t="shared" si="20"/>
        <v>1.2082441877050349</v>
      </c>
      <c r="Q114" s="41" t="s">
        <v>471</v>
      </c>
      <c r="AF114" s="53">
        <v>8471000</v>
      </c>
      <c r="AG114" s="41" t="s">
        <v>472</v>
      </c>
      <c r="AM114" s="76">
        <v>14022000</v>
      </c>
      <c r="AO114" s="53">
        <f t="shared" si="22"/>
        <v>0</v>
      </c>
      <c r="AP114" s="53">
        <f t="shared" si="22"/>
        <v>0</v>
      </c>
      <c r="AQ114" s="53">
        <f t="shared" si="22"/>
        <v>0</v>
      </c>
      <c r="AR114" s="53">
        <f t="shared" si="21"/>
        <v>0</v>
      </c>
      <c r="AS114" s="53">
        <f t="shared" si="21"/>
        <v>0</v>
      </c>
      <c r="AT114" s="53">
        <f t="shared" si="21"/>
        <v>0</v>
      </c>
      <c r="AU114" s="53">
        <f t="shared" si="21"/>
        <v>0</v>
      </c>
      <c r="AV114" s="53">
        <f t="shared" si="21"/>
        <v>0</v>
      </c>
      <c r="AW114" s="53">
        <f t="shared" si="21"/>
        <v>8471000</v>
      </c>
      <c r="AX114" s="53">
        <f t="shared" si="19"/>
        <v>701100000</v>
      </c>
      <c r="AY114" s="41" t="s">
        <v>557</v>
      </c>
    </row>
    <row r="115" spans="1:51" x14ac:dyDescent="0.2">
      <c r="A115" s="41" t="s">
        <v>474</v>
      </c>
      <c r="B115" s="41">
        <v>2013</v>
      </c>
      <c r="C115" s="41" t="s">
        <v>96</v>
      </c>
      <c r="D115" s="41" t="s">
        <v>175</v>
      </c>
      <c r="E115" s="41">
        <v>75</v>
      </c>
      <c r="F115" s="41" t="s">
        <v>475</v>
      </c>
      <c r="G115" s="53">
        <v>7278000</v>
      </c>
      <c r="P115" s="90">
        <f t="shared" si="20"/>
        <v>1.5607309700467162</v>
      </c>
      <c r="Q115" s="41" t="s">
        <v>471</v>
      </c>
      <c r="AF115" s="53">
        <v>11359000</v>
      </c>
      <c r="AG115" s="41" t="s">
        <v>472</v>
      </c>
      <c r="AM115" s="76">
        <v>10917000</v>
      </c>
      <c r="AO115" s="53">
        <f t="shared" si="22"/>
        <v>0</v>
      </c>
      <c r="AP115" s="53">
        <f t="shared" si="22"/>
        <v>0</v>
      </c>
      <c r="AQ115" s="53">
        <f t="shared" si="22"/>
        <v>0</v>
      </c>
      <c r="AR115" s="53">
        <f t="shared" si="21"/>
        <v>0</v>
      </c>
      <c r="AS115" s="53">
        <f t="shared" si="21"/>
        <v>0</v>
      </c>
      <c r="AT115" s="53">
        <f t="shared" si="21"/>
        <v>0</v>
      </c>
      <c r="AU115" s="53">
        <f t="shared" si="21"/>
        <v>0</v>
      </c>
      <c r="AV115" s="53">
        <f t="shared" si="21"/>
        <v>0</v>
      </c>
      <c r="AW115" s="53">
        <f t="shared" si="21"/>
        <v>11359000</v>
      </c>
      <c r="AX115" s="53">
        <f t="shared" si="19"/>
        <v>545850000</v>
      </c>
      <c r="AY115" s="41" t="s">
        <v>557</v>
      </c>
    </row>
    <row r="116" spans="1:51" x14ac:dyDescent="0.2">
      <c r="A116" s="41" t="s">
        <v>474</v>
      </c>
      <c r="B116" s="41">
        <v>2014</v>
      </c>
      <c r="C116" s="41" t="s">
        <v>96</v>
      </c>
      <c r="D116" s="41" t="s">
        <v>175</v>
      </c>
      <c r="E116" s="41">
        <v>50</v>
      </c>
      <c r="F116" s="41" t="s">
        <v>475</v>
      </c>
      <c r="G116" s="53">
        <v>2999000</v>
      </c>
      <c r="P116" s="90">
        <f t="shared" si="20"/>
        <v>3.0636878959653218</v>
      </c>
      <c r="Q116" s="41" t="s">
        <v>471</v>
      </c>
      <c r="AF116" s="53">
        <v>9188000</v>
      </c>
      <c r="AG116" s="41" t="s">
        <v>472</v>
      </c>
      <c r="AM116" s="76">
        <v>2999000</v>
      </c>
      <c r="AO116" s="53">
        <f t="shared" si="22"/>
        <v>0</v>
      </c>
      <c r="AP116" s="53">
        <f t="shared" si="22"/>
        <v>0</v>
      </c>
      <c r="AQ116" s="53">
        <f t="shared" si="22"/>
        <v>0</v>
      </c>
      <c r="AR116" s="53">
        <f t="shared" si="21"/>
        <v>0</v>
      </c>
      <c r="AS116" s="53">
        <f t="shared" si="21"/>
        <v>0</v>
      </c>
      <c r="AT116" s="53">
        <f t="shared" si="21"/>
        <v>0</v>
      </c>
      <c r="AU116" s="53">
        <f t="shared" si="21"/>
        <v>0</v>
      </c>
      <c r="AV116" s="53">
        <f t="shared" si="21"/>
        <v>0</v>
      </c>
      <c r="AW116" s="53">
        <f t="shared" si="21"/>
        <v>9188000</v>
      </c>
      <c r="AX116" s="53">
        <f t="shared" si="19"/>
        <v>149950000</v>
      </c>
      <c r="AY116" s="41" t="s">
        <v>557</v>
      </c>
    </row>
    <row r="117" spans="1:51" x14ac:dyDescent="0.2">
      <c r="A117" s="41" t="s">
        <v>474</v>
      </c>
      <c r="B117" s="41">
        <v>2015</v>
      </c>
      <c r="C117" s="41" t="s">
        <v>96</v>
      </c>
      <c r="D117" s="41" t="s">
        <v>175</v>
      </c>
      <c r="E117" s="41">
        <v>25</v>
      </c>
      <c r="F117" s="41" t="s">
        <v>475</v>
      </c>
      <c r="G117" s="53">
        <v>4843000</v>
      </c>
      <c r="P117" s="90">
        <f t="shared" si="20"/>
        <v>2.7817468511253356</v>
      </c>
      <c r="Q117" s="41" t="s">
        <v>471</v>
      </c>
      <c r="AF117" s="53">
        <v>13472000</v>
      </c>
      <c r="AG117" s="41" t="s">
        <v>472</v>
      </c>
      <c r="AM117" s="76">
        <v>2421500</v>
      </c>
      <c r="AO117" s="53">
        <f t="shared" si="22"/>
        <v>0</v>
      </c>
      <c r="AP117" s="53">
        <f t="shared" si="22"/>
        <v>0</v>
      </c>
      <c r="AQ117" s="53">
        <f t="shared" si="22"/>
        <v>0</v>
      </c>
      <c r="AR117" s="53">
        <f t="shared" si="21"/>
        <v>0</v>
      </c>
      <c r="AS117" s="53">
        <f t="shared" si="21"/>
        <v>0</v>
      </c>
      <c r="AT117" s="53">
        <f t="shared" si="21"/>
        <v>0</v>
      </c>
      <c r="AU117" s="53">
        <f t="shared" si="21"/>
        <v>0</v>
      </c>
      <c r="AV117" s="53">
        <f t="shared" si="21"/>
        <v>0</v>
      </c>
      <c r="AW117" s="53">
        <f t="shared" si="21"/>
        <v>13472000</v>
      </c>
      <c r="AX117" s="53">
        <f t="shared" si="19"/>
        <v>121075000</v>
      </c>
      <c r="AY117" s="41" t="s">
        <v>557</v>
      </c>
    </row>
    <row r="118" spans="1:51" x14ac:dyDescent="0.2">
      <c r="A118" s="41" t="s">
        <v>474</v>
      </c>
      <c r="B118" s="41">
        <v>2016</v>
      </c>
      <c r="C118" s="41" t="s">
        <v>96</v>
      </c>
      <c r="D118" s="41" t="s">
        <v>175</v>
      </c>
      <c r="E118" s="41">
        <v>0</v>
      </c>
      <c r="F118" s="41" t="s">
        <v>475</v>
      </c>
      <c r="G118" s="53">
        <v>5097000</v>
      </c>
      <c r="P118" s="90">
        <f t="shared" si="20"/>
        <v>2.7384736119285855</v>
      </c>
      <c r="Q118" s="41" t="s">
        <v>471</v>
      </c>
      <c r="AF118" s="53">
        <v>13958000</v>
      </c>
      <c r="AG118" s="41" t="s">
        <v>472</v>
      </c>
      <c r="AO118" s="53">
        <f t="shared" si="22"/>
        <v>0</v>
      </c>
      <c r="AP118" s="53">
        <f t="shared" si="22"/>
        <v>0</v>
      </c>
      <c r="AQ118" s="53">
        <f t="shared" si="22"/>
        <v>0</v>
      </c>
      <c r="AR118" s="53">
        <f t="shared" si="21"/>
        <v>0</v>
      </c>
      <c r="AS118" s="53">
        <f t="shared" si="21"/>
        <v>0</v>
      </c>
      <c r="AT118" s="53">
        <f t="shared" si="21"/>
        <v>0</v>
      </c>
      <c r="AU118" s="53">
        <f t="shared" si="21"/>
        <v>0</v>
      </c>
      <c r="AV118" s="53">
        <f t="shared" si="21"/>
        <v>0</v>
      </c>
      <c r="AW118" s="53">
        <f t="shared" si="21"/>
        <v>13958000</v>
      </c>
      <c r="AX118" s="53">
        <f t="shared" si="19"/>
        <v>0</v>
      </c>
      <c r="AY118" s="41" t="s">
        <v>557</v>
      </c>
    </row>
    <row r="119" spans="1:51" x14ac:dyDescent="0.2">
      <c r="A119" s="84"/>
      <c r="B119" s="85" t="s">
        <v>565</v>
      </c>
      <c r="C119" s="60" t="s">
        <v>96</v>
      </c>
      <c r="D119" s="60" t="s">
        <v>175</v>
      </c>
      <c r="E119" s="78">
        <f>AX119/G119</f>
        <v>97.809796814698686</v>
      </c>
      <c r="F119" s="60" t="s">
        <v>475</v>
      </c>
      <c r="G119" s="79">
        <f>SUM(G82:G116)+(294/365)*G117</f>
        <v>285119790.78630137</v>
      </c>
      <c r="P119" s="80">
        <f>AW119/$G119</f>
        <v>3.193622632497493</v>
      </c>
      <c r="AF119" s="79">
        <f>SUM(AF82:AF116)+(294/365)*AF117</f>
        <v>831499916.8280822</v>
      </c>
      <c r="AM119" s="79">
        <f>SUM(AM82:AM116)+(294/365)*AM117</f>
        <v>993232468.49315071</v>
      </c>
      <c r="AO119" s="79">
        <f t="shared" ref="AO119:AX119" si="23">SUM(AO82:AO116)+(294/365)*AO117</f>
        <v>0</v>
      </c>
      <c r="AP119" s="79">
        <f t="shared" si="23"/>
        <v>0</v>
      </c>
      <c r="AQ119" s="79">
        <f t="shared" si="23"/>
        <v>0</v>
      </c>
      <c r="AR119" s="79">
        <f t="shared" si="23"/>
        <v>0</v>
      </c>
      <c r="AS119" s="79">
        <f t="shared" si="23"/>
        <v>0</v>
      </c>
      <c r="AT119" s="79">
        <f t="shared" si="23"/>
        <v>0</v>
      </c>
      <c r="AU119" s="79">
        <f t="shared" si="23"/>
        <v>0</v>
      </c>
      <c r="AV119" s="79">
        <f t="shared" si="23"/>
        <v>0</v>
      </c>
      <c r="AW119" s="79">
        <f t="shared" si="23"/>
        <v>910565016.8280822</v>
      </c>
      <c r="AX119" s="79">
        <f t="shared" si="23"/>
        <v>27887508804.657536</v>
      </c>
      <c r="AY119" s="41" t="s">
        <v>557</v>
      </c>
    </row>
    <row r="120" spans="1:51" x14ac:dyDescent="0.2">
      <c r="A120" s="41" t="s">
        <v>474</v>
      </c>
      <c r="B120" s="43" t="s">
        <v>560</v>
      </c>
      <c r="G120" s="53">
        <f>STDEV(G82:G117)</f>
        <v>5173999.6122890906</v>
      </c>
      <c r="P120" s="46">
        <f>STDEV(P82:P117)</f>
        <v>2.2053961244055902</v>
      </c>
      <c r="AF120" s="53">
        <f>STDEV(AF82:AF117)</f>
        <v>13977480.130454374</v>
      </c>
      <c r="AM120" s="53">
        <f>STDEV(AM82:AM117)</f>
        <v>20736023.166630711</v>
      </c>
      <c r="AY120" s="41" t="s">
        <v>557</v>
      </c>
    </row>
    <row r="121" spans="1:51" x14ac:dyDescent="0.2">
      <c r="A121" s="41" t="s">
        <v>474</v>
      </c>
      <c r="B121" s="81" t="s">
        <v>249</v>
      </c>
      <c r="G121" s="41">
        <f>COUNT(G82:G117)</f>
        <v>36</v>
      </c>
      <c r="P121" s="41">
        <f>COUNT(P82:P117)</f>
        <v>36</v>
      </c>
      <c r="AF121" s="41">
        <f>COUNT(AF82:AF117)</f>
        <v>36</v>
      </c>
      <c r="AM121" s="41">
        <f>COUNT(AM82:AM117)</f>
        <v>33</v>
      </c>
      <c r="AY121" s="41" t="s">
        <v>557</v>
      </c>
    </row>
    <row r="122" spans="1:51" x14ac:dyDescent="0.2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41" t="s">
        <v>557</v>
      </c>
    </row>
    <row r="123" spans="1:51" x14ac:dyDescent="0.2">
      <c r="A123" s="41" t="s">
        <v>302</v>
      </c>
      <c r="B123" s="41">
        <v>2000</v>
      </c>
      <c r="C123" s="41" t="s">
        <v>87</v>
      </c>
      <c r="D123" s="41" t="s">
        <v>88</v>
      </c>
      <c r="E123" s="41">
        <v>100</v>
      </c>
      <c r="F123" s="41" t="s">
        <v>566</v>
      </c>
      <c r="AM123" s="53">
        <v>76000000</v>
      </c>
      <c r="AX123" s="53">
        <f t="shared" ref="AX123:AX140" si="24">$G123*E123</f>
        <v>0</v>
      </c>
      <c r="AY123" s="41" t="s">
        <v>557</v>
      </c>
    </row>
    <row r="124" spans="1:51" x14ac:dyDescent="0.2">
      <c r="A124" s="41" t="s">
        <v>302</v>
      </c>
      <c r="B124" s="41">
        <v>2001</v>
      </c>
      <c r="C124" s="41" t="s">
        <v>87</v>
      </c>
      <c r="D124" s="41" t="s">
        <v>88</v>
      </c>
      <c r="E124" s="41">
        <v>100</v>
      </c>
      <c r="F124" s="41" t="s">
        <v>566</v>
      </c>
      <c r="G124" s="53">
        <v>12900000</v>
      </c>
      <c r="H124" s="41">
        <v>1.61</v>
      </c>
      <c r="J124" s="41">
        <v>22.3</v>
      </c>
      <c r="K124" s="58">
        <v>3.0000000000000001E-3</v>
      </c>
      <c r="L124" s="56">
        <v>0.03</v>
      </c>
      <c r="M124" s="41">
        <v>0.84</v>
      </c>
      <c r="R124" s="93">
        <v>283104</v>
      </c>
      <c r="S124" s="53">
        <v>170098.88415131997</v>
      </c>
      <c r="U124" s="53">
        <f>2041420.118*31.1/1000</f>
        <v>63488.165669800008</v>
      </c>
      <c r="V124" s="76">
        <v>558.17307692307691</v>
      </c>
      <c r="W124" s="76">
        <v>290.25</v>
      </c>
      <c r="X124" s="76">
        <v>3870</v>
      </c>
      <c r="Y124" s="76">
        <v>1935</v>
      </c>
      <c r="Z124" s="53">
        <v>104974</v>
      </c>
      <c r="AA124" s="53">
        <v>56699.628050439991</v>
      </c>
      <c r="AB124" s="94"/>
      <c r="AD124" s="94"/>
      <c r="AH124" s="53">
        <f t="shared" ref="AH124:AH140" si="25">G124-R124-V124-X124-Z124</f>
        <v>12507493.826923076</v>
      </c>
      <c r="AM124" s="53">
        <v>85000000</v>
      </c>
      <c r="AO124" s="53">
        <f t="shared" ref="AO124:AW140" si="26">$G124*H124</f>
        <v>20769000</v>
      </c>
      <c r="AP124" s="53">
        <f t="shared" si="26"/>
        <v>0</v>
      </c>
      <c r="AQ124" s="53">
        <f t="shared" si="26"/>
        <v>287670000</v>
      </c>
      <c r="AR124" s="53">
        <f t="shared" si="26"/>
        <v>38700</v>
      </c>
      <c r="AS124" s="53">
        <f t="shared" si="26"/>
        <v>387000</v>
      </c>
      <c r="AT124" s="53">
        <f t="shared" si="26"/>
        <v>10836000</v>
      </c>
      <c r="AU124" s="53">
        <f t="shared" si="26"/>
        <v>0</v>
      </c>
      <c r="AV124" s="53">
        <f t="shared" si="26"/>
        <v>0</v>
      </c>
      <c r="AW124" s="53">
        <f t="shared" si="26"/>
        <v>0</v>
      </c>
      <c r="AX124" s="53">
        <f t="shared" si="24"/>
        <v>1290000000</v>
      </c>
      <c r="AY124" s="41" t="s">
        <v>557</v>
      </c>
    </row>
    <row r="125" spans="1:51" x14ac:dyDescent="0.2">
      <c r="A125" s="41" t="s">
        <v>302</v>
      </c>
      <c r="B125" s="41">
        <v>2002</v>
      </c>
      <c r="C125" s="41" t="s">
        <v>87</v>
      </c>
      <c r="D125" s="41" t="s">
        <v>88</v>
      </c>
      <c r="E125" s="41">
        <v>100</v>
      </c>
      <c r="F125" s="41" t="s">
        <v>566</v>
      </c>
      <c r="G125" s="53">
        <v>26748000</v>
      </c>
      <c r="H125" s="46">
        <v>1.371514131897712</v>
      </c>
      <c r="J125" s="54">
        <v>14.186361774103776</v>
      </c>
      <c r="K125" s="55">
        <v>2.9539534050774768E-3</v>
      </c>
      <c r="L125" s="56">
        <v>0.03</v>
      </c>
      <c r="M125" s="46">
        <v>1.1917911619560342</v>
      </c>
      <c r="R125" s="93">
        <v>1177593</v>
      </c>
      <c r="S125" s="53">
        <v>330700</v>
      </c>
      <c r="U125" s="53">
        <f>6100591.716*31.1/1000</f>
        <v>189728.40236760004</v>
      </c>
      <c r="V125" s="76">
        <v>1139.6011396011395</v>
      </c>
      <c r="W125" s="95">
        <v>592.59259259259261</v>
      </c>
      <c r="X125" s="76">
        <v>8024.4</v>
      </c>
      <c r="Y125" s="76">
        <v>4012.2</v>
      </c>
      <c r="Z125" s="53">
        <v>442107</v>
      </c>
      <c r="AA125" s="53">
        <v>230700</v>
      </c>
      <c r="AB125" s="94"/>
      <c r="AD125" s="94"/>
      <c r="AH125" s="53">
        <f t="shared" si="25"/>
        <v>25119135.9988604</v>
      </c>
      <c r="AM125" s="53">
        <v>100289000</v>
      </c>
      <c r="AO125" s="53">
        <f t="shared" si="26"/>
        <v>36685260</v>
      </c>
      <c r="AP125" s="53">
        <f t="shared" si="26"/>
        <v>0</v>
      </c>
      <c r="AQ125" s="53">
        <f t="shared" si="26"/>
        <v>379456804.73372781</v>
      </c>
      <c r="AR125" s="53">
        <f t="shared" si="26"/>
        <v>79012.345679012345</v>
      </c>
      <c r="AS125" s="53">
        <f t="shared" si="26"/>
        <v>802440</v>
      </c>
      <c r="AT125" s="53">
        <f t="shared" si="26"/>
        <v>31878030.000000004</v>
      </c>
      <c r="AU125" s="53">
        <f t="shared" si="26"/>
        <v>0</v>
      </c>
      <c r="AV125" s="53">
        <f t="shared" si="26"/>
        <v>0</v>
      </c>
      <c r="AW125" s="53">
        <f t="shared" si="26"/>
        <v>0</v>
      </c>
      <c r="AX125" s="53">
        <f t="shared" si="24"/>
        <v>2674800000</v>
      </c>
      <c r="AY125" s="41" t="s">
        <v>557</v>
      </c>
    </row>
    <row r="126" spans="1:51" x14ac:dyDescent="0.2">
      <c r="A126" s="41" t="s">
        <v>302</v>
      </c>
      <c r="B126" s="41">
        <v>2003</v>
      </c>
      <c r="C126" s="41" t="s">
        <v>87</v>
      </c>
      <c r="D126" s="41" t="s">
        <v>88</v>
      </c>
      <c r="E126" s="41">
        <v>100</v>
      </c>
      <c r="F126" s="41" t="s">
        <v>566</v>
      </c>
      <c r="G126" s="53">
        <v>26412000</v>
      </c>
      <c r="H126" s="46">
        <v>1.1861986975617145</v>
      </c>
      <c r="J126" s="54">
        <v>14.373800863333592</v>
      </c>
      <c r="K126" s="55">
        <v>2.692378885018594E-3</v>
      </c>
      <c r="L126" s="56">
        <v>0.03</v>
      </c>
      <c r="M126" s="46">
        <v>1.8559109495683781</v>
      </c>
      <c r="R126" s="93">
        <v>894201</v>
      </c>
      <c r="S126" s="53">
        <v>252400</v>
      </c>
      <c r="U126" s="53">
        <f>6103550.296*31.1/1000</f>
        <v>189820.41420560001</v>
      </c>
      <c r="V126" s="76">
        <v>1025.6410256410254</v>
      </c>
      <c r="W126" s="93">
        <v>533.33333333333326</v>
      </c>
      <c r="X126" s="76">
        <v>7923.6</v>
      </c>
      <c r="Y126" s="76">
        <v>3961.8</v>
      </c>
      <c r="Z126" s="53">
        <v>674129</v>
      </c>
      <c r="AA126" s="53">
        <v>362700</v>
      </c>
      <c r="AB126" s="94"/>
      <c r="AD126" s="94"/>
      <c r="AH126" s="53">
        <f t="shared" si="25"/>
        <v>24834720.758974358</v>
      </c>
      <c r="AM126" s="53">
        <v>85879000</v>
      </c>
      <c r="AO126" s="53">
        <f t="shared" si="26"/>
        <v>31329880.000000004</v>
      </c>
      <c r="AP126" s="53">
        <f t="shared" si="26"/>
        <v>0</v>
      </c>
      <c r="AQ126" s="53">
        <f t="shared" si="26"/>
        <v>379640828.40236682</v>
      </c>
      <c r="AR126" s="53">
        <f t="shared" si="26"/>
        <v>71111.111111111109</v>
      </c>
      <c r="AS126" s="53">
        <f t="shared" si="26"/>
        <v>792360</v>
      </c>
      <c r="AT126" s="53">
        <f t="shared" si="26"/>
        <v>49018320</v>
      </c>
      <c r="AU126" s="53">
        <f t="shared" si="26"/>
        <v>0</v>
      </c>
      <c r="AV126" s="53">
        <f t="shared" si="26"/>
        <v>0</v>
      </c>
      <c r="AW126" s="53">
        <f t="shared" si="26"/>
        <v>0</v>
      </c>
      <c r="AX126" s="53">
        <f t="shared" si="24"/>
        <v>2641200000</v>
      </c>
      <c r="AY126" s="41" t="s">
        <v>557</v>
      </c>
    </row>
    <row r="127" spans="1:51" x14ac:dyDescent="0.2">
      <c r="A127" s="41" t="s">
        <v>302</v>
      </c>
      <c r="B127" s="41">
        <v>2004</v>
      </c>
      <c r="C127" s="41" t="s">
        <v>87</v>
      </c>
      <c r="D127" s="41" t="s">
        <v>88</v>
      </c>
      <c r="E127" s="41">
        <v>100</v>
      </c>
      <c r="F127" s="41" t="s">
        <v>566</v>
      </c>
      <c r="G127" s="53">
        <v>31255000</v>
      </c>
      <c r="H127" s="46">
        <v>1.3376733322668373</v>
      </c>
      <c r="J127" s="54">
        <v>14.395708520956173</v>
      </c>
      <c r="K127" s="55">
        <v>1.5218503311075167E-2</v>
      </c>
      <c r="L127" s="56">
        <v>0.03</v>
      </c>
      <c r="M127" s="46">
        <v>0.96796800511918091</v>
      </c>
      <c r="R127" s="93">
        <v>1276362</v>
      </c>
      <c r="S127" s="53">
        <v>362100</v>
      </c>
      <c r="U127" s="53">
        <f>7233727.811*31.1/1000</f>
        <v>224968.93492210002</v>
      </c>
      <c r="V127" s="76">
        <v>6860.3988603988601</v>
      </c>
      <c r="W127" s="93">
        <v>3567.4074074074074</v>
      </c>
      <c r="X127" s="76">
        <v>9376.5</v>
      </c>
      <c r="Y127" s="76">
        <v>4688.25</v>
      </c>
      <c r="Z127" s="53">
        <v>353344</v>
      </c>
      <c r="AA127" s="53">
        <v>190100</v>
      </c>
      <c r="AB127" s="94"/>
      <c r="AD127" s="94"/>
      <c r="AH127" s="53">
        <f t="shared" si="25"/>
        <v>29609057.101139601</v>
      </c>
      <c r="AM127" s="53">
        <v>99746000</v>
      </c>
      <c r="AO127" s="53">
        <f t="shared" si="26"/>
        <v>41808980</v>
      </c>
      <c r="AP127" s="53">
        <f t="shared" si="26"/>
        <v>0</v>
      </c>
      <c r="AQ127" s="53">
        <f t="shared" si="26"/>
        <v>449937869.82248521</v>
      </c>
      <c r="AR127" s="53">
        <f t="shared" si="26"/>
        <v>475654.32098765433</v>
      </c>
      <c r="AS127" s="53">
        <f t="shared" si="26"/>
        <v>937650</v>
      </c>
      <c r="AT127" s="53">
        <f t="shared" si="26"/>
        <v>30253840</v>
      </c>
      <c r="AU127" s="53">
        <f t="shared" si="26"/>
        <v>0</v>
      </c>
      <c r="AV127" s="53">
        <f t="shared" si="26"/>
        <v>0</v>
      </c>
      <c r="AW127" s="53">
        <f t="shared" si="26"/>
        <v>0</v>
      </c>
      <c r="AX127" s="53">
        <f t="shared" si="24"/>
        <v>3125500000</v>
      </c>
      <c r="AY127" s="41" t="s">
        <v>557</v>
      </c>
    </row>
    <row r="128" spans="1:51" x14ac:dyDescent="0.2">
      <c r="A128" s="41" t="s">
        <v>302</v>
      </c>
      <c r="B128" s="41">
        <v>2005</v>
      </c>
      <c r="C128" s="41" t="s">
        <v>87</v>
      </c>
      <c r="D128" s="41" t="s">
        <v>88</v>
      </c>
      <c r="E128" s="41">
        <v>100</v>
      </c>
      <c r="F128" s="41" t="s">
        <v>566</v>
      </c>
      <c r="G128" s="53">
        <v>30345000</v>
      </c>
      <c r="H128" s="46">
        <v>1.3545958147965069</v>
      </c>
      <c r="J128" s="54">
        <v>18.678296240180721</v>
      </c>
      <c r="K128" s="55">
        <v>2.9527104959630911E-2</v>
      </c>
      <c r="L128" s="56">
        <v>0.03</v>
      </c>
      <c r="M128" s="46">
        <v>0.93459614434008897</v>
      </c>
      <c r="R128" s="93">
        <v>1287257</v>
      </c>
      <c r="S128" s="53">
        <v>374600</v>
      </c>
      <c r="U128" s="53">
        <f>9112426.036*31.1/1000</f>
        <v>283396.44971960003</v>
      </c>
      <c r="V128" s="53">
        <v>12875</v>
      </c>
      <c r="W128" s="93">
        <v>6720</v>
      </c>
      <c r="X128" s="76">
        <v>9103.5</v>
      </c>
      <c r="Y128" s="76">
        <v>4551.75</v>
      </c>
      <c r="Z128" s="53">
        <v>343559</v>
      </c>
      <c r="AA128" s="53">
        <v>184300</v>
      </c>
      <c r="AB128" s="94"/>
      <c r="AD128" s="94"/>
      <c r="AH128" s="53">
        <f t="shared" si="25"/>
        <v>28692205.5</v>
      </c>
      <c r="AM128" s="53">
        <v>97702000</v>
      </c>
      <c r="AO128" s="53">
        <f t="shared" si="26"/>
        <v>41105210</v>
      </c>
      <c r="AP128" s="53">
        <f t="shared" si="26"/>
        <v>0</v>
      </c>
      <c r="AQ128" s="53">
        <f t="shared" si="26"/>
        <v>566792899.40828395</v>
      </c>
      <c r="AR128" s="53">
        <f t="shared" si="26"/>
        <v>896000</v>
      </c>
      <c r="AS128" s="53">
        <f t="shared" si="26"/>
        <v>910350</v>
      </c>
      <c r="AT128" s="53">
        <f t="shared" si="26"/>
        <v>28360320</v>
      </c>
      <c r="AU128" s="53">
        <f t="shared" si="26"/>
        <v>0</v>
      </c>
      <c r="AV128" s="53">
        <f t="shared" si="26"/>
        <v>0</v>
      </c>
      <c r="AW128" s="53">
        <f t="shared" si="26"/>
        <v>0</v>
      </c>
      <c r="AX128" s="53">
        <f t="shared" si="24"/>
        <v>3034500000</v>
      </c>
      <c r="AY128" s="41" t="s">
        <v>557</v>
      </c>
    </row>
    <row r="129" spans="1:51" x14ac:dyDescent="0.2">
      <c r="A129" s="41" t="s">
        <v>302</v>
      </c>
      <c r="B129" s="41">
        <v>2006</v>
      </c>
      <c r="C129" s="41" t="s">
        <v>87</v>
      </c>
      <c r="D129" s="41" t="s">
        <v>88</v>
      </c>
      <c r="E129" s="41">
        <v>100</v>
      </c>
      <c r="F129" s="41" t="s">
        <v>566</v>
      </c>
      <c r="G129" s="53">
        <v>30256000</v>
      </c>
      <c r="H129" s="46">
        <v>1.389372025383395</v>
      </c>
      <c r="J129" s="54">
        <v>19.016824333587952</v>
      </c>
      <c r="K129" s="55">
        <v>3.4693251333476963E-2</v>
      </c>
      <c r="L129" s="56">
        <v>0.03</v>
      </c>
      <c r="M129" s="46">
        <v>0.75234102326811214</v>
      </c>
      <c r="R129" s="93">
        <v>1357588.1481481481</v>
      </c>
      <c r="S129" s="53">
        <v>384200</v>
      </c>
      <c r="U129" s="53">
        <f>9250370.37*31.1/1000</f>
        <v>287686.51850699994</v>
      </c>
      <c r="V129" s="76">
        <v>15139.601139601138</v>
      </c>
      <c r="W129" s="53">
        <v>7872.5925925925922</v>
      </c>
      <c r="X129" s="76">
        <v>9076.7999999999993</v>
      </c>
      <c r="Y129" s="76">
        <v>4538.3999999999996</v>
      </c>
      <c r="Z129" s="76">
        <v>292257.24549043813</v>
      </c>
      <c r="AA129" s="53">
        <v>156100</v>
      </c>
      <c r="AB129" s="94"/>
      <c r="AD129" s="94"/>
      <c r="AH129" s="53">
        <f t="shared" si="25"/>
        <v>28581938.205221809</v>
      </c>
      <c r="AM129" s="53">
        <v>86700000</v>
      </c>
      <c r="AO129" s="53">
        <f t="shared" si="26"/>
        <v>42036840</v>
      </c>
      <c r="AP129" s="53">
        <f t="shared" si="26"/>
        <v>0</v>
      </c>
      <c r="AQ129" s="53">
        <f t="shared" si="26"/>
        <v>575373037.03703701</v>
      </c>
      <c r="AR129" s="53">
        <f t="shared" si="26"/>
        <v>1049679.0123456789</v>
      </c>
      <c r="AS129" s="53">
        <f t="shared" si="26"/>
        <v>907680</v>
      </c>
      <c r="AT129" s="53">
        <f t="shared" si="26"/>
        <v>22762830</v>
      </c>
      <c r="AU129" s="53">
        <f t="shared" si="26"/>
        <v>0</v>
      </c>
      <c r="AV129" s="53">
        <f t="shared" si="26"/>
        <v>0</v>
      </c>
      <c r="AW129" s="53">
        <f t="shared" si="26"/>
        <v>0</v>
      </c>
      <c r="AX129" s="53">
        <f t="shared" si="24"/>
        <v>3025600000</v>
      </c>
      <c r="AY129" s="41" t="s">
        <v>557</v>
      </c>
    </row>
    <row r="130" spans="1:51" x14ac:dyDescent="0.2">
      <c r="A130" s="41" t="s">
        <v>302</v>
      </c>
      <c r="B130" s="41">
        <v>2007</v>
      </c>
      <c r="C130" s="41" t="s">
        <v>87</v>
      </c>
      <c r="D130" s="41" t="s">
        <v>88</v>
      </c>
      <c r="E130" s="41">
        <v>100</v>
      </c>
      <c r="F130" s="41" t="s">
        <v>566</v>
      </c>
      <c r="G130" s="53">
        <v>31174000</v>
      </c>
      <c r="H130" s="46">
        <v>1.2139723478651396</v>
      </c>
      <c r="J130" s="54">
        <v>20.047114285646398</v>
      </c>
      <c r="K130" s="55">
        <v>2.7284528813580802E-2</v>
      </c>
      <c r="L130" s="56">
        <v>2.6783953389457976E-2</v>
      </c>
      <c r="M130" s="46">
        <v>1.1577602412344015</v>
      </c>
      <c r="R130" s="93">
        <v>1135137.7777777778</v>
      </c>
      <c r="S130" s="53">
        <v>329900</v>
      </c>
      <c r="U130" s="53">
        <f>10047407.41*31.1/1000</f>
        <v>312474.37045100005</v>
      </c>
      <c r="V130" s="76">
        <v>12267.806267806267</v>
      </c>
      <c r="W130" s="95">
        <v>6379.2592592592591</v>
      </c>
      <c r="X130" s="76">
        <v>8349.6296296296296</v>
      </c>
      <c r="Y130" s="93">
        <v>4174.8148148148148</v>
      </c>
      <c r="Z130" s="76">
        <v>546133.49461602059</v>
      </c>
      <c r="AA130" s="53">
        <v>291700</v>
      </c>
      <c r="AB130" s="94"/>
      <c r="AD130" s="94"/>
      <c r="AH130" s="53">
        <f t="shared" si="25"/>
        <v>29472111.291708767</v>
      </c>
      <c r="AM130" s="53">
        <v>84722000</v>
      </c>
      <c r="AO130" s="53">
        <f t="shared" si="26"/>
        <v>37844373.972347863</v>
      </c>
      <c r="AP130" s="53">
        <f t="shared" si="26"/>
        <v>0</v>
      </c>
      <c r="AQ130" s="53">
        <f t="shared" si="26"/>
        <v>624948740.74074078</v>
      </c>
      <c r="AR130" s="53">
        <f t="shared" si="26"/>
        <v>850567.90123456798</v>
      </c>
      <c r="AS130" s="53">
        <f t="shared" si="26"/>
        <v>834962.96296296292</v>
      </c>
      <c r="AT130" s="53">
        <f t="shared" si="26"/>
        <v>36092017.760241233</v>
      </c>
      <c r="AU130" s="53">
        <f t="shared" si="26"/>
        <v>0</v>
      </c>
      <c r="AV130" s="53">
        <f t="shared" si="26"/>
        <v>0</v>
      </c>
      <c r="AW130" s="53">
        <f t="shared" si="26"/>
        <v>0</v>
      </c>
      <c r="AX130" s="53">
        <f t="shared" si="24"/>
        <v>3117400000</v>
      </c>
      <c r="AY130" s="41" t="s">
        <v>557</v>
      </c>
    </row>
    <row r="131" spans="1:51" x14ac:dyDescent="0.2">
      <c r="A131" s="41" t="s">
        <v>302</v>
      </c>
      <c r="B131" s="41">
        <v>2008</v>
      </c>
      <c r="C131" s="41" t="s">
        <v>87</v>
      </c>
      <c r="D131" s="41" t="s">
        <v>88</v>
      </c>
      <c r="E131" s="41">
        <v>100</v>
      </c>
      <c r="F131" s="41" t="s">
        <v>566</v>
      </c>
      <c r="G131" s="53">
        <v>30438000</v>
      </c>
      <c r="H131" s="46">
        <v>1.2477248833694723</v>
      </c>
      <c r="J131" s="54">
        <v>22.063726384903859</v>
      </c>
      <c r="K131" s="55">
        <v>2.65944372653092E-2</v>
      </c>
      <c r="L131" s="56">
        <v>3.5803199217352574E-2</v>
      </c>
      <c r="M131" s="46">
        <v>1.4662329982259019</v>
      </c>
      <c r="R131" s="93">
        <v>1213804.4444444443</v>
      </c>
      <c r="S131" s="53">
        <v>343700</v>
      </c>
      <c r="U131" s="53">
        <f>10797037.04*31.1/1000</f>
        <v>335787.85194399999</v>
      </c>
      <c r="V131" s="76">
        <v>11675.213675213674</v>
      </c>
      <c r="W131" s="95">
        <v>6071.1111111111104</v>
      </c>
      <c r="X131" s="76">
        <v>10897.777777777777</v>
      </c>
      <c r="Y131" s="93">
        <v>5448.8888888888887</v>
      </c>
      <c r="Z131" s="76">
        <v>651166.36759496725</v>
      </c>
      <c r="AA131" s="53">
        <v>347800</v>
      </c>
      <c r="AB131" s="94"/>
      <c r="AD131" s="94"/>
      <c r="AH131" s="53">
        <f t="shared" si="25"/>
        <v>28550456.196507599</v>
      </c>
      <c r="AM131" s="53">
        <v>86130000</v>
      </c>
      <c r="AO131" s="53">
        <f t="shared" si="26"/>
        <v>37978250</v>
      </c>
      <c r="AP131" s="53">
        <f t="shared" si="26"/>
        <v>0</v>
      </c>
      <c r="AQ131" s="53">
        <f t="shared" si="26"/>
        <v>671575703.70370364</v>
      </c>
      <c r="AR131" s="53">
        <f t="shared" si="26"/>
        <v>809481.48148148146</v>
      </c>
      <c r="AS131" s="53">
        <f t="shared" si="26"/>
        <v>1089777.7777777778</v>
      </c>
      <c r="AT131" s="53">
        <f t="shared" si="26"/>
        <v>44629200</v>
      </c>
      <c r="AU131" s="53">
        <f t="shared" si="26"/>
        <v>0</v>
      </c>
      <c r="AV131" s="53">
        <f t="shared" si="26"/>
        <v>0</v>
      </c>
      <c r="AW131" s="53">
        <f t="shared" si="26"/>
        <v>0</v>
      </c>
      <c r="AX131" s="53">
        <f t="shared" si="24"/>
        <v>3043800000</v>
      </c>
      <c r="AY131" s="41" t="s">
        <v>557</v>
      </c>
    </row>
    <row r="132" spans="1:51" x14ac:dyDescent="0.2">
      <c r="A132" s="41" t="s">
        <v>302</v>
      </c>
      <c r="B132" s="41">
        <v>2009</v>
      </c>
      <c r="C132" s="41" t="s">
        <v>87</v>
      </c>
      <c r="D132" s="41" t="s">
        <v>88</v>
      </c>
      <c r="E132" s="41">
        <v>100</v>
      </c>
      <c r="F132" s="41" t="s">
        <v>566</v>
      </c>
      <c r="G132" s="53">
        <v>33573000</v>
      </c>
      <c r="H132" s="46">
        <v>1.1640333005689096</v>
      </c>
      <c r="J132" s="54">
        <v>25.481887451446323</v>
      </c>
      <c r="K132" s="55">
        <v>9.8609516097775494E-3</v>
      </c>
      <c r="L132" s="56">
        <v>7.476907700301498E-2</v>
      </c>
      <c r="M132" s="46">
        <v>1.7554984660292496</v>
      </c>
      <c r="R132" s="93">
        <v>1093466.6666666665</v>
      </c>
      <c r="S132" s="53">
        <v>316100</v>
      </c>
      <c r="U132" s="53">
        <f>13754074.07*31.1/1000</f>
        <v>427751.70357700001</v>
      </c>
      <c r="V132" s="76">
        <v>4774.9287749287741</v>
      </c>
      <c r="W132" s="95">
        <v>2482.9629629629626</v>
      </c>
      <c r="X132" s="76">
        <v>25102.222222222219</v>
      </c>
      <c r="Y132" s="93">
        <v>12551.111111111109</v>
      </c>
      <c r="Z132" s="76">
        <v>854304.81176993542</v>
      </c>
      <c r="AA132" s="53">
        <v>456300</v>
      </c>
      <c r="AB132" s="94"/>
      <c r="AD132" s="94"/>
      <c r="AH132" s="53">
        <f t="shared" si="25"/>
        <v>31595351.370566241</v>
      </c>
      <c r="AM132" s="53">
        <v>79924000</v>
      </c>
      <c r="AO132" s="53">
        <f t="shared" si="26"/>
        <v>39080090</v>
      </c>
      <c r="AP132" s="53">
        <f t="shared" si="26"/>
        <v>0</v>
      </c>
      <c r="AQ132" s="53">
        <f t="shared" si="26"/>
        <v>855503407.4074074</v>
      </c>
      <c r="AR132" s="53">
        <f t="shared" si="26"/>
        <v>331061.72839506168</v>
      </c>
      <c r="AS132" s="53">
        <f t="shared" si="26"/>
        <v>2510222.222222222</v>
      </c>
      <c r="AT132" s="53">
        <f t="shared" si="26"/>
        <v>58937350</v>
      </c>
      <c r="AU132" s="53">
        <f t="shared" si="26"/>
        <v>0</v>
      </c>
      <c r="AV132" s="53">
        <f t="shared" si="26"/>
        <v>0</v>
      </c>
      <c r="AW132" s="53">
        <f t="shared" si="26"/>
        <v>0</v>
      </c>
      <c r="AX132" s="53">
        <f t="shared" si="24"/>
        <v>3357300000</v>
      </c>
      <c r="AY132" s="41" t="s">
        <v>557</v>
      </c>
    </row>
    <row r="133" spans="1:51" x14ac:dyDescent="0.2">
      <c r="A133" s="41" t="s">
        <v>302</v>
      </c>
      <c r="B133" s="41">
        <v>2010</v>
      </c>
      <c r="C133" s="41" t="s">
        <v>87</v>
      </c>
      <c r="D133" s="41" t="s">
        <v>88</v>
      </c>
      <c r="E133" s="41">
        <v>100</v>
      </c>
      <c r="F133" s="41" t="s">
        <v>566</v>
      </c>
      <c r="G133" s="53">
        <v>36507000</v>
      </c>
      <c r="H133" s="46">
        <v>1.0002873421535596</v>
      </c>
      <c r="J133" s="54">
        <v>21.843758021039093</v>
      </c>
      <c r="K133" s="55">
        <v>1.2424932873244032E-2</v>
      </c>
      <c r="L133" s="56">
        <v>3.1928934988622176E-2</v>
      </c>
      <c r="M133" s="46">
        <v>1.392337086038294</v>
      </c>
      <c r="R133" s="93">
        <v>1027801.4814814815</v>
      </c>
      <c r="S133" s="53">
        <v>301500</v>
      </c>
      <c r="U133" s="53">
        <f>12820740.74*31.1/1000</f>
        <v>398725.037014</v>
      </c>
      <c r="V133" s="76">
        <v>6542.2647750507676</v>
      </c>
      <c r="W133" s="93">
        <v>3401.9776830263995</v>
      </c>
      <c r="X133" s="76">
        <v>11656.296296296296</v>
      </c>
      <c r="Y133" s="93">
        <v>5828.1481481481478</v>
      </c>
      <c r="Z133" s="76">
        <v>723060.52663937991</v>
      </c>
      <c r="AA133" s="53">
        <v>386200</v>
      </c>
      <c r="AB133" s="94"/>
      <c r="AD133" s="94"/>
      <c r="AH133" s="53">
        <f t="shared" si="25"/>
        <v>34737939.430807784</v>
      </c>
      <c r="AM133" s="53">
        <v>83533000</v>
      </c>
      <c r="AO133" s="53">
        <f t="shared" si="26"/>
        <v>36517490</v>
      </c>
      <c r="AP133" s="53">
        <f t="shared" si="26"/>
        <v>0</v>
      </c>
      <c r="AQ133" s="53">
        <f t="shared" si="26"/>
        <v>797450074.07407415</v>
      </c>
      <c r="AR133" s="53">
        <f t="shared" si="26"/>
        <v>453597.02440351987</v>
      </c>
      <c r="AS133" s="53">
        <f t="shared" si="26"/>
        <v>1165629.6296296299</v>
      </c>
      <c r="AT133" s="53">
        <f t="shared" si="26"/>
        <v>50830050</v>
      </c>
      <c r="AU133" s="53">
        <f t="shared" si="26"/>
        <v>0</v>
      </c>
      <c r="AV133" s="53">
        <f t="shared" si="26"/>
        <v>0</v>
      </c>
      <c r="AW133" s="53">
        <f t="shared" si="26"/>
        <v>0</v>
      </c>
      <c r="AX133" s="53">
        <f t="shared" si="24"/>
        <v>3650700000</v>
      </c>
      <c r="AY133" s="41" t="s">
        <v>557</v>
      </c>
    </row>
    <row r="134" spans="1:51" x14ac:dyDescent="0.2">
      <c r="A134" s="41" t="s">
        <v>302</v>
      </c>
      <c r="B134" s="41">
        <v>2011</v>
      </c>
      <c r="C134" s="41" t="s">
        <v>87</v>
      </c>
      <c r="D134" s="41" t="s">
        <v>88</v>
      </c>
      <c r="E134" s="41">
        <v>100</v>
      </c>
      <c r="F134" s="41" t="s">
        <v>566</v>
      </c>
      <c r="G134" s="53">
        <v>37593000</v>
      </c>
      <c r="H134" s="46">
        <v>1.0389375681642858</v>
      </c>
      <c r="J134" s="54">
        <v>17.86928417524539</v>
      </c>
      <c r="K134" s="55">
        <v>2.2201434439988205E-2</v>
      </c>
      <c r="L134" s="56">
        <v>1.1160470182096548E-2</v>
      </c>
      <c r="M134" s="46">
        <v>0.89254355864123636</v>
      </c>
      <c r="R134" s="93">
        <v>1185934.8148148148</v>
      </c>
      <c r="S134" s="53">
        <v>333700</v>
      </c>
      <c r="U134" s="53">
        <f>10800000*31.1/1000</f>
        <v>335880</v>
      </c>
      <c r="V134" s="76">
        <v>12037.767186093413</v>
      </c>
      <c r="W134" s="93">
        <v>6259.6389367685751</v>
      </c>
      <c r="X134" s="76">
        <v>4195.5555555555557</v>
      </c>
      <c r="Y134" s="93">
        <v>2097.7777777777778</v>
      </c>
      <c r="Z134" s="76">
        <v>440726.17289205088</v>
      </c>
      <c r="AA134" s="53">
        <v>235400</v>
      </c>
      <c r="AB134" s="94"/>
      <c r="AD134" s="94"/>
      <c r="AH134" s="53">
        <f t="shared" si="25"/>
        <v>35950105.689551495</v>
      </c>
      <c r="AM134" s="53">
        <v>120201000</v>
      </c>
      <c r="AO134" s="53">
        <f t="shared" si="26"/>
        <v>39056780</v>
      </c>
      <c r="AP134" s="53">
        <f t="shared" si="26"/>
        <v>0</v>
      </c>
      <c r="AQ134" s="53">
        <f t="shared" si="26"/>
        <v>671760000</v>
      </c>
      <c r="AR134" s="53">
        <f t="shared" si="26"/>
        <v>834618.52490247658</v>
      </c>
      <c r="AS134" s="53">
        <f t="shared" si="26"/>
        <v>419555.55555555556</v>
      </c>
      <c r="AT134" s="53">
        <f t="shared" si="26"/>
        <v>33553390</v>
      </c>
      <c r="AU134" s="53">
        <f t="shared" si="26"/>
        <v>0</v>
      </c>
      <c r="AV134" s="53">
        <f t="shared" si="26"/>
        <v>0</v>
      </c>
      <c r="AW134" s="53">
        <f t="shared" si="26"/>
        <v>0</v>
      </c>
      <c r="AX134" s="53">
        <f t="shared" si="24"/>
        <v>3759300000</v>
      </c>
      <c r="AY134" s="41" t="s">
        <v>557</v>
      </c>
    </row>
    <row r="135" spans="1:51" x14ac:dyDescent="0.2">
      <c r="A135" s="41" t="s">
        <v>302</v>
      </c>
      <c r="B135" s="41">
        <v>2012</v>
      </c>
      <c r="C135" s="41" t="s">
        <v>87</v>
      </c>
      <c r="D135" s="41" t="s">
        <v>88</v>
      </c>
      <c r="E135" s="41">
        <v>100</v>
      </c>
      <c r="F135" s="41" t="s">
        <v>566</v>
      </c>
      <c r="G135" s="53">
        <v>46483000</v>
      </c>
      <c r="H135" s="46">
        <v>1.1045666157519953</v>
      </c>
      <c r="J135" s="54">
        <v>16.12092035240283</v>
      </c>
      <c r="K135" s="55">
        <v>1.5743458885420739E-2</v>
      </c>
      <c r="L135" s="56">
        <v>1.197092365906771E-2</v>
      </c>
      <c r="M135" s="46">
        <v>0.80464427855344967</v>
      </c>
      <c r="R135" s="93">
        <v>1584130.3703703703</v>
      </c>
      <c r="S135" s="53">
        <v>446800</v>
      </c>
      <c r="U135" s="53">
        <f>12047407.41*31.1/1000</f>
        <v>374674.37045100005</v>
      </c>
      <c r="V135" s="76">
        <v>10554.853837081906</v>
      </c>
      <c r="W135" s="93">
        <v>5488.5239952825914</v>
      </c>
      <c r="X135" s="76">
        <v>5564.4444444444443</v>
      </c>
      <c r="Y135" s="93">
        <v>2782.2222222222222</v>
      </c>
      <c r="Z135" s="76">
        <v>410021.37580016628</v>
      </c>
      <c r="AA135" s="53">
        <v>219000</v>
      </c>
      <c r="AB135" s="94"/>
      <c r="AD135" s="94"/>
      <c r="AH135" s="53">
        <f t="shared" si="25"/>
        <v>44472728.955547929</v>
      </c>
      <c r="AM135" s="53">
        <v>146975000</v>
      </c>
      <c r="AO135" s="53">
        <f t="shared" si="26"/>
        <v>51343570</v>
      </c>
      <c r="AP135" s="53">
        <f t="shared" si="26"/>
        <v>0</v>
      </c>
      <c r="AQ135" s="53">
        <f t="shared" si="26"/>
        <v>749348740.74074078</v>
      </c>
      <c r="AR135" s="53">
        <f t="shared" si="26"/>
        <v>731803.19937101216</v>
      </c>
      <c r="AS135" s="53">
        <f t="shared" si="26"/>
        <v>556444.44444444438</v>
      </c>
      <c r="AT135" s="53">
        <f t="shared" si="26"/>
        <v>37402280</v>
      </c>
      <c r="AU135" s="53">
        <f t="shared" si="26"/>
        <v>0</v>
      </c>
      <c r="AV135" s="53">
        <f t="shared" si="26"/>
        <v>0</v>
      </c>
      <c r="AW135" s="53">
        <f t="shared" si="26"/>
        <v>0</v>
      </c>
      <c r="AX135" s="53">
        <f t="shared" si="24"/>
        <v>4648300000</v>
      </c>
      <c r="AY135" s="41" t="s">
        <v>557</v>
      </c>
    </row>
    <row r="136" spans="1:51" x14ac:dyDescent="0.2">
      <c r="A136" s="41" t="s">
        <v>302</v>
      </c>
      <c r="B136" s="41">
        <v>2013</v>
      </c>
      <c r="C136" s="41" t="s">
        <v>87</v>
      </c>
      <c r="D136" s="41" t="s">
        <v>88</v>
      </c>
      <c r="E136" s="41">
        <v>100</v>
      </c>
      <c r="F136" s="41" t="s">
        <v>566</v>
      </c>
      <c r="G136" s="53">
        <v>47040000</v>
      </c>
      <c r="H136" s="46">
        <v>1.0740204081632654</v>
      </c>
      <c r="J136" s="54">
        <v>18.234520030234314</v>
      </c>
      <c r="K136" s="55">
        <v>1.2656420592928529E-2</v>
      </c>
      <c r="L136" s="56">
        <v>1.6213151927437643E-2</v>
      </c>
      <c r="M136" s="46">
        <v>0.80533375850340139</v>
      </c>
      <c r="R136" s="76">
        <v>1463581.6413569446</v>
      </c>
      <c r="S136" s="53">
        <v>427259.25925925921</v>
      </c>
      <c r="U136" s="53">
        <f>13790222.22*31.1/1000</f>
        <v>428875.91104200005</v>
      </c>
      <c r="V136" s="76">
        <v>8586.8945868945866</v>
      </c>
      <c r="W136" s="93">
        <v>4465.1851851851852</v>
      </c>
      <c r="X136" s="76">
        <v>7626.6666666666661</v>
      </c>
      <c r="Y136" s="93">
        <v>3813.333333333333</v>
      </c>
      <c r="Z136" s="76">
        <v>410933.92126025929</v>
      </c>
      <c r="AA136" s="53">
        <v>219487.40740740739</v>
      </c>
      <c r="AB136" s="94"/>
      <c r="AD136" s="94"/>
      <c r="AH136" s="53">
        <f t="shared" si="25"/>
        <v>45149270.87612924</v>
      </c>
      <c r="AM136" s="53">
        <v>164546000</v>
      </c>
      <c r="AO136" s="53">
        <f t="shared" si="26"/>
        <v>50521920</v>
      </c>
      <c r="AP136" s="53">
        <f t="shared" si="26"/>
        <v>0</v>
      </c>
      <c r="AQ136" s="53">
        <f t="shared" si="26"/>
        <v>857751822.22222221</v>
      </c>
      <c r="AR136" s="53">
        <f t="shared" si="26"/>
        <v>595358.02469135798</v>
      </c>
      <c r="AS136" s="53">
        <f t="shared" si="26"/>
        <v>762666.66666666674</v>
      </c>
      <c r="AT136" s="53">
        <f t="shared" si="26"/>
        <v>37882900</v>
      </c>
      <c r="AU136" s="53">
        <f t="shared" si="26"/>
        <v>0</v>
      </c>
      <c r="AV136" s="53">
        <f t="shared" si="26"/>
        <v>0</v>
      </c>
      <c r="AW136" s="53">
        <f t="shared" si="26"/>
        <v>0</v>
      </c>
      <c r="AX136" s="53">
        <f t="shared" si="24"/>
        <v>4704000000</v>
      </c>
      <c r="AY136" s="41" t="s">
        <v>557</v>
      </c>
    </row>
    <row r="137" spans="1:51" x14ac:dyDescent="0.2">
      <c r="A137" s="41" t="s">
        <v>302</v>
      </c>
      <c r="B137" s="41">
        <v>2014</v>
      </c>
      <c r="C137" s="41" t="s">
        <v>87</v>
      </c>
      <c r="D137" s="41" t="s">
        <v>88</v>
      </c>
      <c r="E137" s="41">
        <v>100</v>
      </c>
      <c r="F137" s="41" t="s">
        <v>566</v>
      </c>
      <c r="G137" s="53">
        <v>50449000</v>
      </c>
      <c r="H137" s="46">
        <v>0.82519732799460843</v>
      </c>
      <c r="J137" s="54">
        <v>13.308319439580714</v>
      </c>
      <c r="K137" s="55">
        <v>3.7510073123597008E-3</v>
      </c>
      <c r="L137" s="56">
        <v>2.2071428204354523E-2</v>
      </c>
      <c r="M137" s="46">
        <v>0.65600864239132595</v>
      </c>
      <c r="R137" s="76">
        <v>1138792.3728172621</v>
      </c>
      <c r="S137" s="53">
        <v>332444.44444444444</v>
      </c>
      <c r="U137" s="53">
        <f>10794074.07*31.1/1000</f>
        <v>335695.70357700001</v>
      </c>
      <c r="V137" s="76">
        <v>2729.3447293447289</v>
      </c>
      <c r="W137" s="93">
        <v>1419.2592592592591</v>
      </c>
      <c r="X137" s="76">
        <v>11134.814814814814</v>
      </c>
      <c r="Y137" s="93">
        <v>5567.4074074074069</v>
      </c>
      <c r="Z137" s="76">
        <v>331689.47203576576</v>
      </c>
      <c r="AA137" s="53">
        <v>177161.48148148146</v>
      </c>
      <c r="AB137" s="94"/>
      <c r="AD137" s="94"/>
      <c r="AH137" s="53">
        <f t="shared" si="25"/>
        <v>48964653.995602816</v>
      </c>
      <c r="AM137" s="53">
        <v>143835000</v>
      </c>
      <c r="AO137" s="53">
        <f t="shared" si="26"/>
        <v>41630380</v>
      </c>
      <c r="AP137" s="53">
        <f t="shared" si="26"/>
        <v>0</v>
      </c>
      <c r="AQ137" s="53">
        <f t="shared" si="26"/>
        <v>671391407.4074074</v>
      </c>
      <c r="AR137" s="53">
        <f t="shared" si="26"/>
        <v>189234.56790123455</v>
      </c>
      <c r="AS137" s="53">
        <f t="shared" si="26"/>
        <v>1113481.4814814813</v>
      </c>
      <c r="AT137" s="53">
        <f t="shared" si="26"/>
        <v>33094980.000000004</v>
      </c>
      <c r="AU137" s="53">
        <f t="shared" si="26"/>
        <v>0</v>
      </c>
      <c r="AV137" s="53">
        <f t="shared" si="26"/>
        <v>0</v>
      </c>
      <c r="AW137" s="53">
        <f t="shared" si="26"/>
        <v>0</v>
      </c>
      <c r="AX137" s="53">
        <f t="shared" si="24"/>
        <v>5044900000</v>
      </c>
      <c r="AY137" s="41" t="s">
        <v>557</v>
      </c>
    </row>
    <row r="138" spans="1:51" x14ac:dyDescent="0.2">
      <c r="A138" s="41" t="s">
        <v>302</v>
      </c>
      <c r="B138" s="41">
        <v>2015</v>
      </c>
      <c r="C138" s="41" t="s">
        <v>87</v>
      </c>
      <c r="D138" s="41" t="s">
        <v>88</v>
      </c>
      <c r="E138" s="41">
        <v>100</v>
      </c>
      <c r="F138" s="41" t="s">
        <v>566</v>
      </c>
      <c r="G138" s="53">
        <v>56195000</v>
      </c>
      <c r="H138" s="46">
        <v>0.8325192632796512</v>
      </c>
      <c r="J138" s="54">
        <v>17.673685216491517</v>
      </c>
      <c r="K138" s="55">
        <v>4.7875618300033283E-3</v>
      </c>
      <c r="L138" s="56">
        <v>2.9758809436716726E-2</v>
      </c>
      <c r="M138" s="46">
        <v>0.64580051606014766</v>
      </c>
      <c r="R138" s="76">
        <v>1289007.4095168654</v>
      </c>
      <c r="S138" s="53">
        <v>376296.29629629629</v>
      </c>
      <c r="U138" s="53">
        <f>15967407.41*31.1/1000</f>
        <v>496586.37045100005</v>
      </c>
      <c r="V138" s="76">
        <v>3880.3418803418799</v>
      </c>
      <c r="W138" s="93">
        <v>2017.7777777777776</v>
      </c>
      <c r="X138" s="76">
        <v>16722.962962962964</v>
      </c>
      <c r="Y138" s="93">
        <v>8361.4814814814818</v>
      </c>
      <c r="Z138" s="76">
        <v>368784.86104270932</v>
      </c>
      <c r="AA138" s="53">
        <v>196974.8148148148</v>
      </c>
      <c r="AB138" s="94"/>
      <c r="AD138" s="94"/>
      <c r="AH138" s="53">
        <f t="shared" si="25"/>
        <v>54516604.424597122</v>
      </c>
      <c r="AM138" s="53">
        <v>159459000</v>
      </c>
      <c r="AO138" s="53">
        <f t="shared" si="26"/>
        <v>46783420</v>
      </c>
      <c r="AP138" s="53">
        <f t="shared" si="26"/>
        <v>0</v>
      </c>
      <c r="AQ138" s="53">
        <f t="shared" si="26"/>
        <v>993172740.74074078</v>
      </c>
      <c r="AR138" s="53">
        <f t="shared" si="26"/>
        <v>269037.03703703702</v>
      </c>
      <c r="AS138" s="53">
        <f t="shared" si="26"/>
        <v>1672296.2962962964</v>
      </c>
      <c r="AT138" s="53">
        <f t="shared" si="26"/>
        <v>36290760</v>
      </c>
      <c r="AU138" s="53">
        <f t="shared" si="26"/>
        <v>0</v>
      </c>
      <c r="AV138" s="53">
        <f t="shared" si="26"/>
        <v>0</v>
      </c>
      <c r="AW138" s="53">
        <f t="shared" si="26"/>
        <v>0</v>
      </c>
      <c r="AX138" s="53">
        <f t="shared" si="24"/>
        <v>5619500000</v>
      </c>
      <c r="AY138" s="41" t="s">
        <v>557</v>
      </c>
    </row>
    <row r="139" spans="1:51" x14ac:dyDescent="0.2">
      <c r="A139" s="41" t="s">
        <v>302</v>
      </c>
      <c r="B139" s="41">
        <v>2016</v>
      </c>
      <c r="C139" s="41" t="s">
        <v>87</v>
      </c>
      <c r="D139" s="41" t="s">
        <v>88</v>
      </c>
      <c r="E139" s="41">
        <v>100</v>
      </c>
      <c r="F139" s="41" t="s">
        <v>566</v>
      </c>
      <c r="G139" s="53">
        <v>54046000</v>
      </c>
      <c r="H139" s="46">
        <v>0.8976764237871443</v>
      </c>
      <c r="J139" s="54">
        <v>20.800936376557146</v>
      </c>
      <c r="K139" s="55">
        <v>1.1512826522262926E-2</v>
      </c>
      <c r="L139" s="56">
        <v>4.6095164475803189E-2</v>
      </c>
      <c r="M139" s="46">
        <v>0.56974725234059875</v>
      </c>
      <c r="R139" s="76">
        <v>1422982.9827894843</v>
      </c>
      <c r="S139" s="53">
        <v>415407.40740740736</v>
      </c>
      <c r="U139" s="53">
        <f>18074074.07*31.1/1000</f>
        <v>562103.70357700007</v>
      </c>
      <c r="V139" s="76">
        <v>8974.3589743589728</v>
      </c>
      <c r="W139" s="93">
        <v>4666.6666666666661</v>
      </c>
      <c r="X139" s="76">
        <v>24912.592592592591</v>
      </c>
      <c r="Y139" s="93">
        <v>12456.296296296296</v>
      </c>
      <c r="Z139" s="76">
        <v>311541.35585912177</v>
      </c>
      <c r="AA139" s="53">
        <v>166400</v>
      </c>
      <c r="AB139" s="94"/>
      <c r="AD139" s="94"/>
      <c r="AH139" s="53">
        <f t="shared" si="25"/>
        <v>52277588.709784441</v>
      </c>
      <c r="AM139" s="53">
        <v>190396000</v>
      </c>
      <c r="AO139" s="53">
        <f t="shared" si="26"/>
        <v>48515820</v>
      </c>
      <c r="AP139" s="53">
        <f t="shared" si="26"/>
        <v>0</v>
      </c>
      <c r="AQ139" s="53">
        <f t="shared" si="26"/>
        <v>1124207407.4074075</v>
      </c>
      <c r="AR139" s="53">
        <f t="shared" si="26"/>
        <v>622222.22222222213</v>
      </c>
      <c r="AS139" s="53">
        <f t="shared" si="26"/>
        <v>2491259.2592592593</v>
      </c>
      <c r="AT139" s="53">
        <f t="shared" si="26"/>
        <v>30792560</v>
      </c>
      <c r="AU139" s="53">
        <f t="shared" si="26"/>
        <v>0</v>
      </c>
      <c r="AV139" s="53">
        <f t="shared" si="26"/>
        <v>0</v>
      </c>
      <c r="AW139" s="53">
        <f t="shared" si="26"/>
        <v>0</v>
      </c>
      <c r="AX139" s="53">
        <f t="shared" si="24"/>
        <v>5404600000</v>
      </c>
      <c r="AY139" s="41" t="s">
        <v>557</v>
      </c>
    </row>
    <row r="140" spans="1:51" x14ac:dyDescent="0.2">
      <c r="A140" s="41" t="s">
        <v>302</v>
      </c>
      <c r="B140" s="41" t="s">
        <v>567</v>
      </c>
      <c r="C140" s="41" t="s">
        <v>87</v>
      </c>
      <c r="D140" s="41" t="s">
        <v>88</v>
      </c>
      <c r="E140" s="41">
        <v>100</v>
      </c>
      <c r="F140" s="41" t="s">
        <v>566</v>
      </c>
      <c r="G140" s="53">
        <f>11955000+13229000</f>
        <v>25184000</v>
      </c>
      <c r="H140" s="46">
        <f>(0.88*11955000+1*13229000)/G140</f>
        <v>0.94303526048284625</v>
      </c>
      <c r="J140" s="54">
        <v>20.800936376557146</v>
      </c>
      <c r="K140" s="55">
        <v>1.1512826522262926E-2</v>
      </c>
      <c r="L140" s="56">
        <v>4.6095164475803189E-2</v>
      </c>
      <c r="M140" s="46">
        <f>(0.84*11955000+0.95*13229000)/G140</f>
        <v>0.89778232210927578</v>
      </c>
      <c r="R140" s="76">
        <v>687132.29625426605</v>
      </c>
      <c r="S140" s="53">
        <f>(29200+38500)/0.3375</f>
        <v>200592.59259259258</v>
      </c>
      <c r="U140" s="53">
        <f>(1301000+1691000)*(31.1/1000)/0.3375</f>
        <v>275707.25925925927</v>
      </c>
      <c r="V140" s="76">
        <v>2039.8860398860397</v>
      </c>
      <c r="W140" s="53">
        <f>(30+328)/0.3375</f>
        <v>1060.7407407407406</v>
      </c>
      <c r="X140" s="76">
        <v>18411.85185185185</v>
      </c>
      <c r="Y140" s="53">
        <f>(1308+1799)/0.3375</f>
        <v>9205.9259259259252</v>
      </c>
      <c r="Z140" s="76">
        <v>275866.09838885796</v>
      </c>
      <c r="AA140" s="53">
        <f>(20653+29076)/0.3375</f>
        <v>147345.18518518517</v>
      </c>
      <c r="AB140" s="94"/>
      <c r="AD140" s="94"/>
      <c r="AH140" s="53">
        <f t="shared" si="25"/>
        <v>24200549.867465138</v>
      </c>
      <c r="AM140" s="53">
        <f>(55771000-11955000)+(62254000-13229000)</f>
        <v>92841000</v>
      </c>
      <c r="AO140" s="53">
        <f t="shared" si="26"/>
        <v>23749400</v>
      </c>
      <c r="AP140" s="53">
        <f t="shared" si="26"/>
        <v>0</v>
      </c>
      <c r="AQ140" s="53">
        <f t="shared" si="26"/>
        <v>523850781.70721519</v>
      </c>
      <c r="AR140" s="53">
        <f t="shared" si="26"/>
        <v>289939.02313666954</v>
      </c>
      <c r="AS140" s="53">
        <f t="shared" si="26"/>
        <v>1160860.6221586275</v>
      </c>
      <c r="AT140" s="53">
        <f t="shared" si="26"/>
        <v>22609750</v>
      </c>
      <c r="AU140" s="53">
        <f t="shared" si="26"/>
        <v>0</v>
      </c>
      <c r="AV140" s="53">
        <f t="shared" si="26"/>
        <v>0</v>
      </c>
      <c r="AW140" s="53">
        <f t="shared" si="26"/>
        <v>0</v>
      </c>
      <c r="AX140" s="53">
        <f t="shared" si="24"/>
        <v>2518400000</v>
      </c>
      <c r="AY140" s="41" t="s">
        <v>557</v>
      </c>
    </row>
    <row r="141" spans="1:51" x14ac:dyDescent="0.2">
      <c r="A141" s="41" t="s">
        <v>302</v>
      </c>
      <c r="B141" s="60" t="s">
        <v>559</v>
      </c>
      <c r="C141" s="60" t="s">
        <v>87</v>
      </c>
      <c r="D141" s="60" t="s">
        <v>88</v>
      </c>
      <c r="E141" s="60">
        <v>100</v>
      </c>
      <c r="F141" s="60" t="s">
        <v>566</v>
      </c>
      <c r="G141" s="79">
        <f>SUM(G123:G140)</f>
        <v>606598000</v>
      </c>
      <c r="H141" s="80">
        <f>AO141/$G141</f>
        <v>1.0991738580944017</v>
      </c>
      <c r="J141" s="78">
        <f>AQ141/$G141</f>
        <v>18.430381019316844</v>
      </c>
      <c r="K141" s="89">
        <f>AR141/$G141</f>
        <v>1.4156125679445197E-2</v>
      </c>
      <c r="L141" s="80">
        <f>AS141/$G141</f>
        <v>3.0522086980924644E-2</v>
      </c>
      <c r="M141" s="80">
        <f>AT141/$G141</f>
        <v>0.9812504785051076</v>
      </c>
      <c r="R141" s="79">
        <f>SUM(R123:R140)</f>
        <v>19517877.406438529</v>
      </c>
      <c r="S141" s="79">
        <f>SUM(S123:S140)</f>
        <v>5697798.88415132</v>
      </c>
      <c r="U141" s="79">
        <f t="shared" ref="U141:AA141" si="27">SUM(U123:U140)</f>
        <v>5523351.1667349599</v>
      </c>
      <c r="V141" s="79">
        <f t="shared" si="27"/>
        <v>121662.07596916624</v>
      </c>
      <c r="W141" s="79">
        <f t="shared" si="27"/>
        <v>63289.279503966449</v>
      </c>
      <c r="X141" s="79">
        <f t="shared" si="27"/>
        <v>191949.61481481482</v>
      </c>
      <c r="Y141" s="79">
        <f t="shared" si="27"/>
        <v>95974.80740740741</v>
      </c>
      <c r="Z141" s="79">
        <f t="shared" si="27"/>
        <v>7534598.7033896726</v>
      </c>
      <c r="AA141" s="79">
        <f t="shared" si="27"/>
        <v>4024368.5169393285</v>
      </c>
      <c r="AH141" s="79">
        <f>SUM(AH123:AH140)</f>
        <v>579231912.19938779</v>
      </c>
      <c r="AM141" s="79">
        <f>SUM(AM123:AM140)</f>
        <v>1983878000</v>
      </c>
      <c r="AO141" s="79">
        <f>SUM(AO123:AO140)</f>
        <v>666756663.97234786</v>
      </c>
      <c r="AP141" s="79">
        <f t="shared" ref="AP141:AX141" si="28">SUM(AP123:AP140)</f>
        <v>0</v>
      </c>
      <c r="AQ141" s="79">
        <f t="shared" si="28"/>
        <v>11179832265.555559</v>
      </c>
      <c r="AR141" s="79">
        <f t="shared" si="28"/>
        <v>8587077.5249000974</v>
      </c>
      <c r="AS141" s="79">
        <f t="shared" si="28"/>
        <v>18514636.918454926</v>
      </c>
      <c r="AT141" s="79">
        <f t="shared" si="28"/>
        <v>595224577.76024127</v>
      </c>
      <c r="AU141" s="79">
        <f t="shared" si="28"/>
        <v>0</v>
      </c>
      <c r="AV141" s="79">
        <f t="shared" si="28"/>
        <v>0</v>
      </c>
      <c r="AW141" s="79">
        <f t="shared" si="28"/>
        <v>0</v>
      </c>
      <c r="AX141" s="79">
        <f t="shared" si="28"/>
        <v>60659800000</v>
      </c>
      <c r="AY141" s="41" t="s">
        <v>557</v>
      </c>
    </row>
    <row r="142" spans="1:51" x14ac:dyDescent="0.2">
      <c r="A142" s="41" t="s">
        <v>302</v>
      </c>
      <c r="B142" s="43" t="s">
        <v>560</v>
      </c>
      <c r="G142" s="53">
        <f>STDEV(G123:G140)</f>
        <v>11594319.468652591</v>
      </c>
      <c r="H142" s="46">
        <f>STDEV(H123:H140)</f>
        <v>0.21872869346792534</v>
      </c>
      <c r="J142" s="47">
        <f>STDEV(J123:J140)</f>
        <v>3.4110478632134473</v>
      </c>
      <c r="K142" s="42">
        <f>STDEV(K123:K140)</f>
        <v>1.0206003930173266E-2</v>
      </c>
      <c r="L142" s="46">
        <f>STDEV(L123:L140)</f>
        <v>1.4732859342654113E-2</v>
      </c>
      <c r="M142" s="46">
        <f>STDEV(M123:M140)</f>
        <v>0.38204324066369738</v>
      </c>
      <c r="R142" s="53">
        <f>STDEV(R123:R140)</f>
        <v>307639.33551022591</v>
      </c>
      <c r="S142" s="53">
        <f>STDEV(S123:S140)</f>
        <v>73990.225453344203</v>
      </c>
      <c r="U142" s="53">
        <f t="shared" ref="U142:AA142" si="29">STDEV(U123:U140)</f>
        <v>121433.23184031076</v>
      </c>
      <c r="V142" s="53">
        <f t="shared" si="29"/>
        <v>4767.5957475453561</v>
      </c>
      <c r="W142" s="53">
        <f t="shared" si="29"/>
        <v>2481.0306026911403</v>
      </c>
      <c r="X142" s="53">
        <f t="shared" si="29"/>
        <v>6385.8978986697239</v>
      </c>
      <c r="Y142" s="53">
        <f t="shared" si="29"/>
        <v>3192.9489493348619</v>
      </c>
      <c r="Z142" s="53">
        <f t="shared" si="29"/>
        <v>189595.2344659355</v>
      </c>
      <c r="AA142" s="53">
        <f t="shared" si="29"/>
        <v>101343.77533593979</v>
      </c>
      <c r="AH142" s="53">
        <f>STDEV(AH123:AH140)</f>
        <v>11376521.579303315</v>
      </c>
      <c r="AM142" s="53">
        <f>STDEV(AM123:AM140)</f>
        <v>35033440.480610766</v>
      </c>
      <c r="AY142" s="41" t="s">
        <v>557</v>
      </c>
    </row>
    <row r="143" spans="1:51" x14ac:dyDescent="0.2">
      <c r="A143" s="41" t="s">
        <v>302</v>
      </c>
      <c r="B143" s="81" t="s">
        <v>249</v>
      </c>
      <c r="G143" s="41">
        <f>COUNT(G123:G140)</f>
        <v>17</v>
      </c>
      <c r="H143" s="41">
        <f>COUNT(H123:H140)</f>
        <v>17</v>
      </c>
      <c r="J143" s="41">
        <f>COUNT(J123:J140)</f>
        <v>17</v>
      </c>
      <c r="K143" s="41">
        <f>COUNT(K123:K140)</f>
        <v>17</v>
      </c>
      <c r="L143" s="41">
        <f>COUNT(L123:L140)</f>
        <v>17</v>
      </c>
      <c r="M143" s="41">
        <f>COUNT(M123:M140)</f>
        <v>17</v>
      </c>
      <c r="R143" s="41">
        <f>COUNT(R123:R140)</f>
        <v>17</v>
      </c>
      <c r="S143" s="41">
        <f>COUNT(S123:S140)</f>
        <v>17</v>
      </c>
      <c r="U143" s="41">
        <f t="shared" ref="U143:AA143" si="30">COUNT(U123:U140)</f>
        <v>17</v>
      </c>
      <c r="V143" s="41">
        <f t="shared" si="30"/>
        <v>17</v>
      </c>
      <c r="W143" s="41">
        <f t="shared" si="30"/>
        <v>17</v>
      </c>
      <c r="X143" s="41">
        <f t="shared" si="30"/>
        <v>17</v>
      </c>
      <c r="Y143" s="41">
        <f t="shared" si="30"/>
        <v>17</v>
      </c>
      <c r="Z143" s="41">
        <f t="shared" si="30"/>
        <v>17</v>
      </c>
      <c r="AA143" s="41">
        <f t="shared" si="30"/>
        <v>17</v>
      </c>
      <c r="AH143" s="41">
        <f>COUNT(AH123:AH140)</f>
        <v>17</v>
      </c>
      <c r="AM143" s="41">
        <f>COUNT(AM123:AM140)</f>
        <v>18</v>
      </c>
      <c r="AY143" s="41" t="s">
        <v>557</v>
      </c>
    </row>
    <row r="144" spans="1:51" x14ac:dyDescent="0.2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41" t="s">
        <v>557</v>
      </c>
    </row>
    <row r="145" spans="1:51" x14ac:dyDescent="0.2">
      <c r="A145" s="48" t="s">
        <v>469</v>
      </c>
      <c r="B145" s="41">
        <v>1993</v>
      </c>
      <c r="C145" s="41" t="s">
        <v>87</v>
      </c>
      <c r="D145" s="41" t="s">
        <v>113</v>
      </c>
      <c r="E145" s="41">
        <v>100</v>
      </c>
      <c r="F145" s="41" t="s">
        <v>390</v>
      </c>
      <c r="G145" s="76">
        <f>1000*T145/I145/0.75</f>
        <v>1475126.7096774194</v>
      </c>
      <c r="I145" s="54">
        <f>0.062*31.1/0.9072</f>
        <v>2.1254409171075839</v>
      </c>
      <c r="T145" s="53">
        <f>75610*31.1/1000</f>
        <v>2351.471</v>
      </c>
      <c r="AM145" s="76">
        <f t="shared" ref="AM145:AM156" si="31">2*G145</f>
        <v>2950253.4193548388</v>
      </c>
      <c r="AO145" s="53">
        <f t="shared" ref="AO145:AW165" si="32">$G145*H145</f>
        <v>0</v>
      </c>
      <c r="AP145" s="53">
        <f t="shared" si="32"/>
        <v>3135294.666666667</v>
      </c>
      <c r="AQ145" s="53">
        <f t="shared" si="32"/>
        <v>0</v>
      </c>
      <c r="AR145" s="53">
        <f t="shared" si="32"/>
        <v>0</v>
      </c>
      <c r="AS145" s="53">
        <f t="shared" si="32"/>
        <v>0</v>
      </c>
      <c r="AT145" s="53">
        <f t="shared" si="32"/>
        <v>0</v>
      </c>
      <c r="AU145" s="53">
        <f t="shared" si="32"/>
        <v>0</v>
      </c>
      <c r="AV145" s="53">
        <f t="shared" si="32"/>
        <v>0</v>
      </c>
      <c r="AW145" s="53">
        <f t="shared" si="32"/>
        <v>0</v>
      </c>
      <c r="AX145" s="53">
        <f t="shared" ref="AX145:AX168" si="33">$G145*E145</f>
        <v>147512670.96774194</v>
      </c>
      <c r="AY145" s="41" t="s">
        <v>557</v>
      </c>
    </row>
    <row r="146" spans="1:51" x14ac:dyDescent="0.2">
      <c r="A146" s="48" t="s">
        <v>469</v>
      </c>
      <c r="B146" s="41">
        <v>1994</v>
      </c>
      <c r="C146" s="41" t="s">
        <v>87</v>
      </c>
      <c r="D146" s="41" t="s">
        <v>113</v>
      </c>
      <c r="E146" s="41">
        <v>100</v>
      </c>
      <c r="F146" s="41" t="s">
        <v>390</v>
      </c>
      <c r="G146" s="76">
        <f>1000*T146/I146/0.75</f>
        <v>1560774.1935483869</v>
      </c>
      <c r="I146" s="54">
        <f>0.062*31.1/0.9072</f>
        <v>2.1254409171075839</v>
      </c>
      <c r="T146" s="53">
        <f>80000*31.1/1000</f>
        <v>2488</v>
      </c>
      <c r="AM146" s="76">
        <f t="shared" si="31"/>
        <v>3121548.3870967738</v>
      </c>
      <c r="AO146" s="53">
        <f t="shared" si="32"/>
        <v>0</v>
      </c>
      <c r="AP146" s="53">
        <f t="shared" si="32"/>
        <v>3317333.333333333</v>
      </c>
      <c r="AQ146" s="53">
        <f t="shared" si="32"/>
        <v>0</v>
      </c>
      <c r="AR146" s="53">
        <f t="shared" si="32"/>
        <v>0</v>
      </c>
      <c r="AS146" s="53">
        <f t="shared" si="32"/>
        <v>0</v>
      </c>
      <c r="AT146" s="53">
        <f t="shared" si="32"/>
        <v>0</v>
      </c>
      <c r="AU146" s="53">
        <f t="shared" si="32"/>
        <v>0</v>
      </c>
      <c r="AV146" s="53">
        <f t="shared" si="32"/>
        <v>0</v>
      </c>
      <c r="AW146" s="53">
        <f t="shared" si="32"/>
        <v>0</v>
      </c>
      <c r="AX146" s="53">
        <f t="shared" si="33"/>
        <v>156077419.3548387</v>
      </c>
      <c r="AY146" s="41" t="s">
        <v>557</v>
      </c>
    </row>
    <row r="147" spans="1:51" x14ac:dyDescent="0.2">
      <c r="A147" s="48" t="s">
        <v>469</v>
      </c>
      <c r="B147" s="41">
        <v>1995</v>
      </c>
      <c r="C147" s="41" t="s">
        <v>87</v>
      </c>
      <c r="D147" s="41" t="s">
        <v>113</v>
      </c>
      <c r="E147" s="41">
        <v>100</v>
      </c>
      <c r="F147" s="41" t="s">
        <v>390</v>
      </c>
      <c r="G147" s="53">
        <v>2632000</v>
      </c>
      <c r="I147" s="41">
        <v>1.6</v>
      </c>
      <c r="T147" s="53">
        <f>114215*31.1/1000</f>
        <v>3552.0864999999999</v>
      </c>
      <c r="AM147" s="76">
        <f t="shared" si="31"/>
        <v>5264000</v>
      </c>
      <c r="AO147" s="53">
        <f t="shared" si="32"/>
        <v>0</v>
      </c>
      <c r="AP147" s="53">
        <f t="shared" si="32"/>
        <v>4211200</v>
      </c>
      <c r="AQ147" s="53">
        <f t="shared" si="32"/>
        <v>0</v>
      </c>
      <c r="AR147" s="53">
        <f t="shared" si="32"/>
        <v>0</v>
      </c>
      <c r="AS147" s="53">
        <f t="shared" si="32"/>
        <v>0</v>
      </c>
      <c r="AT147" s="53">
        <f t="shared" si="32"/>
        <v>0</v>
      </c>
      <c r="AU147" s="53">
        <f t="shared" si="32"/>
        <v>0</v>
      </c>
      <c r="AV147" s="53">
        <f t="shared" si="32"/>
        <v>0</v>
      </c>
      <c r="AW147" s="53">
        <f t="shared" si="32"/>
        <v>0</v>
      </c>
      <c r="AX147" s="53">
        <f t="shared" si="33"/>
        <v>263200000</v>
      </c>
      <c r="AY147" s="41" t="s">
        <v>557</v>
      </c>
    </row>
    <row r="148" spans="1:51" x14ac:dyDescent="0.2">
      <c r="A148" s="48" t="s">
        <v>469</v>
      </c>
      <c r="B148" s="41">
        <v>1996</v>
      </c>
      <c r="C148" s="41" t="s">
        <v>87</v>
      </c>
      <c r="D148" s="41" t="s">
        <v>113</v>
      </c>
      <c r="E148" s="41">
        <v>100</v>
      </c>
      <c r="F148" s="41" t="s">
        <v>390</v>
      </c>
      <c r="G148" s="53">
        <v>3124000</v>
      </c>
      <c r="I148" s="41">
        <v>1.5</v>
      </c>
      <c r="T148" s="53">
        <f>107708*31.1/1000</f>
        <v>3349.7188000000001</v>
      </c>
      <c r="AM148" s="76">
        <f t="shared" si="31"/>
        <v>6248000</v>
      </c>
      <c r="AO148" s="53">
        <f t="shared" si="32"/>
        <v>0</v>
      </c>
      <c r="AP148" s="53">
        <f t="shared" si="32"/>
        <v>4686000</v>
      </c>
      <c r="AQ148" s="53">
        <f t="shared" si="32"/>
        <v>0</v>
      </c>
      <c r="AR148" s="53">
        <f t="shared" si="32"/>
        <v>0</v>
      </c>
      <c r="AS148" s="53">
        <f t="shared" si="32"/>
        <v>0</v>
      </c>
      <c r="AT148" s="53">
        <f t="shared" si="32"/>
        <v>0</v>
      </c>
      <c r="AU148" s="53">
        <f t="shared" si="32"/>
        <v>0</v>
      </c>
      <c r="AV148" s="53">
        <f t="shared" si="32"/>
        <v>0</v>
      </c>
      <c r="AW148" s="53">
        <f t="shared" si="32"/>
        <v>0</v>
      </c>
      <c r="AX148" s="53">
        <f t="shared" si="33"/>
        <v>312400000</v>
      </c>
      <c r="AY148" s="41" t="s">
        <v>557</v>
      </c>
    </row>
    <row r="149" spans="1:51" x14ac:dyDescent="0.2">
      <c r="A149" s="48" t="s">
        <v>469</v>
      </c>
      <c r="B149" s="41">
        <v>1997</v>
      </c>
      <c r="C149" s="41" t="s">
        <v>87</v>
      </c>
      <c r="D149" s="41" t="s">
        <v>113</v>
      </c>
      <c r="E149" s="41">
        <v>100</v>
      </c>
      <c r="F149" s="41" t="s">
        <v>390</v>
      </c>
      <c r="G149" s="53">
        <v>3175000</v>
      </c>
      <c r="I149" s="41">
        <v>1.6</v>
      </c>
      <c r="T149" s="53">
        <f>113547*31.1/1000</f>
        <v>3531.3117000000002</v>
      </c>
      <c r="AM149" s="76">
        <f t="shared" si="31"/>
        <v>6350000</v>
      </c>
      <c r="AO149" s="53">
        <f t="shared" si="32"/>
        <v>0</v>
      </c>
      <c r="AP149" s="53">
        <f t="shared" si="32"/>
        <v>5080000</v>
      </c>
      <c r="AQ149" s="53">
        <f t="shared" si="32"/>
        <v>0</v>
      </c>
      <c r="AR149" s="53">
        <f t="shared" si="32"/>
        <v>0</v>
      </c>
      <c r="AS149" s="53">
        <f t="shared" si="32"/>
        <v>0</v>
      </c>
      <c r="AT149" s="53">
        <f t="shared" si="32"/>
        <v>0</v>
      </c>
      <c r="AU149" s="53">
        <f t="shared" si="32"/>
        <v>0</v>
      </c>
      <c r="AV149" s="53">
        <f t="shared" si="32"/>
        <v>0</v>
      </c>
      <c r="AW149" s="53">
        <f t="shared" si="32"/>
        <v>0</v>
      </c>
      <c r="AX149" s="53">
        <f t="shared" si="33"/>
        <v>317500000</v>
      </c>
      <c r="AY149" s="41" t="s">
        <v>557</v>
      </c>
    </row>
    <row r="150" spans="1:51" x14ac:dyDescent="0.2">
      <c r="A150" s="48" t="s">
        <v>469</v>
      </c>
      <c r="B150" s="41">
        <v>1998</v>
      </c>
      <c r="C150" s="41" t="s">
        <v>87</v>
      </c>
      <c r="D150" s="41" t="s">
        <v>113</v>
      </c>
      <c r="E150" s="41">
        <v>100</v>
      </c>
      <c r="F150" s="41" t="s">
        <v>390</v>
      </c>
      <c r="G150" s="53">
        <v>2843000</v>
      </c>
      <c r="I150" s="41">
        <v>2.2999999999999998</v>
      </c>
      <c r="T150" s="53">
        <f>130053*31.1/1000</f>
        <v>4044.6483000000003</v>
      </c>
      <c r="AM150" s="76">
        <f t="shared" si="31"/>
        <v>5686000</v>
      </c>
      <c r="AO150" s="53">
        <f t="shared" si="32"/>
        <v>0</v>
      </c>
      <c r="AP150" s="53">
        <f t="shared" si="32"/>
        <v>6538899.9999999991</v>
      </c>
      <c r="AQ150" s="53">
        <f t="shared" si="32"/>
        <v>0</v>
      </c>
      <c r="AR150" s="53">
        <f t="shared" si="32"/>
        <v>0</v>
      </c>
      <c r="AS150" s="53">
        <f t="shared" si="32"/>
        <v>0</v>
      </c>
      <c r="AT150" s="53">
        <f t="shared" si="32"/>
        <v>0</v>
      </c>
      <c r="AU150" s="53">
        <f t="shared" si="32"/>
        <v>0</v>
      </c>
      <c r="AV150" s="53">
        <f t="shared" si="32"/>
        <v>0</v>
      </c>
      <c r="AW150" s="53">
        <f t="shared" si="32"/>
        <v>0</v>
      </c>
      <c r="AX150" s="53">
        <f t="shared" si="33"/>
        <v>284300000</v>
      </c>
      <c r="AY150" s="41" t="s">
        <v>557</v>
      </c>
    </row>
    <row r="151" spans="1:51" x14ac:dyDescent="0.2">
      <c r="A151" s="48" t="s">
        <v>469</v>
      </c>
      <c r="B151" s="41">
        <v>1999</v>
      </c>
      <c r="C151" s="41" t="s">
        <v>87</v>
      </c>
      <c r="D151" s="41" t="s">
        <v>113</v>
      </c>
      <c r="E151" s="41">
        <v>100</v>
      </c>
      <c r="F151" s="41" t="s">
        <v>390</v>
      </c>
      <c r="G151" s="53">
        <v>3360000</v>
      </c>
      <c r="I151" s="47">
        <v>2</v>
      </c>
      <c r="T151" s="53">
        <f>105475*31.1/1000</f>
        <v>3280.2725</v>
      </c>
      <c r="AM151" s="76">
        <f t="shared" si="31"/>
        <v>6720000</v>
      </c>
      <c r="AO151" s="53">
        <f t="shared" si="32"/>
        <v>0</v>
      </c>
      <c r="AP151" s="53">
        <f t="shared" si="32"/>
        <v>6720000</v>
      </c>
      <c r="AQ151" s="53">
        <f t="shared" si="32"/>
        <v>0</v>
      </c>
      <c r="AR151" s="53">
        <f t="shared" si="32"/>
        <v>0</v>
      </c>
      <c r="AS151" s="53">
        <f t="shared" si="32"/>
        <v>0</v>
      </c>
      <c r="AT151" s="53">
        <f t="shared" si="32"/>
        <v>0</v>
      </c>
      <c r="AU151" s="53">
        <f t="shared" si="32"/>
        <v>0</v>
      </c>
      <c r="AV151" s="53">
        <f t="shared" si="32"/>
        <v>0</v>
      </c>
      <c r="AW151" s="53">
        <f t="shared" si="32"/>
        <v>0</v>
      </c>
      <c r="AX151" s="53">
        <f t="shared" si="33"/>
        <v>336000000</v>
      </c>
      <c r="AY151" s="41" t="s">
        <v>557</v>
      </c>
    </row>
    <row r="152" spans="1:51" x14ac:dyDescent="0.2">
      <c r="A152" s="48" t="s">
        <v>469</v>
      </c>
      <c r="B152" s="41">
        <v>2000</v>
      </c>
      <c r="C152" s="41" t="s">
        <v>87</v>
      </c>
      <c r="D152" s="41" t="s">
        <v>113</v>
      </c>
      <c r="E152" s="41">
        <v>100</v>
      </c>
      <c r="F152" s="41" t="s">
        <v>390</v>
      </c>
      <c r="G152" s="53">
        <v>4416000</v>
      </c>
      <c r="I152" s="41">
        <v>1.6</v>
      </c>
      <c r="T152" s="53">
        <f>134469*31.1/1000</f>
        <v>4181.9859000000006</v>
      </c>
      <c r="AM152" s="76">
        <f t="shared" si="31"/>
        <v>8832000</v>
      </c>
      <c r="AO152" s="53">
        <f t="shared" si="32"/>
        <v>0</v>
      </c>
      <c r="AP152" s="53">
        <f t="shared" si="32"/>
        <v>7065600</v>
      </c>
      <c r="AQ152" s="53">
        <f t="shared" si="32"/>
        <v>0</v>
      </c>
      <c r="AR152" s="53">
        <f t="shared" si="32"/>
        <v>0</v>
      </c>
      <c r="AS152" s="53">
        <f t="shared" si="32"/>
        <v>0</v>
      </c>
      <c r="AT152" s="53">
        <f t="shared" si="32"/>
        <v>0</v>
      </c>
      <c r="AU152" s="53">
        <f t="shared" si="32"/>
        <v>0</v>
      </c>
      <c r="AV152" s="53">
        <f t="shared" si="32"/>
        <v>0</v>
      </c>
      <c r="AW152" s="53">
        <f t="shared" si="32"/>
        <v>0</v>
      </c>
      <c r="AX152" s="53">
        <f t="shared" si="33"/>
        <v>441600000</v>
      </c>
      <c r="AY152" s="41" t="s">
        <v>557</v>
      </c>
    </row>
    <row r="153" spans="1:51" x14ac:dyDescent="0.2">
      <c r="A153" s="48" t="s">
        <v>469</v>
      </c>
      <c r="B153" s="41">
        <v>2001</v>
      </c>
      <c r="C153" s="41" t="s">
        <v>87</v>
      </c>
      <c r="D153" s="41" t="s">
        <v>113</v>
      </c>
      <c r="E153" s="41">
        <v>100</v>
      </c>
      <c r="F153" s="41" t="s">
        <v>390</v>
      </c>
      <c r="G153" s="53">
        <v>3777000</v>
      </c>
      <c r="I153" s="41">
        <v>1.5</v>
      </c>
      <c r="T153" s="53">
        <f>108393*31.1/1000</f>
        <v>3371.0223000000001</v>
      </c>
      <c r="AM153" s="76">
        <f t="shared" si="31"/>
        <v>7554000</v>
      </c>
      <c r="AO153" s="53">
        <f t="shared" si="32"/>
        <v>0</v>
      </c>
      <c r="AP153" s="53">
        <f t="shared" si="32"/>
        <v>5665500</v>
      </c>
      <c r="AQ153" s="53">
        <f t="shared" si="32"/>
        <v>0</v>
      </c>
      <c r="AR153" s="53">
        <f t="shared" si="32"/>
        <v>0</v>
      </c>
      <c r="AS153" s="53">
        <f t="shared" si="32"/>
        <v>0</v>
      </c>
      <c r="AT153" s="53">
        <f t="shared" si="32"/>
        <v>0</v>
      </c>
      <c r="AU153" s="53">
        <f t="shared" si="32"/>
        <v>0</v>
      </c>
      <c r="AV153" s="53">
        <f t="shared" si="32"/>
        <v>0</v>
      </c>
      <c r="AW153" s="53">
        <f t="shared" si="32"/>
        <v>0</v>
      </c>
      <c r="AX153" s="53">
        <f t="shared" si="33"/>
        <v>377700000</v>
      </c>
      <c r="AY153" s="41" t="s">
        <v>557</v>
      </c>
    </row>
    <row r="154" spans="1:51" x14ac:dyDescent="0.2">
      <c r="A154" s="48" t="s">
        <v>469</v>
      </c>
      <c r="B154" s="41">
        <v>2002</v>
      </c>
      <c r="C154" s="41" t="s">
        <v>87</v>
      </c>
      <c r="D154" s="41" t="s">
        <v>113</v>
      </c>
      <c r="E154" s="41">
        <v>100</v>
      </c>
      <c r="F154" s="41" t="s">
        <v>390</v>
      </c>
      <c r="G154" s="53">
        <v>5265000</v>
      </c>
      <c r="I154" s="41">
        <v>1.1000000000000001</v>
      </c>
      <c r="T154" s="53">
        <f>172328*31.1/1000</f>
        <v>5359.4007999999994</v>
      </c>
      <c r="AM154" s="76">
        <f t="shared" si="31"/>
        <v>10530000</v>
      </c>
      <c r="AO154" s="53">
        <f t="shared" si="32"/>
        <v>0</v>
      </c>
      <c r="AP154" s="53">
        <f t="shared" si="32"/>
        <v>5791500.0000000009</v>
      </c>
      <c r="AQ154" s="53">
        <f t="shared" si="32"/>
        <v>0</v>
      </c>
      <c r="AR154" s="53">
        <f t="shared" si="32"/>
        <v>0</v>
      </c>
      <c r="AS154" s="53">
        <f t="shared" si="32"/>
        <v>0</v>
      </c>
      <c r="AT154" s="53">
        <f t="shared" si="32"/>
        <v>0</v>
      </c>
      <c r="AU154" s="53">
        <f t="shared" si="32"/>
        <v>0</v>
      </c>
      <c r="AV154" s="53">
        <f t="shared" si="32"/>
        <v>0</v>
      </c>
      <c r="AW154" s="53">
        <f t="shared" si="32"/>
        <v>0</v>
      </c>
      <c r="AX154" s="53">
        <f t="shared" si="33"/>
        <v>526500000</v>
      </c>
      <c r="AY154" s="41" t="s">
        <v>557</v>
      </c>
    </row>
    <row r="155" spans="1:51" x14ac:dyDescent="0.2">
      <c r="A155" s="48" t="s">
        <v>469</v>
      </c>
      <c r="B155" s="41">
        <v>2003</v>
      </c>
      <c r="C155" s="41" t="s">
        <v>87</v>
      </c>
      <c r="D155" s="41" t="s">
        <v>113</v>
      </c>
      <c r="E155" s="41">
        <v>100</v>
      </c>
      <c r="F155" s="41" t="s">
        <v>390</v>
      </c>
      <c r="G155" s="53">
        <v>4125000</v>
      </c>
      <c r="I155" s="41">
        <v>0.7</v>
      </c>
      <c r="T155" s="53">
        <f>90601*31.1/1000</f>
        <v>2817.6911</v>
      </c>
      <c r="AM155" s="76">
        <f t="shared" si="31"/>
        <v>8250000</v>
      </c>
      <c r="AO155" s="53">
        <f t="shared" si="32"/>
        <v>0</v>
      </c>
      <c r="AP155" s="53">
        <f t="shared" si="32"/>
        <v>2887500</v>
      </c>
      <c r="AQ155" s="53">
        <f t="shared" si="32"/>
        <v>0</v>
      </c>
      <c r="AR155" s="53">
        <f t="shared" si="32"/>
        <v>0</v>
      </c>
      <c r="AS155" s="53">
        <f t="shared" si="32"/>
        <v>0</v>
      </c>
      <c r="AT155" s="53">
        <f t="shared" si="32"/>
        <v>0</v>
      </c>
      <c r="AU155" s="53">
        <f t="shared" si="32"/>
        <v>0</v>
      </c>
      <c r="AV155" s="53">
        <f t="shared" si="32"/>
        <v>0</v>
      </c>
      <c r="AW155" s="53">
        <f t="shared" si="32"/>
        <v>0</v>
      </c>
      <c r="AX155" s="53">
        <f t="shared" si="33"/>
        <v>412500000</v>
      </c>
      <c r="AY155" s="41" t="s">
        <v>557</v>
      </c>
    </row>
    <row r="156" spans="1:51" x14ac:dyDescent="0.2">
      <c r="A156" s="48" t="s">
        <v>469</v>
      </c>
      <c r="B156" s="41">
        <v>2004</v>
      </c>
      <c r="C156" s="41" t="s">
        <v>87</v>
      </c>
      <c r="D156" s="41" t="s">
        <v>113</v>
      </c>
      <c r="E156" s="41">
        <v>100</v>
      </c>
      <c r="F156" s="41" t="s">
        <v>390</v>
      </c>
      <c r="G156" s="53">
        <v>2019000</v>
      </c>
      <c r="I156" s="41">
        <v>0.8</v>
      </c>
      <c r="T156" s="53">
        <f>46685*31.1/1000</f>
        <v>1451.9034999999999</v>
      </c>
      <c r="AM156" s="76">
        <f t="shared" si="31"/>
        <v>4038000</v>
      </c>
      <c r="AO156" s="53">
        <f t="shared" si="32"/>
        <v>0</v>
      </c>
      <c r="AP156" s="53">
        <f t="shared" si="32"/>
        <v>1615200</v>
      </c>
      <c r="AQ156" s="53">
        <f t="shared" si="32"/>
        <v>0</v>
      </c>
      <c r="AR156" s="53">
        <f t="shared" si="32"/>
        <v>0</v>
      </c>
      <c r="AS156" s="53">
        <f t="shared" si="32"/>
        <v>0</v>
      </c>
      <c r="AT156" s="53">
        <f t="shared" si="32"/>
        <v>0</v>
      </c>
      <c r="AU156" s="53">
        <f t="shared" si="32"/>
        <v>0</v>
      </c>
      <c r="AV156" s="53">
        <f t="shared" si="32"/>
        <v>0</v>
      </c>
      <c r="AW156" s="53">
        <f t="shared" si="32"/>
        <v>0</v>
      </c>
      <c r="AX156" s="53">
        <f t="shared" si="33"/>
        <v>201900000</v>
      </c>
      <c r="AY156" s="41" t="s">
        <v>557</v>
      </c>
    </row>
    <row r="157" spans="1:51" x14ac:dyDescent="0.2">
      <c r="A157" s="48" t="s">
        <v>469</v>
      </c>
      <c r="B157" s="41">
        <v>2005</v>
      </c>
      <c r="C157" s="41" t="s">
        <v>87</v>
      </c>
      <c r="D157" s="41" t="s">
        <v>113</v>
      </c>
      <c r="E157" s="41">
        <v>100</v>
      </c>
      <c r="F157" s="41" t="s">
        <v>390</v>
      </c>
      <c r="G157" s="53">
        <v>5431000</v>
      </c>
      <c r="I157" s="41">
        <v>1.1000000000000001</v>
      </c>
      <c r="T157" s="53">
        <f>80536*31.1/1000</f>
        <v>2504.6696000000002</v>
      </c>
      <c r="AM157" s="76">
        <f>2*G157</f>
        <v>10862000</v>
      </c>
      <c r="AO157" s="53">
        <f t="shared" si="32"/>
        <v>0</v>
      </c>
      <c r="AP157" s="53">
        <f t="shared" si="32"/>
        <v>5974100.0000000009</v>
      </c>
      <c r="AQ157" s="53">
        <f t="shared" si="32"/>
        <v>0</v>
      </c>
      <c r="AR157" s="53">
        <f t="shared" si="32"/>
        <v>0</v>
      </c>
      <c r="AS157" s="53">
        <f t="shared" si="32"/>
        <v>0</v>
      </c>
      <c r="AT157" s="53">
        <f t="shared" si="32"/>
        <v>0</v>
      </c>
      <c r="AU157" s="53">
        <f t="shared" si="32"/>
        <v>0</v>
      </c>
      <c r="AV157" s="53">
        <f t="shared" si="32"/>
        <v>0</v>
      </c>
      <c r="AW157" s="53">
        <f t="shared" si="32"/>
        <v>0</v>
      </c>
      <c r="AX157" s="53">
        <f t="shared" si="33"/>
        <v>543100000</v>
      </c>
      <c r="AY157" s="41" t="s">
        <v>557</v>
      </c>
    </row>
    <row r="158" spans="1:51" x14ac:dyDescent="0.2">
      <c r="A158" s="48" t="s">
        <v>469</v>
      </c>
      <c r="B158" s="41">
        <v>2006</v>
      </c>
      <c r="C158" s="41" t="s">
        <v>87</v>
      </c>
      <c r="D158" s="41" t="s">
        <v>113</v>
      </c>
      <c r="E158" s="41">
        <v>100</v>
      </c>
      <c r="F158" s="41" t="s">
        <v>390</v>
      </c>
      <c r="G158" s="53">
        <f>7137000*0.9072</f>
        <v>6474686.4000000004</v>
      </c>
      <c r="I158" s="46">
        <f>0.057*31.1/0.9072</f>
        <v>1.9540343915343916</v>
      </c>
      <c r="T158" s="53">
        <f>278000*31.1/1000</f>
        <v>8645.7999999999993</v>
      </c>
      <c r="AM158" s="53">
        <f>(20620000-7137000)*0.9072</f>
        <v>12231777.6</v>
      </c>
      <c r="AO158" s="53">
        <f t="shared" si="32"/>
        <v>0</v>
      </c>
      <c r="AP158" s="53">
        <f t="shared" si="32"/>
        <v>12651759.900000002</v>
      </c>
      <c r="AQ158" s="53">
        <f t="shared" si="32"/>
        <v>0</v>
      </c>
      <c r="AR158" s="53">
        <f t="shared" si="32"/>
        <v>0</v>
      </c>
      <c r="AS158" s="53">
        <f t="shared" si="32"/>
        <v>0</v>
      </c>
      <c r="AT158" s="53">
        <f t="shared" si="32"/>
        <v>0</v>
      </c>
      <c r="AU158" s="53">
        <f t="shared" si="32"/>
        <v>0</v>
      </c>
      <c r="AV158" s="53">
        <f t="shared" si="32"/>
        <v>0</v>
      </c>
      <c r="AW158" s="53">
        <f t="shared" si="32"/>
        <v>0</v>
      </c>
      <c r="AX158" s="53">
        <f t="shared" si="33"/>
        <v>647468640</v>
      </c>
      <c r="AY158" s="41" t="s">
        <v>557</v>
      </c>
    </row>
    <row r="159" spans="1:51" x14ac:dyDescent="0.2">
      <c r="A159" s="48" t="s">
        <v>469</v>
      </c>
      <c r="B159" s="41">
        <v>2007</v>
      </c>
      <c r="C159" s="41" t="s">
        <v>87</v>
      </c>
      <c r="D159" s="41" t="s">
        <v>113</v>
      </c>
      <c r="E159" s="41">
        <v>100</v>
      </c>
      <c r="F159" s="41" t="s">
        <v>390</v>
      </c>
      <c r="G159" s="53">
        <f>9577000*0.9072</f>
        <v>8688254.4000000004</v>
      </c>
      <c r="I159" s="46">
        <f>0.016*31.1/0.9072</f>
        <v>0.54850088183421519</v>
      </c>
      <c r="T159" s="53">
        <f>123000*31.1/1000</f>
        <v>3825.3</v>
      </c>
      <c r="AM159" s="53">
        <f>(29301000-9577000)*0.9072</f>
        <v>17893612.800000001</v>
      </c>
      <c r="AO159" s="53">
        <f t="shared" si="32"/>
        <v>0</v>
      </c>
      <c r="AP159" s="53">
        <f t="shared" si="32"/>
        <v>4765515.2</v>
      </c>
      <c r="AQ159" s="53">
        <f t="shared" si="32"/>
        <v>0</v>
      </c>
      <c r="AR159" s="53">
        <f t="shared" si="32"/>
        <v>0</v>
      </c>
      <c r="AS159" s="53">
        <f t="shared" si="32"/>
        <v>0</v>
      </c>
      <c r="AT159" s="53">
        <f t="shared" si="32"/>
        <v>0</v>
      </c>
      <c r="AU159" s="53">
        <f t="shared" si="32"/>
        <v>0</v>
      </c>
      <c r="AV159" s="53">
        <f t="shared" si="32"/>
        <v>0</v>
      </c>
      <c r="AW159" s="53">
        <f t="shared" si="32"/>
        <v>0</v>
      </c>
      <c r="AX159" s="53">
        <f t="shared" si="33"/>
        <v>868825440</v>
      </c>
      <c r="AY159" s="41" t="s">
        <v>557</v>
      </c>
    </row>
    <row r="160" spans="1:51" x14ac:dyDescent="0.2">
      <c r="A160" s="48" t="s">
        <v>469</v>
      </c>
      <c r="B160" s="41">
        <v>2008</v>
      </c>
      <c r="C160" s="41" t="s">
        <v>87</v>
      </c>
      <c r="D160" s="41" t="s">
        <v>113</v>
      </c>
      <c r="E160" s="41">
        <v>100</v>
      </c>
      <c r="F160" s="41" t="s">
        <v>390</v>
      </c>
      <c r="G160" s="53">
        <f>8839000*0.9072</f>
        <v>8018740.7999999998</v>
      </c>
      <c r="I160" s="46">
        <f>0.013*31.1/0.9072</f>
        <v>0.44565696649029979</v>
      </c>
      <c r="T160" s="53">
        <f>105000*31.1/1000</f>
        <v>3265.5</v>
      </c>
      <c r="AM160" s="53">
        <f>(24262000-8839000)*0.9072</f>
        <v>13991745.6</v>
      </c>
      <c r="AO160" s="53">
        <f t="shared" si="32"/>
        <v>0</v>
      </c>
      <c r="AP160" s="53">
        <f t="shared" si="32"/>
        <v>3573607.6999999997</v>
      </c>
      <c r="AQ160" s="53">
        <f t="shared" si="32"/>
        <v>0</v>
      </c>
      <c r="AR160" s="53">
        <f t="shared" si="32"/>
        <v>0</v>
      </c>
      <c r="AS160" s="53">
        <f t="shared" si="32"/>
        <v>0</v>
      </c>
      <c r="AT160" s="53">
        <f t="shared" si="32"/>
        <v>0</v>
      </c>
      <c r="AU160" s="53">
        <f t="shared" si="32"/>
        <v>0</v>
      </c>
      <c r="AV160" s="53">
        <f t="shared" si="32"/>
        <v>0</v>
      </c>
      <c r="AW160" s="53">
        <f t="shared" si="32"/>
        <v>0</v>
      </c>
      <c r="AX160" s="53">
        <f t="shared" si="33"/>
        <v>801874080</v>
      </c>
      <c r="AY160" s="41" t="s">
        <v>557</v>
      </c>
    </row>
    <row r="161" spans="1:51" x14ac:dyDescent="0.2">
      <c r="A161" s="48" t="s">
        <v>469</v>
      </c>
      <c r="B161" s="41">
        <v>2009</v>
      </c>
      <c r="C161" s="41" t="s">
        <v>87</v>
      </c>
      <c r="D161" s="41" t="s">
        <v>113</v>
      </c>
      <c r="E161" s="41">
        <v>100</v>
      </c>
      <c r="F161" s="41" t="s">
        <v>390</v>
      </c>
      <c r="G161" s="53">
        <f>10165000*0.9072</f>
        <v>9221688</v>
      </c>
      <c r="I161" s="46">
        <f>0.013*31.1/0.9072</f>
        <v>0.44565696649029979</v>
      </c>
      <c r="T161" s="53">
        <f>75000*31.1/1000</f>
        <v>2332.5</v>
      </c>
      <c r="AM161" s="53">
        <f>(26923000-10165000)*0.9072</f>
        <v>15202857.6</v>
      </c>
      <c r="AO161" s="53">
        <f t="shared" si="32"/>
        <v>0</v>
      </c>
      <c r="AP161" s="53">
        <f t="shared" si="32"/>
        <v>4109709.4999999995</v>
      </c>
      <c r="AQ161" s="53">
        <f t="shared" si="32"/>
        <v>0</v>
      </c>
      <c r="AR161" s="53">
        <f t="shared" si="32"/>
        <v>0</v>
      </c>
      <c r="AS161" s="53">
        <f t="shared" si="32"/>
        <v>0</v>
      </c>
      <c r="AT161" s="53">
        <f t="shared" si="32"/>
        <v>0</v>
      </c>
      <c r="AU161" s="53">
        <f t="shared" si="32"/>
        <v>0</v>
      </c>
      <c r="AV161" s="53">
        <f t="shared" si="32"/>
        <v>0</v>
      </c>
      <c r="AW161" s="53">
        <f t="shared" si="32"/>
        <v>0</v>
      </c>
      <c r="AX161" s="53">
        <f t="shared" si="33"/>
        <v>922168800</v>
      </c>
      <c r="AY161" s="41" t="s">
        <v>557</v>
      </c>
    </row>
    <row r="162" spans="1:51" x14ac:dyDescent="0.2">
      <c r="A162" s="48" t="s">
        <v>469</v>
      </c>
      <c r="B162" s="41">
        <v>2010</v>
      </c>
      <c r="C162" s="41" t="s">
        <v>87</v>
      </c>
      <c r="D162" s="41" t="s">
        <v>113</v>
      </c>
      <c r="E162" s="41">
        <v>100</v>
      </c>
      <c r="F162" s="41" t="s">
        <v>390</v>
      </c>
      <c r="G162" s="53">
        <f>4094000*0.9072</f>
        <v>3714076.8</v>
      </c>
      <c r="I162" s="46">
        <f>0.021*31.1/0.9072</f>
        <v>0.71990740740740755</v>
      </c>
      <c r="T162" s="53">
        <f>59000*31.1/1000</f>
        <v>1834.9</v>
      </c>
      <c r="AM162" s="53">
        <f>(39528000-4094000)*0.9072</f>
        <v>32145724.800000001</v>
      </c>
      <c r="AO162" s="53">
        <f t="shared" si="32"/>
        <v>0</v>
      </c>
      <c r="AP162" s="53">
        <f t="shared" si="32"/>
        <v>2673791.4000000004</v>
      </c>
      <c r="AQ162" s="53">
        <f t="shared" si="32"/>
        <v>0</v>
      </c>
      <c r="AR162" s="53">
        <f t="shared" si="32"/>
        <v>0</v>
      </c>
      <c r="AS162" s="53">
        <f t="shared" si="32"/>
        <v>0</v>
      </c>
      <c r="AT162" s="53">
        <f t="shared" si="32"/>
        <v>0</v>
      </c>
      <c r="AU162" s="53">
        <f t="shared" si="32"/>
        <v>0</v>
      </c>
      <c r="AV162" s="53">
        <f t="shared" si="32"/>
        <v>0</v>
      </c>
      <c r="AW162" s="53">
        <f t="shared" si="32"/>
        <v>0</v>
      </c>
      <c r="AX162" s="53">
        <f t="shared" si="33"/>
        <v>371407680</v>
      </c>
      <c r="AY162" s="41" t="s">
        <v>557</v>
      </c>
    </row>
    <row r="163" spans="1:51" x14ac:dyDescent="0.2">
      <c r="A163" s="48" t="s">
        <v>469</v>
      </c>
      <c r="B163" s="41">
        <v>2011</v>
      </c>
      <c r="C163" s="41" t="s">
        <v>87</v>
      </c>
      <c r="D163" s="41" t="s">
        <v>113</v>
      </c>
      <c r="E163" s="41">
        <v>100</v>
      </c>
      <c r="F163" s="41" t="s">
        <v>390</v>
      </c>
      <c r="G163" s="53">
        <f>13208000*0.9072</f>
        <v>11982297.6</v>
      </c>
      <c r="I163" s="46">
        <f>0.011*31.1/0.9072</f>
        <v>0.37709435626102294</v>
      </c>
      <c r="T163" s="53">
        <f>93000*31.1/1000</f>
        <v>2892.3</v>
      </c>
      <c r="AM163" s="53">
        <f>(67029000-13208000)*0.9072</f>
        <v>48826411.200000003</v>
      </c>
      <c r="AO163" s="53">
        <f t="shared" si="32"/>
        <v>0</v>
      </c>
      <c r="AP163" s="53">
        <f t="shared" si="32"/>
        <v>4518456.8</v>
      </c>
      <c r="AQ163" s="53">
        <f t="shared" si="32"/>
        <v>0</v>
      </c>
      <c r="AR163" s="53">
        <f t="shared" si="32"/>
        <v>0</v>
      </c>
      <c r="AS163" s="53">
        <f t="shared" si="32"/>
        <v>0</v>
      </c>
      <c r="AT163" s="53">
        <f t="shared" si="32"/>
        <v>0</v>
      </c>
      <c r="AU163" s="53">
        <f t="shared" si="32"/>
        <v>0</v>
      </c>
      <c r="AV163" s="53">
        <f t="shared" si="32"/>
        <v>0</v>
      </c>
      <c r="AW163" s="53">
        <f t="shared" si="32"/>
        <v>0</v>
      </c>
      <c r="AX163" s="53">
        <f t="shared" si="33"/>
        <v>1198229760</v>
      </c>
      <c r="AY163" s="41" t="s">
        <v>557</v>
      </c>
    </row>
    <row r="164" spans="1:51" x14ac:dyDescent="0.2">
      <c r="A164" s="48" t="s">
        <v>469</v>
      </c>
      <c r="B164" s="41">
        <v>2012</v>
      </c>
      <c r="C164" s="41" t="s">
        <v>87</v>
      </c>
      <c r="D164" s="41" t="s">
        <v>113</v>
      </c>
      <c r="E164" s="41">
        <v>100</v>
      </c>
      <c r="F164" s="41" t="s">
        <v>390</v>
      </c>
      <c r="G164" s="53">
        <f>15374000*0.9072</f>
        <v>13947292.800000001</v>
      </c>
      <c r="I164" s="46">
        <f>0.013*31.1/0.9072</f>
        <v>0.44565696649029979</v>
      </c>
      <c r="T164" s="53">
        <f>161000*31.1/1000</f>
        <v>5007.1000000000004</v>
      </c>
      <c r="AM164" s="53">
        <f>(68495000-15374000)*0.9072</f>
        <v>48191371.200000003</v>
      </c>
      <c r="AO164" s="53">
        <f t="shared" si="32"/>
        <v>0</v>
      </c>
      <c r="AP164" s="53">
        <f t="shared" si="32"/>
        <v>6215708.2000000002</v>
      </c>
      <c r="AQ164" s="53">
        <f t="shared" si="32"/>
        <v>0</v>
      </c>
      <c r="AR164" s="53">
        <f t="shared" si="32"/>
        <v>0</v>
      </c>
      <c r="AS164" s="53">
        <f t="shared" si="32"/>
        <v>0</v>
      </c>
      <c r="AT164" s="53">
        <f t="shared" si="32"/>
        <v>0</v>
      </c>
      <c r="AU164" s="53">
        <f t="shared" si="32"/>
        <v>0</v>
      </c>
      <c r="AV164" s="53">
        <f t="shared" si="32"/>
        <v>0</v>
      </c>
      <c r="AW164" s="53">
        <f t="shared" si="32"/>
        <v>0</v>
      </c>
      <c r="AX164" s="53">
        <f t="shared" si="33"/>
        <v>1394729280</v>
      </c>
      <c r="AY164" s="41" t="s">
        <v>557</v>
      </c>
    </row>
    <row r="165" spans="1:51" x14ac:dyDescent="0.2">
      <c r="A165" s="48" t="s">
        <v>469</v>
      </c>
      <c r="B165" s="41">
        <v>2013</v>
      </c>
      <c r="C165" s="41" t="s">
        <v>87</v>
      </c>
      <c r="D165" s="41" t="s">
        <v>113</v>
      </c>
      <c r="E165" s="41">
        <v>100</v>
      </c>
      <c r="F165" s="41" t="s">
        <v>390</v>
      </c>
      <c r="G165" s="53">
        <v>4378000</v>
      </c>
      <c r="I165" s="46">
        <v>0.6</v>
      </c>
      <c r="T165" s="53">
        <f>94000*31.1/1000</f>
        <v>2923.4</v>
      </c>
      <c r="AM165" s="53">
        <f>65850000-4378000</f>
        <v>61472000</v>
      </c>
      <c r="AO165" s="53">
        <f t="shared" si="32"/>
        <v>0</v>
      </c>
      <c r="AP165" s="53">
        <f t="shared" si="32"/>
        <v>2626800</v>
      </c>
      <c r="AQ165" s="53">
        <f t="shared" si="32"/>
        <v>0</v>
      </c>
      <c r="AR165" s="53">
        <f t="shared" si="32"/>
        <v>0</v>
      </c>
      <c r="AS165" s="53">
        <f t="shared" si="32"/>
        <v>0</v>
      </c>
      <c r="AT165" s="53">
        <f t="shared" si="32"/>
        <v>0</v>
      </c>
      <c r="AU165" s="53">
        <f t="shared" si="32"/>
        <v>0</v>
      </c>
      <c r="AV165" s="53">
        <f t="shared" si="32"/>
        <v>0</v>
      </c>
      <c r="AW165" s="53">
        <f t="shared" si="32"/>
        <v>0</v>
      </c>
      <c r="AX165" s="53">
        <f t="shared" si="33"/>
        <v>437800000</v>
      </c>
      <c r="AY165" s="41" t="s">
        <v>557</v>
      </c>
    </row>
    <row r="166" spans="1:51" x14ac:dyDescent="0.2">
      <c r="A166" s="48" t="s">
        <v>469</v>
      </c>
      <c r="B166" s="41">
        <v>2014</v>
      </c>
      <c r="C166" s="41" t="s">
        <v>87</v>
      </c>
      <c r="D166" s="41" t="s">
        <v>113</v>
      </c>
      <c r="E166" s="41">
        <v>100</v>
      </c>
      <c r="F166" s="41" t="s">
        <v>390</v>
      </c>
      <c r="G166" s="53">
        <v>13583000</v>
      </c>
      <c r="I166" s="46">
        <v>0.7</v>
      </c>
      <c r="T166" s="53">
        <f>161000*31.1/1000</f>
        <v>5007.1000000000004</v>
      </c>
      <c r="AM166" s="53">
        <f>59334000-13583000</f>
        <v>45751000</v>
      </c>
      <c r="AO166" s="53">
        <f>$G166*H166</f>
        <v>0</v>
      </c>
      <c r="AP166" s="83">
        <f>0.5*$G166*I166</f>
        <v>4754050</v>
      </c>
      <c r="AQ166" s="53">
        <f t="shared" ref="AQ166:AW168" si="34">$G166*J166</f>
        <v>0</v>
      </c>
      <c r="AR166" s="53">
        <f t="shared" si="34"/>
        <v>0</v>
      </c>
      <c r="AS166" s="53">
        <f t="shared" si="34"/>
        <v>0</v>
      </c>
      <c r="AT166" s="53">
        <f t="shared" si="34"/>
        <v>0</v>
      </c>
      <c r="AU166" s="53">
        <f t="shared" si="34"/>
        <v>0</v>
      </c>
      <c r="AV166" s="53">
        <f t="shared" si="34"/>
        <v>0</v>
      </c>
      <c r="AW166" s="53">
        <f t="shared" si="34"/>
        <v>0</v>
      </c>
      <c r="AX166" s="53">
        <f t="shared" si="33"/>
        <v>1358300000</v>
      </c>
      <c r="AY166" s="41" t="s">
        <v>557</v>
      </c>
    </row>
    <row r="167" spans="1:51" x14ac:dyDescent="0.2">
      <c r="A167" s="48" t="s">
        <v>469</v>
      </c>
      <c r="B167" s="41">
        <v>2015</v>
      </c>
      <c r="C167" s="41" t="s">
        <v>87</v>
      </c>
      <c r="D167" s="41" t="s">
        <v>113</v>
      </c>
      <c r="E167" s="41">
        <v>100</v>
      </c>
      <c r="F167" s="41" t="s">
        <v>390</v>
      </c>
      <c r="G167" s="53">
        <v>9204000</v>
      </c>
      <c r="I167" s="41">
        <v>0.71</v>
      </c>
      <c r="T167" s="53">
        <f>191000*31.1/1000</f>
        <v>5940.1</v>
      </c>
      <c r="AM167" s="53">
        <f>69210000-9204000</f>
        <v>60006000</v>
      </c>
      <c r="AO167" s="53">
        <f>$G167*H167</f>
        <v>0</v>
      </c>
      <c r="AP167" s="53">
        <f>$G167*I167</f>
        <v>6534840</v>
      </c>
      <c r="AQ167" s="53">
        <f t="shared" si="34"/>
        <v>0</v>
      </c>
      <c r="AR167" s="53">
        <f t="shared" si="34"/>
        <v>0</v>
      </c>
      <c r="AS167" s="53">
        <f t="shared" si="34"/>
        <v>0</v>
      </c>
      <c r="AT167" s="53">
        <f t="shared" si="34"/>
        <v>0</v>
      </c>
      <c r="AU167" s="53">
        <f t="shared" si="34"/>
        <v>0</v>
      </c>
      <c r="AV167" s="53">
        <f t="shared" si="34"/>
        <v>0</v>
      </c>
      <c r="AW167" s="53">
        <f t="shared" si="34"/>
        <v>0</v>
      </c>
      <c r="AX167" s="53">
        <f t="shared" si="33"/>
        <v>920400000</v>
      </c>
      <c r="AY167" s="41" t="s">
        <v>557</v>
      </c>
    </row>
    <row r="168" spans="1:51" x14ac:dyDescent="0.2">
      <c r="A168" s="48" t="s">
        <v>469</v>
      </c>
      <c r="B168" s="41">
        <v>2016</v>
      </c>
      <c r="C168" s="41" t="s">
        <v>568</v>
      </c>
      <c r="D168" s="41" t="s">
        <v>113</v>
      </c>
      <c r="E168" s="41">
        <v>100</v>
      </c>
      <c r="F168" s="41" t="s">
        <v>390</v>
      </c>
      <c r="G168" s="53">
        <v>10656000</v>
      </c>
      <c r="I168" s="41">
        <v>0.64</v>
      </c>
      <c r="T168" s="53">
        <f>130144*31.1/1000</f>
        <v>4047.4784000000004</v>
      </c>
      <c r="AM168" s="76">
        <v>50000000</v>
      </c>
      <c r="AO168" s="53">
        <f>$G168*H168</f>
        <v>0</v>
      </c>
      <c r="AP168" s="53">
        <f>$G168*I168</f>
        <v>6819840</v>
      </c>
      <c r="AQ168" s="53">
        <f t="shared" si="34"/>
        <v>0</v>
      </c>
      <c r="AR168" s="53">
        <f t="shared" si="34"/>
        <v>0</v>
      </c>
      <c r="AS168" s="53">
        <f t="shared" si="34"/>
        <v>0</v>
      </c>
      <c r="AT168" s="53">
        <f t="shared" si="34"/>
        <v>0</v>
      </c>
      <c r="AU168" s="53">
        <f t="shared" si="34"/>
        <v>0</v>
      </c>
      <c r="AV168" s="53">
        <f t="shared" si="34"/>
        <v>0</v>
      </c>
      <c r="AW168" s="53">
        <f t="shared" si="34"/>
        <v>0</v>
      </c>
      <c r="AX168" s="53">
        <f t="shared" si="33"/>
        <v>1065600000</v>
      </c>
      <c r="AY168" s="41" t="s">
        <v>557</v>
      </c>
    </row>
    <row r="169" spans="1:51" x14ac:dyDescent="0.2">
      <c r="A169" s="84"/>
      <c r="B169" s="85" t="s">
        <v>569</v>
      </c>
      <c r="C169" s="60" t="s">
        <v>87</v>
      </c>
      <c r="D169" s="60" t="s">
        <v>113</v>
      </c>
      <c r="E169" s="60">
        <v>100</v>
      </c>
      <c r="F169" s="60" t="s">
        <v>390</v>
      </c>
      <c r="G169" s="79">
        <f>SUM(G145:G165)+0.5*G166</f>
        <v>116419437.70322579</v>
      </c>
      <c r="I169" s="80">
        <f>AP169/$G169</f>
        <v>0.93264087889501557</v>
      </c>
      <c r="T169" s="79">
        <f>SUM(T145:T165)+0.5*T166</f>
        <v>75514.531999999992</v>
      </c>
      <c r="AM169" s="79">
        <f>SUM(AM145:AM165)+0.5*AM166</f>
        <v>359236802.60645163</v>
      </c>
      <c r="AO169" s="79">
        <f t="shared" ref="AO169:AX169" si="35">SUM(AO145:AO166)</f>
        <v>0</v>
      </c>
      <c r="AP169" s="79">
        <f t="shared" si="35"/>
        <v>108577526.70000002</v>
      </c>
      <c r="AQ169" s="79">
        <f t="shared" si="35"/>
        <v>0</v>
      </c>
      <c r="AR169" s="79">
        <f t="shared" si="35"/>
        <v>0</v>
      </c>
      <c r="AS169" s="79">
        <f t="shared" si="35"/>
        <v>0</v>
      </c>
      <c r="AT169" s="79">
        <f t="shared" si="35"/>
        <v>0</v>
      </c>
      <c r="AU169" s="79">
        <f t="shared" si="35"/>
        <v>0</v>
      </c>
      <c r="AV169" s="79">
        <f t="shared" si="35"/>
        <v>0</v>
      </c>
      <c r="AW169" s="79">
        <f t="shared" si="35"/>
        <v>0</v>
      </c>
      <c r="AX169" s="79">
        <f t="shared" si="35"/>
        <v>12321093770.32258</v>
      </c>
      <c r="AY169" s="41" t="s">
        <v>557</v>
      </c>
    </row>
    <row r="170" spans="1:51" x14ac:dyDescent="0.2">
      <c r="A170" s="48" t="s">
        <v>469</v>
      </c>
      <c r="B170" s="43" t="s">
        <v>560</v>
      </c>
      <c r="G170" s="53">
        <f>STDEV(G145:G166)</f>
        <v>3748603.3714376665</v>
      </c>
      <c r="I170" s="46">
        <f>STDEV(I145:I166)</f>
        <v>0.64991161183974311</v>
      </c>
      <c r="T170" s="53">
        <f>STDEV(T145:T166)</f>
        <v>1516.2224051889864</v>
      </c>
      <c r="AM170" s="53">
        <f>STDEV(AM145:AM166)</f>
        <v>17624286.327072341</v>
      </c>
      <c r="AY170" s="41" t="s">
        <v>557</v>
      </c>
    </row>
    <row r="171" spans="1:51" x14ac:dyDescent="0.2">
      <c r="A171" s="48" t="s">
        <v>469</v>
      </c>
      <c r="B171" s="81" t="s">
        <v>249</v>
      </c>
      <c r="G171" s="41">
        <f>COUNT(G145:G166)</f>
        <v>22</v>
      </c>
      <c r="I171" s="41">
        <f>COUNT(I145:I166)</f>
        <v>22</v>
      </c>
      <c r="T171" s="41">
        <f>COUNT(T145:T166)</f>
        <v>22</v>
      </c>
      <c r="AM171" s="41">
        <f>COUNT(AM145:AM166)</f>
        <v>22</v>
      </c>
      <c r="AY171" s="41" t="s">
        <v>557</v>
      </c>
    </row>
    <row r="172" spans="1:51" x14ac:dyDescent="0.2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41" t="s">
        <v>557</v>
      </c>
    </row>
    <row r="173" spans="1:51" x14ac:dyDescent="0.2">
      <c r="A173" s="41" t="s">
        <v>185</v>
      </c>
      <c r="B173" s="41">
        <v>1998</v>
      </c>
      <c r="C173" s="41" t="s">
        <v>87</v>
      </c>
      <c r="D173" s="41" t="s">
        <v>88</v>
      </c>
      <c r="E173" s="41">
        <v>100</v>
      </c>
      <c r="F173" s="41" t="s">
        <v>570</v>
      </c>
      <c r="AM173" s="53">
        <v>38344622.399999999</v>
      </c>
      <c r="AO173" s="53">
        <f t="shared" ref="AO173:AW191" si="36">$G173*H173</f>
        <v>0</v>
      </c>
      <c r="AP173" s="53">
        <f t="shared" si="36"/>
        <v>0</v>
      </c>
      <c r="AQ173" s="53">
        <f t="shared" si="36"/>
        <v>0</v>
      </c>
      <c r="AR173" s="53">
        <f t="shared" si="36"/>
        <v>0</v>
      </c>
      <c r="AS173" s="53">
        <f t="shared" si="36"/>
        <v>0</v>
      </c>
      <c r="AT173" s="53">
        <f t="shared" si="36"/>
        <v>0</v>
      </c>
      <c r="AU173" s="53">
        <f t="shared" si="36"/>
        <v>0</v>
      </c>
      <c r="AV173" s="53">
        <f t="shared" si="36"/>
        <v>0</v>
      </c>
      <c r="AW173" s="53">
        <f t="shared" si="36"/>
        <v>0</v>
      </c>
      <c r="AX173" s="53">
        <f t="shared" ref="AX173:AX191" si="37">$G173*E173</f>
        <v>0</v>
      </c>
      <c r="AY173" s="41" t="s">
        <v>557</v>
      </c>
    </row>
    <row r="174" spans="1:51" x14ac:dyDescent="0.2">
      <c r="A174" s="41" t="s">
        <v>185</v>
      </c>
      <c r="B174" s="41">
        <v>1999</v>
      </c>
      <c r="C174" s="41" t="s">
        <v>87</v>
      </c>
      <c r="D174" s="41" t="s">
        <v>88</v>
      </c>
      <c r="E174" s="41">
        <v>100</v>
      </c>
      <c r="F174" s="41" t="s">
        <v>570</v>
      </c>
      <c r="G174" s="53">
        <v>5195534.4000000004</v>
      </c>
      <c r="H174" s="41">
        <v>0.75</v>
      </c>
      <c r="I174" s="46">
        <v>0.2056878306878307</v>
      </c>
      <c r="R174" s="76">
        <f t="shared" ref="R174:R191" si="38">S174*4</f>
        <v>95366.893424036287</v>
      </c>
      <c r="S174" s="53">
        <v>23841.723356009072</v>
      </c>
      <c r="T174" s="53">
        <v>351.43</v>
      </c>
      <c r="AM174" s="53">
        <v>65939832</v>
      </c>
      <c r="AO174" s="53">
        <f t="shared" si="36"/>
        <v>3896650.8000000003</v>
      </c>
      <c r="AP174" s="53">
        <f t="shared" si="36"/>
        <v>1068658.2000000002</v>
      </c>
      <c r="AQ174" s="53">
        <f t="shared" si="36"/>
        <v>0</v>
      </c>
      <c r="AR174" s="53">
        <f t="shared" si="36"/>
        <v>0</v>
      </c>
      <c r="AS174" s="53">
        <f t="shared" si="36"/>
        <v>0</v>
      </c>
      <c r="AT174" s="53">
        <f t="shared" si="36"/>
        <v>0</v>
      </c>
      <c r="AU174" s="53">
        <f t="shared" si="36"/>
        <v>0</v>
      </c>
      <c r="AV174" s="53">
        <f t="shared" si="36"/>
        <v>0</v>
      </c>
      <c r="AW174" s="53">
        <f t="shared" si="36"/>
        <v>0</v>
      </c>
      <c r="AX174" s="53">
        <f t="shared" si="37"/>
        <v>519553440.00000006</v>
      </c>
      <c r="AY174" s="41" t="s">
        <v>557</v>
      </c>
    </row>
    <row r="175" spans="1:51" x14ac:dyDescent="0.2">
      <c r="A175" s="41" t="s">
        <v>185</v>
      </c>
      <c r="B175" s="41">
        <f>B173+1</f>
        <v>1999</v>
      </c>
      <c r="C175" s="41" t="s">
        <v>87</v>
      </c>
      <c r="D175" s="41" t="s">
        <v>88</v>
      </c>
      <c r="E175" s="41">
        <v>100</v>
      </c>
      <c r="F175" s="41" t="s">
        <v>570</v>
      </c>
      <c r="G175" s="53">
        <v>38221243.200000003</v>
      </c>
      <c r="H175" s="41">
        <v>0.72</v>
      </c>
      <c r="I175" s="46">
        <v>0.3428130511463845</v>
      </c>
      <c r="R175" s="76">
        <f t="shared" si="38"/>
        <v>944727.43764172331</v>
      </c>
      <c r="S175" s="53">
        <v>236181.85941043083</v>
      </c>
      <c r="T175" s="53">
        <v>9955.11</v>
      </c>
      <c r="AM175" s="53">
        <v>85633329.599999994</v>
      </c>
      <c r="AO175" s="53">
        <f t="shared" si="36"/>
        <v>27519295.104000002</v>
      </c>
      <c r="AP175" s="53">
        <f t="shared" si="36"/>
        <v>13102741.000000002</v>
      </c>
      <c r="AQ175" s="53">
        <f t="shared" si="36"/>
        <v>0</v>
      </c>
      <c r="AR175" s="53">
        <f t="shared" si="36"/>
        <v>0</v>
      </c>
      <c r="AS175" s="53">
        <f t="shared" si="36"/>
        <v>0</v>
      </c>
      <c r="AT175" s="53">
        <f t="shared" si="36"/>
        <v>0</v>
      </c>
      <c r="AU175" s="53">
        <f t="shared" si="36"/>
        <v>0</v>
      </c>
      <c r="AV175" s="53">
        <f t="shared" si="36"/>
        <v>0</v>
      </c>
      <c r="AW175" s="53">
        <f t="shared" si="36"/>
        <v>0</v>
      </c>
      <c r="AX175" s="53">
        <f t="shared" si="37"/>
        <v>3822124320.0000005</v>
      </c>
      <c r="AY175" s="41" t="s">
        <v>557</v>
      </c>
    </row>
    <row r="176" spans="1:51" x14ac:dyDescent="0.2">
      <c r="A176" s="41" t="s">
        <v>185</v>
      </c>
      <c r="B176" s="41">
        <f t="shared" ref="B176:B191" si="39">B175+1</f>
        <v>2000</v>
      </c>
      <c r="C176" s="41" t="s">
        <v>87</v>
      </c>
      <c r="D176" s="41" t="s">
        <v>88</v>
      </c>
      <c r="E176" s="41">
        <v>100</v>
      </c>
      <c r="F176" s="41" t="s">
        <v>570</v>
      </c>
      <c r="G176" s="53">
        <v>43870377.600000001</v>
      </c>
      <c r="H176" s="41">
        <v>0.75</v>
      </c>
      <c r="I176" s="46">
        <v>0.44565696649029979</v>
      </c>
      <c r="R176" s="76">
        <f t="shared" si="38"/>
        <v>1191753.2879818594</v>
      </c>
      <c r="S176" s="53">
        <v>297938.32199546485</v>
      </c>
      <c r="T176" s="53">
        <v>16596.390599999999</v>
      </c>
      <c r="AM176" s="53">
        <v>73825214.400000006</v>
      </c>
      <c r="AO176" s="53">
        <f t="shared" si="36"/>
        <v>32902783.200000003</v>
      </c>
      <c r="AP176" s="53">
        <f t="shared" si="36"/>
        <v>19551139.399999999</v>
      </c>
      <c r="AQ176" s="53">
        <f t="shared" si="36"/>
        <v>0</v>
      </c>
      <c r="AR176" s="53">
        <f t="shared" si="36"/>
        <v>0</v>
      </c>
      <c r="AS176" s="53">
        <f t="shared" si="36"/>
        <v>0</v>
      </c>
      <c r="AT176" s="53">
        <f t="shared" si="36"/>
        <v>0</v>
      </c>
      <c r="AU176" s="53">
        <f t="shared" si="36"/>
        <v>0</v>
      </c>
      <c r="AV176" s="53">
        <f t="shared" si="36"/>
        <v>0</v>
      </c>
      <c r="AW176" s="53">
        <f t="shared" si="36"/>
        <v>0</v>
      </c>
      <c r="AX176" s="53">
        <f t="shared" si="37"/>
        <v>4387037760</v>
      </c>
      <c r="AY176" s="41" t="s">
        <v>557</v>
      </c>
    </row>
    <row r="177" spans="1:51" x14ac:dyDescent="0.2">
      <c r="A177" s="41" t="s">
        <v>185</v>
      </c>
      <c r="B177" s="41">
        <f t="shared" si="39"/>
        <v>2001</v>
      </c>
      <c r="C177" s="41" t="s">
        <v>87</v>
      </c>
      <c r="D177" s="41" t="s">
        <v>88</v>
      </c>
      <c r="E177" s="41">
        <v>100</v>
      </c>
      <c r="F177" s="41" t="s">
        <v>570</v>
      </c>
      <c r="G177" s="53">
        <v>46951228.799999997</v>
      </c>
      <c r="H177" s="41">
        <v>0.71</v>
      </c>
      <c r="I177" s="46">
        <v>0.38380872566465496</v>
      </c>
      <c r="R177" s="76">
        <f t="shared" si="38"/>
        <v>1193041.2698412698</v>
      </c>
      <c r="S177" s="53">
        <v>298260.31746031746</v>
      </c>
      <c r="T177" s="53">
        <v>15317.247599999999</v>
      </c>
      <c r="AM177" s="53">
        <v>147287548.80000001</v>
      </c>
      <c r="AO177" s="53">
        <f t="shared" si="36"/>
        <v>33335372.447999995</v>
      </c>
      <c r="AP177" s="53">
        <f t="shared" si="36"/>
        <v>18020291.294117644</v>
      </c>
      <c r="AQ177" s="53">
        <f t="shared" si="36"/>
        <v>0</v>
      </c>
      <c r="AR177" s="53">
        <f t="shared" si="36"/>
        <v>0</v>
      </c>
      <c r="AS177" s="53">
        <f t="shared" si="36"/>
        <v>0</v>
      </c>
      <c r="AT177" s="53">
        <f t="shared" si="36"/>
        <v>0</v>
      </c>
      <c r="AU177" s="53">
        <f t="shared" si="36"/>
        <v>0</v>
      </c>
      <c r="AV177" s="53">
        <f t="shared" si="36"/>
        <v>0</v>
      </c>
      <c r="AW177" s="53">
        <f t="shared" si="36"/>
        <v>0</v>
      </c>
      <c r="AX177" s="53">
        <f t="shared" si="37"/>
        <v>4695122880</v>
      </c>
      <c r="AY177" s="41" t="s">
        <v>557</v>
      </c>
    </row>
    <row r="178" spans="1:51" x14ac:dyDescent="0.2">
      <c r="A178" s="41" t="s">
        <v>185</v>
      </c>
      <c r="B178" s="41">
        <f t="shared" si="39"/>
        <v>2002</v>
      </c>
      <c r="C178" s="41" t="s">
        <v>87</v>
      </c>
      <c r="D178" s="41" t="s">
        <v>88</v>
      </c>
      <c r="E178" s="41">
        <v>100</v>
      </c>
      <c r="F178" s="41" t="s">
        <v>570</v>
      </c>
      <c r="G178" s="53">
        <v>45195796.799999997</v>
      </c>
      <c r="H178" s="41">
        <v>0.72</v>
      </c>
      <c r="I178" s="46">
        <v>0.47993827160493829</v>
      </c>
      <c r="R178" s="76">
        <f t="shared" si="38"/>
        <v>1150336.5079365079</v>
      </c>
      <c r="S178" s="53">
        <v>287584.12698412698</v>
      </c>
      <c r="T178" s="53">
        <v>18684.88</v>
      </c>
      <c r="AM178" s="53">
        <v>120419006.40000001</v>
      </c>
      <c r="AO178" s="53">
        <f t="shared" si="36"/>
        <v>32540973.695999995</v>
      </c>
      <c r="AP178" s="53">
        <f t="shared" si="36"/>
        <v>21691192.599999998</v>
      </c>
      <c r="AQ178" s="53">
        <f t="shared" si="36"/>
        <v>0</v>
      </c>
      <c r="AR178" s="53">
        <f t="shared" si="36"/>
        <v>0</v>
      </c>
      <c r="AS178" s="53">
        <f t="shared" si="36"/>
        <v>0</v>
      </c>
      <c r="AT178" s="53">
        <f t="shared" si="36"/>
        <v>0</v>
      </c>
      <c r="AU178" s="53">
        <f t="shared" si="36"/>
        <v>0</v>
      </c>
      <c r="AV178" s="53">
        <f t="shared" si="36"/>
        <v>0</v>
      </c>
      <c r="AW178" s="53">
        <f t="shared" si="36"/>
        <v>0</v>
      </c>
      <c r="AX178" s="53">
        <f t="shared" si="37"/>
        <v>4519579680</v>
      </c>
      <c r="AY178" s="41" t="s">
        <v>557</v>
      </c>
    </row>
    <row r="179" spans="1:51" x14ac:dyDescent="0.2">
      <c r="A179" s="41" t="s">
        <v>185</v>
      </c>
      <c r="B179" s="41">
        <f t="shared" si="39"/>
        <v>2003</v>
      </c>
      <c r="C179" s="41" t="s">
        <v>87</v>
      </c>
      <c r="D179" s="41" t="s">
        <v>88</v>
      </c>
      <c r="E179" s="41">
        <v>100</v>
      </c>
      <c r="F179" s="41" t="s">
        <v>570</v>
      </c>
      <c r="G179" s="53">
        <v>49209249.600000001</v>
      </c>
      <c r="H179" s="41">
        <v>0.75</v>
      </c>
      <c r="I179" s="46">
        <v>0.54850088183421519</v>
      </c>
      <c r="R179" s="76">
        <f t="shared" si="38"/>
        <v>1300569.6145124717</v>
      </c>
      <c r="S179" s="53">
        <v>325142.40362811793</v>
      </c>
      <c r="T179" s="53">
        <v>22354.68</v>
      </c>
      <c r="AM179" s="53">
        <v>164395526.40000001</v>
      </c>
      <c r="AO179" s="53">
        <f t="shared" si="36"/>
        <v>36906937.200000003</v>
      </c>
      <c r="AP179" s="53">
        <f t="shared" si="36"/>
        <v>26991316.800000001</v>
      </c>
      <c r="AQ179" s="53">
        <f t="shared" si="36"/>
        <v>0</v>
      </c>
      <c r="AR179" s="53">
        <f t="shared" si="36"/>
        <v>0</v>
      </c>
      <c r="AS179" s="53">
        <f t="shared" si="36"/>
        <v>0</v>
      </c>
      <c r="AT179" s="53">
        <f t="shared" si="36"/>
        <v>0</v>
      </c>
      <c r="AU179" s="53">
        <f t="shared" si="36"/>
        <v>0</v>
      </c>
      <c r="AV179" s="53">
        <f t="shared" si="36"/>
        <v>0</v>
      </c>
      <c r="AW179" s="53">
        <f t="shared" si="36"/>
        <v>0</v>
      </c>
      <c r="AX179" s="53">
        <f t="shared" si="37"/>
        <v>4920924960</v>
      </c>
      <c r="AY179" s="41" t="s">
        <v>557</v>
      </c>
    </row>
    <row r="180" spans="1:51" x14ac:dyDescent="0.2">
      <c r="A180" s="41" t="s">
        <v>185</v>
      </c>
      <c r="B180" s="41">
        <f t="shared" si="39"/>
        <v>2004</v>
      </c>
      <c r="C180" s="41" t="s">
        <v>87</v>
      </c>
      <c r="D180" s="41" t="s">
        <v>88</v>
      </c>
      <c r="E180" s="41">
        <v>100</v>
      </c>
      <c r="F180" s="41" t="s">
        <v>570</v>
      </c>
      <c r="G180" s="53">
        <v>45550512</v>
      </c>
      <c r="H180" s="41">
        <v>0.69</v>
      </c>
      <c r="I180" s="46">
        <v>0.61706349206349198</v>
      </c>
      <c r="R180" s="76">
        <f t="shared" si="38"/>
        <v>1081190.022675737</v>
      </c>
      <c r="S180" s="53">
        <v>270297.50566893426</v>
      </c>
      <c r="T180" s="53">
        <v>22758.98</v>
      </c>
      <c r="AM180" s="53">
        <v>159329721.59999999</v>
      </c>
      <c r="AO180" s="53">
        <f t="shared" si="36"/>
        <v>31429853.279999997</v>
      </c>
      <c r="AP180" s="53">
        <f t="shared" si="36"/>
        <v>28107557.999999996</v>
      </c>
      <c r="AQ180" s="53">
        <f t="shared" si="36"/>
        <v>0</v>
      </c>
      <c r="AR180" s="53">
        <f t="shared" si="36"/>
        <v>0</v>
      </c>
      <c r="AS180" s="53">
        <f t="shared" si="36"/>
        <v>0</v>
      </c>
      <c r="AT180" s="53">
        <f t="shared" si="36"/>
        <v>0</v>
      </c>
      <c r="AU180" s="53">
        <f t="shared" si="36"/>
        <v>0</v>
      </c>
      <c r="AV180" s="53">
        <f t="shared" si="36"/>
        <v>0</v>
      </c>
      <c r="AW180" s="53">
        <f t="shared" si="36"/>
        <v>0</v>
      </c>
      <c r="AX180" s="53">
        <f t="shared" si="37"/>
        <v>4555051200</v>
      </c>
      <c r="AY180" s="41" t="s">
        <v>557</v>
      </c>
    </row>
    <row r="181" spans="1:51" x14ac:dyDescent="0.2">
      <c r="A181" s="41" t="s">
        <v>185</v>
      </c>
      <c r="B181" s="41">
        <f t="shared" si="39"/>
        <v>2005</v>
      </c>
      <c r="C181" s="41" t="s">
        <v>87</v>
      </c>
      <c r="D181" s="41" t="s">
        <v>88</v>
      </c>
      <c r="E181" s="41">
        <v>100</v>
      </c>
      <c r="F181" s="41" t="s">
        <v>570</v>
      </c>
      <c r="G181" s="53">
        <v>42661987.200000003</v>
      </c>
      <c r="H181" s="41">
        <v>0.55000000000000004</v>
      </c>
      <c r="I181" s="46">
        <v>0.41137566137566139</v>
      </c>
      <c r="R181" s="76">
        <f t="shared" si="38"/>
        <v>823582.76643990935</v>
      </c>
      <c r="S181" s="53">
        <v>205895.69160997734</v>
      </c>
      <c r="T181" s="53">
        <v>13932.8</v>
      </c>
      <c r="AM181" s="53">
        <v>150508108.80000001</v>
      </c>
      <c r="AO181" s="53">
        <f t="shared" si="36"/>
        <v>23464092.960000005</v>
      </c>
      <c r="AP181" s="53">
        <f t="shared" si="36"/>
        <v>17550103.200000003</v>
      </c>
      <c r="AQ181" s="53">
        <f t="shared" si="36"/>
        <v>0</v>
      </c>
      <c r="AR181" s="53">
        <f t="shared" si="36"/>
        <v>0</v>
      </c>
      <c r="AS181" s="53">
        <f t="shared" si="36"/>
        <v>0</v>
      </c>
      <c r="AT181" s="53">
        <f t="shared" si="36"/>
        <v>0</v>
      </c>
      <c r="AU181" s="53">
        <f t="shared" si="36"/>
        <v>0</v>
      </c>
      <c r="AV181" s="53">
        <f t="shared" si="36"/>
        <v>0</v>
      </c>
      <c r="AW181" s="53">
        <f t="shared" si="36"/>
        <v>0</v>
      </c>
      <c r="AX181" s="53">
        <f t="shared" si="37"/>
        <v>4266198720.0000005</v>
      </c>
      <c r="AY181" s="41" t="s">
        <v>557</v>
      </c>
    </row>
    <row r="182" spans="1:51" x14ac:dyDescent="0.2">
      <c r="A182" s="41" t="s">
        <v>185</v>
      </c>
      <c r="B182" s="41">
        <f t="shared" si="39"/>
        <v>2006</v>
      </c>
      <c r="C182" s="41" t="s">
        <v>87</v>
      </c>
      <c r="D182" s="41" t="s">
        <v>88</v>
      </c>
      <c r="E182" s="41">
        <v>100</v>
      </c>
      <c r="F182" s="41" t="s">
        <v>570</v>
      </c>
      <c r="G182" s="53">
        <v>42440630.399999999</v>
      </c>
      <c r="H182" s="46">
        <v>0.6</v>
      </c>
      <c r="I182" s="46">
        <v>0.47993827160493829</v>
      </c>
      <c r="R182" s="76">
        <f t="shared" si="38"/>
        <v>878004.53514739231</v>
      </c>
      <c r="S182" s="53">
        <v>219501.13378684808</v>
      </c>
      <c r="T182" s="53">
        <v>17042.8</v>
      </c>
      <c r="AM182" s="53">
        <v>195378220.80000001</v>
      </c>
      <c r="AO182" s="53">
        <f t="shared" si="36"/>
        <v>25464378.239999998</v>
      </c>
      <c r="AP182" s="53">
        <f t="shared" si="36"/>
        <v>20368882.800000001</v>
      </c>
      <c r="AQ182" s="53">
        <f t="shared" si="36"/>
        <v>0</v>
      </c>
      <c r="AR182" s="53">
        <f t="shared" si="36"/>
        <v>0</v>
      </c>
      <c r="AS182" s="53">
        <f t="shared" si="36"/>
        <v>0</v>
      </c>
      <c r="AT182" s="53">
        <f t="shared" si="36"/>
        <v>0</v>
      </c>
      <c r="AU182" s="53">
        <f t="shared" si="36"/>
        <v>0</v>
      </c>
      <c r="AV182" s="53">
        <f t="shared" si="36"/>
        <v>0</v>
      </c>
      <c r="AW182" s="53">
        <f t="shared" si="36"/>
        <v>0</v>
      </c>
      <c r="AX182" s="53">
        <f t="shared" si="37"/>
        <v>4244063040</v>
      </c>
      <c r="AY182" s="41" t="s">
        <v>557</v>
      </c>
    </row>
    <row r="183" spans="1:51" x14ac:dyDescent="0.2">
      <c r="A183" s="41" t="s">
        <v>185</v>
      </c>
      <c r="B183" s="41">
        <f t="shared" si="39"/>
        <v>2007</v>
      </c>
      <c r="C183" s="41" t="s">
        <v>87</v>
      </c>
      <c r="D183" s="41" t="s">
        <v>88</v>
      </c>
      <c r="E183" s="41">
        <v>100</v>
      </c>
      <c r="F183" s="41" t="s">
        <v>570</v>
      </c>
      <c r="G183" s="53">
        <v>34308489.600000001</v>
      </c>
      <c r="H183" s="41">
        <v>0.47</v>
      </c>
      <c r="I183" s="46">
        <v>0.30853174603174599</v>
      </c>
      <c r="R183" s="76">
        <f t="shared" si="38"/>
        <v>517006.80272108846</v>
      </c>
      <c r="S183" s="53">
        <v>129251.70068027212</v>
      </c>
      <c r="T183" s="53">
        <v>8365.9</v>
      </c>
      <c r="AM183" s="53">
        <v>108421286.40000001</v>
      </c>
      <c r="AO183" s="53">
        <f t="shared" si="36"/>
        <v>16124990.112</v>
      </c>
      <c r="AP183" s="53">
        <f t="shared" si="36"/>
        <v>10585258.199999999</v>
      </c>
      <c r="AQ183" s="53">
        <f t="shared" si="36"/>
        <v>0</v>
      </c>
      <c r="AR183" s="53">
        <f t="shared" si="36"/>
        <v>0</v>
      </c>
      <c r="AS183" s="53">
        <f t="shared" si="36"/>
        <v>0</v>
      </c>
      <c r="AT183" s="53">
        <f t="shared" si="36"/>
        <v>0</v>
      </c>
      <c r="AU183" s="53">
        <f t="shared" si="36"/>
        <v>0</v>
      </c>
      <c r="AV183" s="53">
        <f t="shared" si="36"/>
        <v>0</v>
      </c>
      <c r="AW183" s="53">
        <f t="shared" si="36"/>
        <v>0</v>
      </c>
      <c r="AX183" s="53">
        <f t="shared" si="37"/>
        <v>3430848960</v>
      </c>
      <c r="AY183" s="41" t="s">
        <v>557</v>
      </c>
    </row>
    <row r="184" spans="1:51" x14ac:dyDescent="0.2">
      <c r="A184" s="41" t="s">
        <v>185</v>
      </c>
      <c r="B184" s="41">
        <f t="shared" si="39"/>
        <v>2008</v>
      </c>
      <c r="C184" s="41" t="s">
        <v>87</v>
      </c>
      <c r="D184" s="41" t="s">
        <v>88</v>
      </c>
      <c r="E184" s="41">
        <v>100</v>
      </c>
      <c r="F184" s="41" t="s">
        <v>570</v>
      </c>
      <c r="G184" s="53">
        <v>40466563.200000003</v>
      </c>
      <c r="H184" s="41">
        <v>0.62</v>
      </c>
      <c r="I184" s="46">
        <v>0.51421957671957674</v>
      </c>
      <c r="R184" s="76">
        <f t="shared" si="38"/>
        <v>896145.12471655325</v>
      </c>
      <c r="S184" s="53">
        <v>224036.28117913831</v>
      </c>
      <c r="T184" s="53">
        <v>17416</v>
      </c>
      <c r="AM184" s="53">
        <v>22280832</v>
      </c>
      <c r="AO184" s="53">
        <f t="shared" si="36"/>
        <v>25089269.184</v>
      </c>
      <c r="AP184" s="53">
        <f t="shared" si="36"/>
        <v>20808699.000000004</v>
      </c>
      <c r="AQ184" s="53">
        <f t="shared" si="36"/>
        <v>0</v>
      </c>
      <c r="AR184" s="53">
        <f t="shared" si="36"/>
        <v>0</v>
      </c>
      <c r="AS184" s="53">
        <f t="shared" si="36"/>
        <v>0</v>
      </c>
      <c r="AT184" s="53">
        <f t="shared" si="36"/>
        <v>0</v>
      </c>
      <c r="AU184" s="53">
        <f t="shared" si="36"/>
        <v>0</v>
      </c>
      <c r="AV184" s="53">
        <f t="shared" si="36"/>
        <v>0</v>
      </c>
      <c r="AW184" s="53">
        <f t="shared" si="36"/>
        <v>0</v>
      </c>
      <c r="AX184" s="53">
        <f t="shared" si="37"/>
        <v>4046656320.0000005</v>
      </c>
      <c r="AY184" s="41" t="s">
        <v>557</v>
      </c>
    </row>
    <row r="185" spans="1:51" x14ac:dyDescent="0.2">
      <c r="A185" s="41" t="s">
        <v>185</v>
      </c>
      <c r="B185" s="41">
        <f t="shared" si="39"/>
        <v>2009</v>
      </c>
      <c r="C185" s="41" t="s">
        <v>87</v>
      </c>
      <c r="D185" s="41" t="s">
        <v>88</v>
      </c>
      <c r="E185" s="41">
        <v>100</v>
      </c>
      <c r="F185" s="41" t="s">
        <v>570</v>
      </c>
      <c r="G185" s="53">
        <v>43375046.399999999</v>
      </c>
      <c r="H185" s="41">
        <v>0.66</v>
      </c>
      <c r="I185" s="46">
        <v>0.65134479717813054</v>
      </c>
      <c r="R185" s="76">
        <f t="shared" si="38"/>
        <v>983398.34890683123</v>
      </c>
      <c r="S185" s="53">
        <v>245849.58722670781</v>
      </c>
      <c r="T185" s="53">
        <v>22920.7</v>
      </c>
      <c r="AM185" s="53">
        <v>60111979.200000003</v>
      </c>
      <c r="AO185" s="53">
        <f t="shared" si="36"/>
        <v>28627530.624000002</v>
      </c>
      <c r="AP185" s="53">
        <f t="shared" si="36"/>
        <v>28252110.800000001</v>
      </c>
      <c r="AQ185" s="53">
        <f t="shared" si="36"/>
        <v>0</v>
      </c>
      <c r="AR185" s="53">
        <f t="shared" si="36"/>
        <v>0</v>
      </c>
      <c r="AS185" s="53">
        <f t="shared" si="36"/>
        <v>0</v>
      </c>
      <c r="AT185" s="53">
        <f t="shared" si="36"/>
        <v>0</v>
      </c>
      <c r="AU185" s="53">
        <f t="shared" si="36"/>
        <v>0</v>
      </c>
      <c r="AV185" s="53">
        <f t="shared" si="36"/>
        <v>0</v>
      </c>
      <c r="AW185" s="53">
        <f t="shared" si="36"/>
        <v>0</v>
      </c>
      <c r="AX185" s="53">
        <f t="shared" si="37"/>
        <v>4337504640</v>
      </c>
      <c r="AY185" s="41" t="s">
        <v>557</v>
      </c>
    </row>
    <row r="186" spans="1:51" x14ac:dyDescent="0.2">
      <c r="A186" s="41" t="s">
        <v>185</v>
      </c>
      <c r="B186" s="41">
        <f t="shared" si="39"/>
        <v>2010</v>
      </c>
      <c r="C186" s="41" t="s">
        <v>87</v>
      </c>
      <c r="D186" s="41" t="s">
        <v>88</v>
      </c>
      <c r="E186" s="41">
        <v>100</v>
      </c>
      <c r="F186" s="41" t="s">
        <v>570</v>
      </c>
      <c r="G186" s="53">
        <v>32219208</v>
      </c>
      <c r="H186" s="41">
        <v>0.52</v>
      </c>
      <c r="I186" s="46">
        <v>0.37709435626102294</v>
      </c>
      <c r="R186" s="76">
        <f t="shared" si="38"/>
        <v>513471.83162478457</v>
      </c>
      <c r="S186" s="53">
        <v>128367.95790619614</v>
      </c>
      <c r="T186" s="53">
        <v>9889.7999999999993</v>
      </c>
      <c r="AM186" s="53">
        <v>140997024</v>
      </c>
      <c r="AO186" s="53">
        <f t="shared" si="36"/>
        <v>16753988.16</v>
      </c>
      <c r="AP186" s="53">
        <f t="shared" si="36"/>
        <v>12149681.5</v>
      </c>
      <c r="AQ186" s="53">
        <f t="shared" si="36"/>
        <v>0</v>
      </c>
      <c r="AR186" s="53">
        <f t="shared" si="36"/>
        <v>0</v>
      </c>
      <c r="AS186" s="53">
        <f t="shared" si="36"/>
        <v>0</v>
      </c>
      <c r="AT186" s="53">
        <f t="shared" si="36"/>
        <v>0</v>
      </c>
      <c r="AU186" s="53">
        <f t="shared" si="36"/>
        <v>0</v>
      </c>
      <c r="AV186" s="53">
        <f t="shared" si="36"/>
        <v>0</v>
      </c>
      <c r="AW186" s="53">
        <f t="shared" si="36"/>
        <v>0</v>
      </c>
      <c r="AX186" s="53">
        <f t="shared" si="37"/>
        <v>3221920800</v>
      </c>
      <c r="AY186" s="41" t="s">
        <v>557</v>
      </c>
    </row>
    <row r="187" spans="1:51" x14ac:dyDescent="0.2">
      <c r="A187" s="41" t="s">
        <v>185</v>
      </c>
      <c r="B187" s="41">
        <f t="shared" si="39"/>
        <v>2011</v>
      </c>
      <c r="C187" s="41" t="s">
        <v>87</v>
      </c>
      <c r="D187" s="41" t="s">
        <v>88</v>
      </c>
      <c r="E187" s="41">
        <v>100</v>
      </c>
      <c r="F187" s="41" t="s">
        <v>570</v>
      </c>
      <c r="G187" s="53">
        <v>32096736</v>
      </c>
      <c r="H187" s="41">
        <v>0.35</v>
      </c>
      <c r="I187" s="46">
        <v>0.10284391534391535</v>
      </c>
      <c r="R187" s="76">
        <f t="shared" si="38"/>
        <v>284858.93132541049</v>
      </c>
      <c r="S187" s="53">
        <v>71214.732831352623</v>
      </c>
      <c r="T187" s="53">
        <v>2114.7999999999997</v>
      </c>
      <c r="AM187" s="53">
        <v>177012864</v>
      </c>
      <c r="AO187" s="53">
        <f t="shared" si="36"/>
        <v>11233857.6</v>
      </c>
      <c r="AP187" s="53">
        <f t="shared" si="36"/>
        <v>3300954</v>
      </c>
      <c r="AQ187" s="53">
        <f t="shared" si="36"/>
        <v>0</v>
      </c>
      <c r="AR187" s="53">
        <f t="shared" si="36"/>
        <v>0</v>
      </c>
      <c r="AS187" s="53">
        <f t="shared" si="36"/>
        <v>0</v>
      </c>
      <c r="AT187" s="53">
        <f t="shared" si="36"/>
        <v>0</v>
      </c>
      <c r="AU187" s="53">
        <f t="shared" si="36"/>
        <v>0</v>
      </c>
      <c r="AV187" s="53">
        <f t="shared" si="36"/>
        <v>0</v>
      </c>
      <c r="AW187" s="53">
        <f t="shared" si="36"/>
        <v>0</v>
      </c>
      <c r="AX187" s="53">
        <f t="shared" si="37"/>
        <v>3209673600</v>
      </c>
      <c r="AY187" s="41" t="s">
        <v>557</v>
      </c>
    </row>
    <row r="188" spans="1:51" x14ac:dyDescent="0.2">
      <c r="A188" s="41" t="s">
        <v>185</v>
      </c>
      <c r="B188" s="41">
        <f t="shared" si="39"/>
        <v>2012</v>
      </c>
      <c r="C188" s="41" t="s">
        <v>87</v>
      </c>
      <c r="D188" s="41" t="s">
        <v>88</v>
      </c>
      <c r="E188" s="41">
        <v>100</v>
      </c>
      <c r="F188" s="41" t="s">
        <v>570</v>
      </c>
      <c r="G188" s="53">
        <v>31893523.199999999</v>
      </c>
      <c r="H188" s="41">
        <v>0.33</v>
      </c>
      <c r="I188" s="46">
        <v>6.8562610229276899E-2</v>
      </c>
      <c r="R188" s="76">
        <f t="shared" si="38"/>
        <v>292116.48371586681</v>
      </c>
      <c r="S188" s="53">
        <v>73029.120928966702</v>
      </c>
      <c r="T188" s="53">
        <v>1492.8</v>
      </c>
      <c r="AM188" s="53">
        <v>168702912</v>
      </c>
      <c r="AO188" s="53">
        <f t="shared" si="36"/>
        <v>10524862.655999999</v>
      </c>
      <c r="AP188" s="53">
        <f t="shared" si="36"/>
        <v>2186703.2000000002</v>
      </c>
      <c r="AQ188" s="53">
        <f t="shared" si="36"/>
        <v>0</v>
      </c>
      <c r="AR188" s="53">
        <f t="shared" si="36"/>
        <v>0</v>
      </c>
      <c r="AS188" s="53">
        <f t="shared" si="36"/>
        <v>0</v>
      </c>
      <c r="AT188" s="53">
        <f t="shared" si="36"/>
        <v>0</v>
      </c>
      <c r="AU188" s="53">
        <f t="shared" si="36"/>
        <v>0</v>
      </c>
      <c r="AV188" s="53">
        <f t="shared" si="36"/>
        <v>0</v>
      </c>
      <c r="AW188" s="53">
        <f t="shared" si="36"/>
        <v>0</v>
      </c>
      <c r="AX188" s="53">
        <f t="shared" si="37"/>
        <v>3189352320</v>
      </c>
      <c r="AY188" s="41" t="s">
        <v>557</v>
      </c>
    </row>
    <row r="189" spans="1:51" x14ac:dyDescent="0.2">
      <c r="A189" s="41" t="s">
        <v>185</v>
      </c>
      <c r="B189" s="41">
        <f t="shared" si="39"/>
        <v>2013</v>
      </c>
      <c r="C189" s="41" t="s">
        <v>87</v>
      </c>
      <c r="D189" s="41" t="s">
        <v>88</v>
      </c>
      <c r="E189" s="41">
        <v>100</v>
      </c>
      <c r="F189" s="41" t="s">
        <v>570</v>
      </c>
      <c r="G189" s="53">
        <v>22237286.399999999</v>
      </c>
      <c r="H189" s="46">
        <v>0.4</v>
      </c>
      <c r="I189" s="46">
        <v>0.1371252204585538</v>
      </c>
      <c r="R189" s="76">
        <f t="shared" si="38"/>
        <v>283044.54322779644</v>
      </c>
      <c r="S189" s="53">
        <v>70761.135806949111</v>
      </c>
      <c r="T189" s="53">
        <v>2363.6</v>
      </c>
      <c r="AM189" s="53">
        <v>53208187.200000003</v>
      </c>
      <c r="AO189" s="53">
        <f t="shared" si="36"/>
        <v>8894914.5600000005</v>
      </c>
      <c r="AP189" s="53">
        <f t="shared" si="36"/>
        <v>3049292.8</v>
      </c>
      <c r="AQ189" s="53">
        <f t="shared" si="36"/>
        <v>0</v>
      </c>
      <c r="AR189" s="53">
        <f t="shared" si="36"/>
        <v>0</v>
      </c>
      <c r="AS189" s="53">
        <f t="shared" si="36"/>
        <v>0</v>
      </c>
      <c r="AT189" s="53">
        <f t="shared" si="36"/>
        <v>0</v>
      </c>
      <c r="AU189" s="53">
        <f t="shared" si="36"/>
        <v>0</v>
      </c>
      <c r="AV189" s="53">
        <f t="shared" si="36"/>
        <v>0</v>
      </c>
      <c r="AW189" s="53">
        <f t="shared" si="36"/>
        <v>0</v>
      </c>
      <c r="AX189" s="53">
        <f t="shared" si="37"/>
        <v>2223728640</v>
      </c>
      <c r="AY189" s="41" t="s">
        <v>557</v>
      </c>
    </row>
    <row r="190" spans="1:51" x14ac:dyDescent="0.2">
      <c r="A190" s="41" t="s">
        <v>185</v>
      </c>
      <c r="B190" s="41">
        <f t="shared" si="39"/>
        <v>2014</v>
      </c>
      <c r="C190" s="41" t="s">
        <v>87</v>
      </c>
      <c r="D190" s="41" t="s">
        <v>88</v>
      </c>
      <c r="E190" s="41">
        <v>100</v>
      </c>
      <c r="F190" s="41" t="s">
        <v>570</v>
      </c>
      <c r="G190" s="53">
        <v>42026040</v>
      </c>
      <c r="H190" s="41">
        <v>0.63</v>
      </c>
      <c r="I190" s="46">
        <v>0.65134479717813054</v>
      </c>
      <c r="R190" s="76">
        <f t="shared" si="38"/>
        <v>896307.72022135544</v>
      </c>
      <c r="S190" s="53">
        <v>224076.93005533886</v>
      </c>
      <c r="T190" s="53">
        <v>21023.599999999999</v>
      </c>
      <c r="AM190" s="53">
        <v>46992960</v>
      </c>
      <c r="AO190" s="53">
        <f t="shared" si="36"/>
        <v>26476405.199999999</v>
      </c>
      <c r="AP190" s="53">
        <f t="shared" si="36"/>
        <v>27373442.5</v>
      </c>
      <c r="AQ190" s="53">
        <f t="shared" si="36"/>
        <v>0</v>
      </c>
      <c r="AR190" s="53">
        <f t="shared" si="36"/>
        <v>0</v>
      </c>
      <c r="AS190" s="53">
        <f t="shared" si="36"/>
        <v>0</v>
      </c>
      <c r="AT190" s="53">
        <f t="shared" si="36"/>
        <v>0</v>
      </c>
      <c r="AU190" s="53">
        <f t="shared" si="36"/>
        <v>0</v>
      </c>
      <c r="AV190" s="53">
        <f t="shared" si="36"/>
        <v>0</v>
      </c>
      <c r="AW190" s="53">
        <f t="shared" si="36"/>
        <v>0</v>
      </c>
      <c r="AX190" s="53">
        <f t="shared" si="37"/>
        <v>4202604000</v>
      </c>
      <c r="AY190" s="41" t="s">
        <v>557</v>
      </c>
    </row>
    <row r="191" spans="1:51" x14ac:dyDescent="0.2">
      <c r="A191" s="41" t="s">
        <v>185</v>
      </c>
      <c r="B191" s="41">
        <f t="shared" si="39"/>
        <v>2015</v>
      </c>
      <c r="C191" s="41" t="s">
        <v>87</v>
      </c>
      <c r="D191" s="41" t="s">
        <v>88</v>
      </c>
      <c r="E191" s="41">
        <v>100</v>
      </c>
      <c r="F191" s="41" t="s">
        <v>570</v>
      </c>
      <c r="G191" s="53">
        <v>42845366.117647052</v>
      </c>
      <c r="H191" s="41">
        <v>0.63</v>
      </c>
      <c r="I191" s="46">
        <v>0.75418871252204589</v>
      </c>
      <c r="R191" s="76">
        <f t="shared" si="38"/>
        <v>893823.31298965507</v>
      </c>
      <c r="S191" s="53">
        <v>223455.82824741377</v>
      </c>
      <c r="T191" s="53">
        <v>26004.580065359474</v>
      </c>
      <c r="AM191" s="53">
        <v>19628532</v>
      </c>
      <c r="AO191" s="53">
        <f t="shared" si="36"/>
        <v>26992580.654117644</v>
      </c>
      <c r="AP191" s="53">
        <f t="shared" si="36"/>
        <v>32313491.509803917</v>
      </c>
      <c r="AQ191" s="53">
        <f t="shared" si="36"/>
        <v>0</v>
      </c>
      <c r="AR191" s="53">
        <f t="shared" si="36"/>
        <v>0</v>
      </c>
      <c r="AS191" s="53">
        <f t="shared" si="36"/>
        <v>0</v>
      </c>
      <c r="AT191" s="53">
        <f t="shared" si="36"/>
        <v>0</v>
      </c>
      <c r="AU191" s="53">
        <f t="shared" si="36"/>
        <v>0</v>
      </c>
      <c r="AV191" s="53">
        <f t="shared" si="36"/>
        <v>0</v>
      </c>
      <c r="AW191" s="53">
        <f t="shared" si="36"/>
        <v>0</v>
      </c>
      <c r="AX191" s="53">
        <f t="shared" si="37"/>
        <v>4284536611.7647052</v>
      </c>
      <c r="AY191" s="41" t="s">
        <v>557</v>
      </c>
    </row>
    <row r="192" spans="1:51" x14ac:dyDescent="0.2">
      <c r="A192" s="84"/>
      <c r="B192" s="85" t="s">
        <v>564</v>
      </c>
      <c r="C192" s="60" t="s">
        <v>87</v>
      </c>
      <c r="D192" s="60" t="s">
        <v>88</v>
      </c>
      <c r="E192" s="60">
        <v>100</v>
      </c>
      <c r="F192" s="60" t="s">
        <v>570</v>
      </c>
      <c r="G192" s="79">
        <f>SUM(G173:G190)+0.5*G191</f>
        <v>659342135.85882354</v>
      </c>
      <c r="H192" s="80">
        <f>AO192/$G192</f>
        <v>0.61376700098794901</v>
      </c>
      <c r="I192" s="80">
        <f>AP192/$G192</f>
        <v>0.44030975006757495</v>
      </c>
      <c r="R192" s="79">
        <f>SUM(R173:R190)+0.5*R191</f>
        <v>13771833.778555425</v>
      </c>
      <c r="S192" s="79">
        <f>SUM(S173:S190)+0.5*S191</f>
        <v>3442958.4446388562</v>
      </c>
      <c r="T192" s="79">
        <f>SUM(T173:T190)+0.5*T191</f>
        <v>235583.8082326797</v>
      </c>
      <c r="AM192" s="79">
        <f>SUM(AM173:AM190)+0.5*AM191</f>
        <v>1988603442.0000002</v>
      </c>
      <c r="AO192" s="79">
        <f t="shared" ref="AO192:AX192" si="40">SUM(AO173:AO190)+0.5*AO191</f>
        <v>404682445.35105896</v>
      </c>
      <c r="AP192" s="79">
        <f t="shared" si="40"/>
        <v>290314771.04901963</v>
      </c>
      <c r="AQ192" s="79">
        <f t="shared" si="40"/>
        <v>0</v>
      </c>
      <c r="AR192" s="79">
        <f t="shared" si="40"/>
        <v>0</v>
      </c>
      <c r="AS192" s="79">
        <f t="shared" si="40"/>
        <v>0</v>
      </c>
      <c r="AT192" s="79">
        <f t="shared" si="40"/>
        <v>0</v>
      </c>
      <c r="AU192" s="79">
        <f t="shared" si="40"/>
        <v>0</v>
      </c>
      <c r="AV192" s="79">
        <f t="shared" si="40"/>
        <v>0</v>
      </c>
      <c r="AW192" s="79">
        <f t="shared" si="40"/>
        <v>0</v>
      </c>
      <c r="AX192" s="79">
        <f t="shared" si="40"/>
        <v>65934213585.882355</v>
      </c>
      <c r="AY192" s="41" t="s">
        <v>557</v>
      </c>
    </row>
    <row r="193" spans="1:51" x14ac:dyDescent="0.2">
      <c r="A193" s="41" t="s">
        <v>185</v>
      </c>
      <c r="B193" s="43" t="s">
        <v>560</v>
      </c>
      <c r="G193" s="53">
        <f>STDEV(G173:G191)</f>
        <v>10595181.360118469</v>
      </c>
      <c r="H193" s="46">
        <f>STDEV(H173:H191)</f>
        <v>0.13791751821311676</v>
      </c>
      <c r="I193" s="46">
        <f>STDEV(I173:I191)</f>
        <v>0.19734817845373526</v>
      </c>
      <c r="R193" s="53">
        <f>STDEV(R173:R191)</f>
        <v>367527.056965105</v>
      </c>
      <c r="S193" s="53">
        <f>STDEV(S173:S191)</f>
        <v>91881.764241276251</v>
      </c>
      <c r="T193" s="53">
        <f>STDEV(T173:T191)</f>
        <v>8241.3043739949881</v>
      </c>
      <c r="AM193" s="53">
        <f>STDEV(AM173:AM191)</f>
        <v>57156701.169211052</v>
      </c>
      <c r="AY193" s="41" t="s">
        <v>557</v>
      </c>
    </row>
    <row r="194" spans="1:51" x14ac:dyDescent="0.2">
      <c r="A194" s="41" t="s">
        <v>185</v>
      </c>
      <c r="B194" s="81" t="s">
        <v>249</v>
      </c>
      <c r="G194" s="41">
        <f>COUNT(G173:G191)</f>
        <v>18</v>
      </c>
      <c r="H194" s="41">
        <f>COUNT(H173:H191)</f>
        <v>18</v>
      </c>
      <c r="I194" s="41">
        <f>COUNT(I173:I191)</f>
        <v>18</v>
      </c>
      <c r="R194" s="41">
        <f>COUNT(R173:R191)</f>
        <v>18</v>
      </c>
      <c r="S194" s="41">
        <f>COUNT(S173:S191)</f>
        <v>18</v>
      </c>
      <c r="T194" s="41">
        <f>COUNT(T173:T191)</f>
        <v>18</v>
      </c>
      <c r="AM194" s="41">
        <f>COUNT(AM173:AM191)</f>
        <v>19</v>
      </c>
      <c r="AY194" s="41" t="s">
        <v>557</v>
      </c>
    </row>
    <row r="195" spans="1:51" x14ac:dyDescent="0.2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41" t="s">
        <v>557</v>
      </c>
    </row>
    <row r="196" spans="1:51" x14ac:dyDescent="0.2">
      <c r="A196" s="41" t="s">
        <v>227</v>
      </c>
      <c r="B196" s="41">
        <v>1905</v>
      </c>
      <c r="C196" s="41" t="s">
        <v>87</v>
      </c>
      <c r="D196" s="41" t="s">
        <v>220</v>
      </c>
      <c r="E196" s="41">
        <v>100</v>
      </c>
      <c r="F196" s="41" t="s">
        <v>563</v>
      </c>
      <c r="G196" s="53">
        <v>196652.83679999999</v>
      </c>
      <c r="H196" s="56">
        <v>1.4505347803303001</v>
      </c>
      <c r="I196" s="56">
        <v>0.46395703375742781</v>
      </c>
      <c r="J196" s="56">
        <v>3.4686666451196464</v>
      </c>
      <c r="S196" s="53">
        <v>2552.8607999999999</v>
      </c>
      <c r="T196" s="53">
        <v>62.2</v>
      </c>
      <c r="U196" s="53">
        <v>528.70000000000005</v>
      </c>
      <c r="V196" s="53"/>
      <c r="AO196" s="53">
        <f t="shared" ref="AO196:AW224" si="41">$G196*H196</f>
        <v>285251.77942901832</v>
      </c>
      <c r="AP196" s="53">
        <f t="shared" si="41"/>
        <v>91238.466841711532</v>
      </c>
      <c r="AQ196" s="53">
        <f t="shared" si="41"/>
        <v>682123.13567631727</v>
      </c>
      <c r="AR196" s="53">
        <f t="shared" si="41"/>
        <v>0</v>
      </c>
      <c r="AS196" s="53">
        <f t="shared" si="41"/>
        <v>0</v>
      </c>
      <c r="AT196" s="53">
        <f t="shared" si="41"/>
        <v>0</v>
      </c>
      <c r="AU196" s="53">
        <f t="shared" si="41"/>
        <v>0</v>
      </c>
      <c r="AV196" s="53">
        <f t="shared" si="41"/>
        <v>0</v>
      </c>
      <c r="AW196" s="53">
        <f t="shared" si="41"/>
        <v>0</v>
      </c>
      <c r="AX196" s="53">
        <f t="shared" ref="AX196:AX259" si="42">$G196*E196</f>
        <v>19665283.68</v>
      </c>
      <c r="AY196" s="41" t="s">
        <v>557</v>
      </c>
    </row>
    <row r="197" spans="1:51" x14ac:dyDescent="0.2">
      <c r="A197" s="41" t="s">
        <v>227</v>
      </c>
      <c r="B197" s="41">
        <v>1906</v>
      </c>
      <c r="C197" s="41" t="s">
        <v>87</v>
      </c>
      <c r="D197" s="41" t="s">
        <v>220</v>
      </c>
      <c r="E197" s="41">
        <v>100</v>
      </c>
      <c r="F197" s="41" t="s">
        <v>563</v>
      </c>
      <c r="G197" s="53">
        <v>209676.6</v>
      </c>
      <c r="H197" s="56">
        <v>1.3116081216607178</v>
      </c>
      <c r="I197" s="56">
        <v>0.43513900378826975</v>
      </c>
      <c r="J197" s="56">
        <v>3.0618497502459321</v>
      </c>
      <c r="S197" s="53">
        <v>2461.2336</v>
      </c>
      <c r="T197" s="53">
        <v>62.2</v>
      </c>
      <c r="U197" s="53">
        <v>497.6</v>
      </c>
      <c r="V197" s="53"/>
      <c r="AO197" s="53">
        <f t="shared" si="41"/>
        <v>275013.53148220567</v>
      </c>
      <c r="AP197" s="53">
        <f t="shared" si="41"/>
        <v>91238.466841711517</v>
      </c>
      <c r="AQ197" s="53">
        <f t="shared" si="41"/>
        <v>641998.24534241622</v>
      </c>
      <c r="AR197" s="53">
        <f t="shared" si="41"/>
        <v>0</v>
      </c>
      <c r="AS197" s="53">
        <f t="shared" si="41"/>
        <v>0</v>
      </c>
      <c r="AT197" s="53">
        <f t="shared" si="41"/>
        <v>0</v>
      </c>
      <c r="AU197" s="53">
        <f t="shared" si="41"/>
        <v>0</v>
      </c>
      <c r="AV197" s="53">
        <f t="shared" si="41"/>
        <v>0</v>
      </c>
      <c r="AW197" s="53">
        <f t="shared" si="41"/>
        <v>0</v>
      </c>
      <c r="AX197" s="53">
        <f t="shared" si="42"/>
        <v>20967660</v>
      </c>
      <c r="AY197" s="41" t="s">
        <v>557</v>
      </c>
    </row>
    <row r="198" spans="1:51" x14ac:dyDescent="0.2">
      <c r="A198" s="41" t="s">
        <v>227</v>
      </c>
      <c r="B198" s="41">
        <v>1907</v>
      </c>
      <c r="C198" s="41" t="s">
        <v>87</v>
      </c>
      <c r="D198" s="41" t="s">
        <v>220</v>
      </c>
      <c r="E198" s="41">
        <v>100</v>
      </c>
      <c r="F198" s="41" t="s">
        <v>563</v>
      </c>
      <c r="G198" s="53">
        <v>166533.79680000001</v>
      </c>
      <c r="H198" s="56">
        <v>1.2782658316264455</v>
      </c>
      <c r="I198" s="56">
        <v>0.27393378579870198</v>
      </c>
      <c r="J198" s="56">
        <v>2.6503556764695775</v>
      </c>
      <c r="S198" s="53">
        <v>1905.1200000000001</v>
      </c>
      <c r="T198" s="53">
        <v>31.1</v>
      </c>
      <c r="U198" s="53">
        <v>342.1</v>
      </c>
      <c r="V198" s="53"/>
      <c r="AM198" s="53">
        <v>697341.96</v>
      </c>
      <c r="AO198" s="53">
        <f t="shared" si="41"/>
        <v>212874.4622604615</v>
      </c>
      <c r="AP198" s="53">
        <f t="shared" si="41"/>
        <v>45619.233420855766</v>
      </c>
      <c r="AQ198" s="53">
        <f t="shared" si="41"/>
        <v>441373.79367291118</v>
      </c>
      <c r="AR198" s="53">
        <f t="shared" si="41"/>
        <v>0</v>
      </c>
      <c r="AS198" s="53">
        <f t="shared" si="41"/>
        <v>0</v>
      </c>
      <c r="AT198" s="53">
        <f t="shared" si="41"/>
        <v>0</v>
      </c>
      <c r="AU198" s="53">
        <f t="shared" si="41"/>
        <v>0</v>
      </c>
      <c r="AV198" s="53">
        <f t="shared" si="41"/>
        <v>0</v>
      </c>
      <c r="AW198" s="53">
        <f t="shared" si="41"/>
        <v>0</v>
      </c>
      <c r="AX198" s="53">
        <f t="shared" si="42"/>
        <v>16653379.680000002</v>
      </c>
      <c r="AY198" s="41" t="s">
        <v>557</v>
      </c>
    </row>
    <row r="199" spans="1:51" x14ac:dyDescent="0.2">
      <c r="A199" s="41" t="s">
        <v>227</v>
      </c>
      <c r="B199" s="41">
        <v>1908</v>
      </c>
      <c r="C199" s="41" t="s">
        <v>87</v>
      </c>
      <c r="D199" s="41" t="s">
        <v>220</v>
      </c>
      <c r="E199" s="41">
        <v>100</v>
      </c>
      <c r="F199" s="41" t="s">
        <v>563</v>
      </c>
      <c r="G199" s="53">
        <v>2197296.4608</v>
      </c>
      <c r="H199" s="56">
        <v>1.3124034164413398</v>
      </c>
      <c r="I199" s="56">
        <v>0.41523057297645255</v>
      </c>
      <c r="J199" s="56">
        <v>3.3235069418494301</v>
      </c>
      <c r="S199" s="53">
        <v>25808.025600000001</v>
      </c>
      <c r="T199" s="53">
        <v>622</v>
      </c>
      <c r="U199" s="53">
        <v>5660.2</v>
      </c>
      <c r="V199" s="53"/>
      <c r="AM199" s="53">
        <v>2515918.7088000001</v>
      </c>
      <c r="AO199" s="53">
        <f t="shared" si="41"/>
        <v>2883739.3820883846</v>
      </c>
      <c r="AP199" s="53">
        <f t="shared" si="41"/>
        <v>912384.66841711535</v>
      </c>
      <c r="AQ199" s="53">
        <f t="shared" si="41"/>
        <v>7302730.040769984</v>
      </c>
      <c r="AR199" s="53">
        <f t="shared" si="41"/>
        <v>0</v>
      </c>
      <c r="AS199" s="53">
        <f t="shared" si="41"/>
        <v>0</v>
      </c>
      <c r="AT199" s="53">
        <f t="shared" si="41"/>
        <v>0</v>
      </c>
      <c r="AU199" s="53">
        <f t="shared" si="41"/>
        <v>0</v>
      </c>
      <c r="AV199" s="53">
        <f t="shared" si="41"/>
        <v>0</v>
      </c>
      <c r="AW199" s="53">
        <f t="shared" si="41"/>
        <v>0</v>
      </c>
      <c r="AX199" s="53">
        <f t="shared" si="42"/>
        <v>219729646.08000001</v>
      </c>
      <c r="AY199" s="41" t="s">
        <v>557</v>
      </c>
    </row>
    <row r="200" spans="1:51" x14ac:dyDescent="0.2">
      <c r="A200" s="41" t="s">
        <v>227</v>
      </c>
      <c r="B200" s="41">
        <v>1909</v>
      </c>
      <c r="C200" s="41" t="s">
        <v>87</v>
      </c>
      <c r="D200" s="41" t="s">
        <v>220</v>
      </c>
      <c r="E200" s="41">
        <v>100</v>
      </c>
      <c r="F200" s="41" t="s">
        <v>563</v>
      </c>
      <c r="G200" s="53">
        <v>2426098.6512000002</v>
      </c>
      <c r="H200" s="56">
        <v>1.1379918147026058</v>
      </c>
      <c r="I200" s="56">
        <v>0.39487425680902211</v>
      </c>
      <c r="J200" s="56">
        <v>3.6550866385445704</v>
      </c>
      <c r="S200" s="53">
        <v>24708.499199999998</v>
      </c>
      <c r="T200" s="53">
        <v>653.1</v>
      </c>
      <c r="U200" s="53">
        <v>6873.1</v>
      </c>
      <c r="V200" s="53"/>
      <c r="AM200" s="53">
        <v>2876257.6416000002</v>
      </c>
      <c r="AO200" s="53">
        <f t="shared" si="41"/>
        <v>2760880.4067266323</v>
      </c>
      <c r="AP200" s="53">
        <f t="shared" si="41"/>
        <v>958003.90183797106</v>
      </c>
      <c r="AQ200" s="53">
        <f t="shared" si="41"/>
        <v>8867600.7637921255</v>
      </c>
      <c r="AR200" s="53">
        <f t="shared" si="41"/>
        <v>0</v>
      </c>
      <c r="AS200" s="53">
        <f t="shared" si="41"/>
        <v>0</v>
      </c>
      <c r="AT200" s="53">
        <f t="shared" si="41"/>
        <v>0</v>
      </c>
      <c r="AU200" s="53">
        <f t="shared" si="41"/>
        <v>0</v>
      </c>
      <c r="AV200" s="53">
        <f t="shared" si="41"/>
        <v>0</v>
      </c>
      <c r="AW200" s="53">
        <f t="shared" si="41"/>
        <v>0</v>
      </c>
      <c r="AX200" s="53">
        <f t="shared" si="42"/>
        <v>242609865.12</v>
      </c>
      <c r="AY200" s="41" t="s">
        <v>557</v>
      </c>
    </row>
    <row r="201" spans="1:51" x14ac:dyDescent="0.2">
      <c r="A201" s="41" t="s">
        <v>227</v>
      </c>
      <c r="B201" s="41">
        <v>1910</v>
      </c>
      <c r="C201" s="41" t="s">
        <v>87</v>
      </c>
      <c r="D201" s="41" t="s">
        <v>220</v>
      </c>
      <c r="E201" s="41">
        <v>100</v>
      </c>
      <c r="F201" s="41" t="s">
        <v>563</v>
      </c>
      <c r="G201" s="53">
        <v>3937470.264</v>
      </c>
      <c r="H201" s="56">
        <v>1.145894345732196</v>
      </c>
      <c r="I201" s="56">
        <v>0.46343698224668822</v>
      </c>
      <c r="J201" s="56">
        <v>4.3207827261889982</v>
      </c>
      <c r="S201" s="53">
        <v>40379.472000000002</v>
      </c>
      <c r="T201" s="53">
        <v>1244</v>
      </c>
      <c r="U201" s="53">
        <v>13186.400000000001</v>
      </c>
      <c r="V201" s="53"/>
      <c r="AM201" s="53">
        <v>5303731.608</v>
      </c>
      <c r="AO201" s="53">
        <f t="shared" si="41"/>
        <v>4511924.9120062571</v>
      </c>
      <c r="AP201" s="53">
        <f t="shared" si="41"/>
        <v>1824769.3368342307</v>
      </c>
      <c r="AQ201" s="53">
        <f t="shared" si="41"/>
        <v>17012953.501574036</v>
      </c>
      <c r="AR201" s="53">
        <f t="shared" si="41"/>
        <v>0</v>
      </c>
      <c r="AS201" s="53">
        <f t="shared" si="41"/>
        <v>0</v>
      </c>
      <c r="AT201" s="53">
        <f t="shared" si="41"/>
        <v>0</v>
      </c>
      <c r="AU201" s="53">
        <f t="shared" si="41"/>
        <v>0</v>
      </c>
      <c r="AV201" s="53">
        <f t="shared" si="41"/>
        <v>0</v>
      </c>
      <c r="AW201" s="53">
        <f t="shared" si="41"/>
        <v>0</v>
      </c>
      <c r="AX201" s="53">
        <f t="shared" si="42"/>
        <v>393747026.39999998</v>
      </c>
      <c r="AY201" s="41" t="s">
        <v>557</v>
      </c>
    </row>
    <row r="202" spans="1:51" x14ac:dyDescent="0.2">
      <c r="A202" s="41" t="s">
        <v>227</v>
      </c>
      <c r="B202" s="41">
        <v>1911</v>
      </c>
      <c r="C202" s="41" t="s">
        <v>87</v>
      </c>
      <c r="D202" s="41" t="s">
        <v>220</v>
      </c>
      <c r="E202" s="41">
        <v>100</v>
      </c>
      <c r="F202" s="41" t="s">
        <v>563</v>
      </c>
      <c r="G202" s="53">
        <v>4246422.6672</v>
      </c>
      <c r="H202" s="56">
        <v>1.1749111131053878</v>
      </c>
      <c r="I202" s="56">
        <v>0.4297191965672707</v>
      </c>
      <c r="J202" s="56">
        <v>3.8552345207374925</v>
      </c>
      <c r="S202" s="53">
        <v>44650.569600000003</v>
      </c>
      <c r="T202" s="53">
        <v>1244</v>
      </c>
      <c r="U202" s="53">
        <v>12688.800000000001</v>
      </c>
      <c r="V202" s="53"/>
      <c r="AM202" s="53">
        <v>10270325.016000001</v>
      </c>
      <c r="AO202" s="53">
        <f t="shared" si="41"/>
        <v>4989169.1826359015</v>
      </c>
      <c r="AP202" s="53">
        <f t="shared" si="41"/>
        <v>1824769.3368342307</v>
      </c>
      <c r="AQ202" s="53">
        <f t="shared" si="41"/>
        <v>16370955.256231617</v>
      </c>
      <c r="AR202" s="53">
        <f t="shared" si="41"/>
        <v>0</v>
      </c>
      <c r="AS202" s="53">
        <f t="shared" si="41"/>
        <v>0</v>
      </c>
      <c r="AT202" s="53">
        <f t="shared" si="41"/>
        <v>0</v>
      </c>
      <c r="AU202" s="53">
        <f t="shared" si="41"/>
        <v>0</v>
      </c>
      <c r="AV202" s="53">
        <f t="shared" si="41"/>
        <v>0</v>
      </c>
      <c r="AW202" s="53">
        <f t="shared" si="41"/>
        <v>0</v>
      </c>
      <c r="AX202" s="53">
        <f t="shared" si="42"/>
        <v>424642266.72000003</v>
      </c>
      <c r="AY202" s="41" t="s">
        <v>557</v>
      </c>
    </row>
    <row r="203" spans="1:51" x14ac:dyDescent="0.2">
      <c r="A203" s="41" t="s">
        <v>227</v>
      </c>
      <c r="B203" s="41">
        <v>1912</v>
      </c>
      <c r="C203" s="41" t="s">
        <v>87</v>
      </c>
      <c r="D203" s="41" t="s">
        <v>220</v>
      </c>
      <c r="E203" s="41">
        <v>100</v>
      </c>
      <c r="F203" s="41" t="s">
        <v>563</v>
      </c>
      <c r="G203" s="53">
        <v>4822059.2111999998</v>
      </c>
      <c r="H203" s="56">
        <v>1.0109005789185204</v>
      </c>
      <c r="I203" s="56">
        <v>0.32165800301799002</v>
      </c>
      <c r="J203" s="56">
        <v>2.8791044339073615</v>
      </c>
      <c r="S203" s="53">
        <v>43625.433600000004</v>
      </c>
      <c r="T203" s="53">
        <v>1057.4000000000001</v>
      </c>
      <c r="U203" s="53">
        <v>10760.6</v>
      </c>
      <c r="V203" s="53"/>
      <c r="AM203" s="53">
        <v>8811844.0703999996</v>
      </c>
      <c r="AO203" s="53">
        <f t="shared" si="41"/>
        <v>4874622.4481814634</v>
      </c>
      <c r="AP203" s="53">
        <f t="shared" si="41"/>
        <v>1551053.9363090962</v>
      </c>
      <c r="AQ203" s="53">
        <f t="shared" si="41"/>
        <v>13883212.055529753</v>
      </c>
      <c r="AR203" s="53">
        <f t="shared" si="41"/>
        <v>0</v>
      </c>
      <c r="AS203" s="53">
        <f t="shared" si="41"/>
        <v>0</v>
      </c>
      <c r="AT203" s="53">
        <f t="shared" si="41"/>
        <v>0</v>
      </c>
      <c r="AU203" s="53">
        <f t="shared" si="41"/>
        <v>0</v>
      </c>
      <c r="AV203" s="53">
        <f t="shared" si="41"/>
        <v>0</v>
      </c>
      <c r="AW203" s="53">
        <f t="shared" si="41"/>
        <v>0</v>
      </c>
      <c r="AX203" s="53">
        <f t="shared" si="42"/>
        <v>482205921.12</v>
      </c>
      <c r="AY203" s="41" t="s">
        <v>557</v>
      </c>
    </row>
    <row r="204" spans="1:51" x14ac:dyDescent="0.2">
      <c r="A204" s="41" t="s">
        <v>227</v>
      </c>
      <c r="B204" s="41">
        <v>1913</v>
      </c>
      <c r="C204" s="41" t="s">
        <v>87</v>
      </c>
      <c r="D204" s="41" t="s">
        <v>220</v>
      </c>
      <c r="E204" s="41">
        <v>100</v>
      </c>
      <c r="F204" s="41" t="s">
        <v>563</v>
      </c>
      <c r="G204" s="53">
        <v>6821592.4224000005</v>
      </c>
      <c r="H204" s="56">
        <v>0.89115356840253657</v>
      </c>
      <c r="I204" s="56">
        <v>0.18724931902843928</v>
      </c>
      <c r="J204" s="56">
        <v>1.8646071838123048</v>
      </c>
      <c r="S204" s="53">
        <v>54404.784</v>
      </c>
      <c r="T204" s="53">
        <v>870.80000000000007</v>
      </c>
      <c r="U204" s="53">
        <v>9858.7000000000007</v>
      </c>
      <c r="V204" s="53"/>
      <c r="AM204" s="53">
        <v>9111272.6879999992</v>
      </c>
      <c r="AO204" s="53">
        <f t="shared" si="41"/>
        <v>6079086.4294094639</v>
      </c>
      <c r="AP204" s="53">
        <f t="shared" si="41"/>
        <v>1277338.5357839616</v>
      </c>
      <c r="AQ204" s="53">
        <f t="shared" si="41"/>
        <v>12719590.235846624</v>
      </c>
      <c r="AR204" s="53">
        <f t="shared" si="41"/>
        <v>0</v>
      </c>
      <c r="AS204" s="53">
        <f t="shared" si="41"/>
        <v>0</v>
      </c>
      <c r="AT204" s="53">
        <f t="shared" si="41"/>
        <v>0</v>
      </c>
      <c r="AU204" s="53">
        <f t="shared" si="41"/>
        <v>0</v>
      </c>
      <c r="AV204" s="53">
        <f t="shared" si="41"/>
        <v>0</v>
      </c>
      <c r="AW204" s="53">
        <f t="shared" si="41"/>
        <v>0</v>
      </c>
      <c r="AX204" s="53">
        <f t="shared" si="42"/>
        <v>682159242.24000001</v>
      </c>
      <c r="AY204" s="41" t="s">
        <v>557</v>
      </c>
    </row>
    <row r="205" spans="1:51" x14ac:dyDescent="0.2">
      <c r="A205" s="41" t="s">
        <v>227</v>
      </c>
      <c r="B205" s="41">
        <v>1914</v>
      </c>
      <c r="C205" s="41" t="s">
        <v>87</v>
      </c>
      <c r="D205" s="41" t="s">
        <v>220</v>
      </c>
      <c r="E205" s="41">
        <v>100</v>
      </c>
      <c r="F205" s="41" t="s">
        <v>563</v>
      </c>
      <c r="G205" s="53">
        <v>5869734.5952000003</v>
      </c>
      <c r="H205" s="56">
        <v>1.0515544813023263</v>
      </c>
      <c r="I205" s="56">
        <v>0.27201794967623205</v>
      </c>
      <c r="J205" s="56">
        <v>2.47459404940561</v>
      </c>
      <c r="S205" s="53">
        <v>55239.408000000003</v>
      </c>
      <c r="T205" s="53">
        <v>1088.5</v>
      </c>
      <c r="U205" s="53">
        <v>11258.2</v>
      </c>
      <c r="V205" s="53"/>
      <c r="AM205" s="53">
        <v>10756899.0144</v>
      </c>
      <c r="AO205" s="53">
        <f t="shared" si="41"/>
        <v>6172345.7176378565</v>
      </c>
      <c r="AP205" s="53">
        <f t="shared" si="41"/>
        <v>1596673.169729952</v>
      </c>
      <c r="AQ205" s="53">
        <f t="shared" si="41"/>
        <v>14525210.300872168</v>
      </c>
      <c r="AR205" s="53">
        <f t="shared" si="41"/>
        <v>0</v>
      </c>
      <c r="AS205" s="53">
        <f t="shared" si="41"/>
        <v>0</v>
      </c>
      <c r="AT205" s="53">
        <f t="shared" si="41"/>
        <v>0</v>
      </c>
      <c r="AU205" s="53">
        <f t="shared" si="41"/>
        <v>0</v>
      </c>
      <c r="AV205" s="53">
        <f t="shared" si="41"/>
        <v>0</v>
      </c>
      <c r="AW205" s="53">
        <f t="shared" si="41"/>
        <v>0</v>
      </c>
      <c r="AX205" s="53">
        <f t="shared" si="42"/>
        <v>586973459.51999998</v>
      </c>
      <c r="AY205" s="41" t="s">
        <v>557</v>
      </c>
    </row>
    <row r="206" spans="1:51" x14ac:dyDescent="0.2">
      <c r="A206" s="41" t="s">
        <v>227</v>
      </c>
      <c r="B206" s="41">
        <v>1915</v>
      </c>
      <c r="C206" s="41" t="s">
        <v>87</v>
      </c>
      <c r="D206" s="41" t="s">
        <v>220</v>
      </c>
      <c r="E206" s="41">
        <v>100</v>
      </c>
      <c r="F206" s="41" t="s">
        <v>563</v>
      </c>
      <c r="G206" s="53">
        <v>7706028.96</v>
      </c>
      <c r="H206" s="56">
        <v>1.0272858366611692</v>
      </c>
      <c r="I206" s="56">
        <v>0.21903780083531679</v>
      </c>
      <c r="J206" s="56">
        <v>2.1504694303538048</v>
      </c>
      <c r="S206" s="53">
        <v>70846.876799999998</v>
      </c>
      <c r="T206" s="53">
        <v>1150.7</v>
      </c>
      <c r="U206" s="53">
        <v>12844.300000000001</v>
      </c>
      <c r="V206" s="53"/>
      <c r="AM206" s="53">
        <v>11232731.764800001</v>
      </c>
      <c r="AO206" s="53">
        <f t="shared" si="41"/>
        <v>7916294.4075087998</v>
      </c>
      <c r="AP206" s="53">
        <f t="shared" si="41"/>
        <v>1687911.6365716634</v>
      </c>
      <c r="AQ206" s="53">
        <f t="shared" si="41"/>
        <v>16571579.707901122</v>
      </c>
      <c r="AR206" s="53">
        <f t="shared" si="41"/>
        <v>0</v>
      </c>
      <c r="AS206" s="53">
        <f t="shared" si="41"/>
        <v>0</v>
      </c>
      <c r="AT206" s="53">
        <f t="shared" si="41"/>
        <v>0</v>
      </c>
      <c r="AU206" s="53">
        <f t="shared" si="41"/>
        <v>0</v>
      </c>
      <c r="AV206" s="53">
        <f t="shared" si="41"/>
        <v>0</v>
      </c>
      <c r="AW206" s="53">
        <f t="shared" si="41"/>
        <v>0</v>
      </c>
      <c r="AX206" s="53">
        <f t="shared" si="42"/>
        <v>770602896</v>
      </c>
      <c r="AY206" s="41" t="s">
        <v>557</v>
      </c>
    </row>
    <row r="207" spans="1:51" x14ac:dyDescent="0.2">
      <c r="A207" s="41" t="s">
        <v>227</v>
      </c>
      <c r="B207" s="41">
        <v>1916</v>
      </c>
      <c r="C207" s="41" t="s">
        <v>87</v>
      </c>
      <c r="D207" s="41" t="s">
        <v>220</v>
      </c>
      <c r="E207" s="41">
        <v>100</v>
      </c>
      <c r="F207" s="41" t="s">
        <v>563</v>
      </c>
      <c r="G207" s="53">
        <v>9973756.8000000007</v>
      </c>
      <c r="H207" s="56">
        <v>0.99973774987891906</v>
      </c>
      <c r="I207" s="56">
        <v>0.21040063232335537</v>
      </c>
      <c r="J207" s="56">
        <v>2.0356616785516479</v>
      </c>
      <c r="S207" s="53">
        <v>89236.728000000003</v>
      </c>
      <c r="T207" s="53">
        <v>1430.6000000000001</v>
      </c>
      <c r="U207" s="53">
        <v>15736.6</v>
      </c>
      <c r="V207" s="53"/>
      <c r="AM207" s="53">
        <v>11138685.0624</v>
      </c>
      <c r="AO207" s="53">
        <f t="shared" si="41"/>
        <v>9971141.1810715683</v>
      </c>
      <c r="AP207" s="53">
        <f t="shared" si="41"/>
        <v>2098484.7373593654</v>
      </c>
      <c r="AQ207" s="53">
        <f t="shared" si="41"/>
        <v>20303194.508953914</v>
      </c>
      <c r="AR207" s="53">
        <f t="shared" si="41"/>
        <v>0</v>
      </c>
      <c r="AS207" s="53">
        <f t="shared" si="41"/>
        <v>0</v>
      </c>
      <c r="AT207" s="53">
        <f t="shared" si="41"/>
        <v>0</v>
      </c>
      <c r="AU207" s="53">
        <f t="shared" si="41"/>
        <v>0</v>
      </c>
      <c r="AV207" s="53">
        <f t="shared" si="41"/>
        <v>0</v>
      </c>
      <c r="AW207" s="53">
        <f t="shared" si="41"/>
        <v>0</v>
      </c>
      <c r="AX207" s="53">
        <f t="shared" si="42"/>
        <v>997375680.00000012</v>
      </c>
      <c r="AY207" s="41" t="s">
        <v>557</v>
      </c>
    </row>
    <row r="208" spans="1:51" x14ac:dyDescent="0.2">
      <c r="A208" s="41" t="s">
        <v>227</v>
      </c>
      <c r="B208" s="41">
        <v>1917</v>
      </c>
      <c r="C208" s="41" t="s">
        <v>87</v>
      </c>
      <c r="D208" s="41" t="s">
        <v>220</v>
      </c>
      <c r="E208" s="41">
        <v>100</v>
      </c>
      <c r="F208" s="41" t="s">
        <v>563</v>
      </c>
      <c r="G208" s="53">
        <v>11378102.4</v>
      </c>
      <c r="H208" s="56">
        <v>0.91254255025423081</v>
      </c>
      <c r="I208" s="56">
        <v>0.19646003868113654</v>
      </c>
      <c r="J208" s="56">
        <v>1.8937310767483377</v>
      </c>
      <c r="S208" s="53">
        <v>92922.681599999996</v>
      </c>
      <c r="T208" s="53">
        <v>1523.9</v>
      </c>
      <c r="U208" s="53">
        <v>16700.7</v>
      </c>
      <c r="V208" s="53"/>
      <c r="AM208" s="53">
        <v>8049286.2240000004</v>
      </c>
      <c r="AO208" s="53">
        <f t="shared" si="41"/>
        <v>10383002.581149785</v>
      </c>
      <c r="AP208" s="53">
        <f t="shared" si="41"/>
        <v>2235342.4376219325</v>
      </c>
      <c r="AQ208" s="53">
        <f t="shared" si="41"/>
        <v>21547066.109304845</v>
      </c>
      <c r="AR208" s="53">
        <f t="shared" si="41"/>
        <v>0</v>
      </c>
      <c r="AS208" s="53">
        <f t="shared" si="41"/>
        <v>0</v>
      </c>
      <c r="AT208" s="53">
        <f t="shared" si="41"/>
        <v>0</v>
      </c>
      <c r="AU208" s="53">
        <f t="shared" si="41"/>
        <v>0</v>
      </c>
      <c r="AV208" s="53">
        <f t="shared" si="41"/>
        <v>0</v>
      </c>
      <c r="AW208" s="53">
        <f t="shared" si="41"/>
        <v>0</v>
      </c>
      <c r="AX208" s="53">
        <f t="shared" si="42"/>
        <v>1137810240</v>
      </c>
      <c r="AY208" s="41" t="s">
        <v>557</v>
      </c>
    </row>
    <row r="209" spans="1:51" x14ac:dyDescent="0.2">
      <c r="A209" s="41" t="s">
        <v>227</v>
      </c>
      <c r="B209" s="41">
        <v>1918</v>
      </c>
      <c r="C209" s="41" t="s">
        <v>87</v>
      </c>
      <c r="D209" s="41" t="s">
        <v>220</v>
      </c>
      <c r="E209" s="41">
        <v>100</v>
      </c>
      <c r="F209" s="41" t="s">
        <v>563</v>
      </c>
      <c r="G209" s="53">
        <v>11032187.040000001</v>
      </c>
      <c r="H209" s="56">
        <v>0.89205229420155718</v>
      </c>
      <c r="I209" s="56">
        <v>0.20262006341237054</v>
      </c>
      <c r="J209" s="56">
        <v>1.89127893662221</v>
      </c>
      <c r="S209" s="53">
        <v>88074.604800000001</v>
      </c>
      <c r="T209" s="53">
        <v>1523.9</v>
      </c>
      <c r="U209" s="53">
        <v>16172</v>
      </c>
      <c r="V209" s="53"/>
      <c r="AM209" s="53">
        <v>7657781.3424000004</v>
      </c>
      <c r="AO209" s="53">
        <f t="shared" si="41"/>
        <v>9841287.7590926867</v>
      </c>
      <c r="AP209" s="53">
        <f t="shared" si="41"/>
        <v>2235342.4376219325</v>
      </c>
      <c r="AQ209" s="53">
        <f t="shared" si="41"/>
        <v>20864942.973628528</v>
      </c>
      <c r="AR209" s="53">
        <f t="shared" si="41"/>
        <v>0</v>
      </c>
      <c r="AS209" s="53">
        <f t="shared" si="41"/>
        <v>0</v>
      </c>
      <c r="AT209" s="53">
        <f t="shared" si="41"/>
        <v>0</v>
      </c>
      <c r="AU209" s="53">
        <f t="shared" si="41"/>
        <v>0</v>
      </c>
      <c r="AV209" s="53">
        <f t="shared" si="41"/>
        <v>0</v>
      </c>
      <c r="AW209" s="53">
        <f t="shared" si="41"/>
        <v>0</v>
      </c>
      <c r="AX209" s="53">
        <f t="shared" si="42"/>
        <v>1103218704</v>
      </c>
      <c r="AY209" s="41" t="s">
        <v>557</v>
      </c>
    </row>
    <row r="210" spans="1:51" x14ac:dyDescent="0.2">
      <c r="A210" s="41" t="s">
        <v>227</v>
      </c>
      <c r="B210" s="41">
        <v>1919</v>
      </c>
      <c r="C210" s="41" t="s">
        <v>87</v>
      </c>
      <c r="D210" s="41" t="s">
        <v>220</v>
      </c>
      <c r="E210" s="41">
        <v>100</v>
      </c>
      <c r="F210" s="41" t="s">
        <v>563</v>
      </c>
      <c r="G210" s="53">
        <v>5024708.6399999997</v>
      </c>
      <c r="H210" s="56">
        <v>1.1018468303126114</v>
      </c>
      <c r="I210" s="56">
        <v>0.26329044408131447</v>
      </c>
      <c r="J210" s="56">
        <v>2.3397561351603064</v>
      </c>
      <c r="S210" s="53">
        <v>49548.542399999998</v>
      </c>
      <c r="T210" s="53">
        <v>901.90000000000009</v>
      </c>
      <c r="U210" s="53">
        <v>9112.3000000000011</v>
      </c>
      <c r="V210" s="53"/>
      <c r="AM210" s="53">
        <v>3887048.9952000002</v>
      </c>
      <c r="AO210" s="53">
        <f t="shared" si="41"/>
        <v>5536459.2882283926</v>
      </c>
      <c r="AP210" s="53">
        <f t="shared" si="41"/>
        <v>1322957.7692048175</v>
      </c>
      <c r="AQ210" s="53">
        <f t="shared" si="41"/>
        <v>11756592.867833</v>
      </c>
      <c r="AR210" s="53">
        <f t="shared" si="41"/>
        <v>0</v>
      </c>
      <c r="AS210" s="53">
        <f t="shared" si="41"/>
        <v>0</v>
      </c>
      <c r="AT210" s="53">
        <f t="shared" si="41"/>
        <v>0</v>
      </c>
      <c r="AU210" s="53">
        <f t="shared" si="41"/>
        <v>0</v>
      </c>
      <c r="AV210" s="53">
        <f t="shared" si="41"/>
        <v>0</v>
      </c>
      <c r="AW210" s="53">
        <f t="shared" si="41"/>
        <v>0</v>
      </c>
      <c r="AX210" s="53">
        <f t="shared" si="42"/>
        <v>502470863.99999994</v>
      </c>
      <c r="AY210" s="41" t="s">
        <v>557</v>
      </c>
    </row>
    <row r="211" spans="1:51" x14ac:dyDescent="0.2">
      <c r="A211" s="41" t="s">
        <v>227</v>
      </c>
      <c r="B211" s="41">
        <v>1920</v>
      </c>
      <c r="C211" s="41" t="s">
        <v>87</v>
      </c>
      <c r="D211" s="41" t="s">
        <v>220</v>
      </c>
      <c r="E211" s="41">
        <v>100</v>
      </c>
      <c r="F211" s="41" t="s">
        <v>563</v>
      </c>
      <c r="G211" s="53">
        <v>5041128.96</v>
      </c>
      <c r="H211" s="56">
        <v>1.0518276343665363</v>
      </c>
      <c r="I211" s="56">
        <v>0.2443340196484689</v>
      </c>
      <c r="J211" s="56">
        <v>2.2764183829758031</v>
      </c>
      <c r="S211" s="53">
        <v>47453.817600000002</v>
      </c>
      <c r="T211" s="53">
        <v>839.7</v>
      </c>
      <c r="U211" s="53">
        <v>8894.6</v>
      </c>
      <c r="V211" s="53"/>
      <c r="AM211" s="53">
        <v>5536502.7983999997</v>
      </c>
      <c r="AO211" s="53">
        <f t="shared" si="41"/>
        <v>5302398.748533437</v>
      </c>
      <c r="AP211" s="53">
        <f t="shared" si="41"/>
        <v>1231719.3023631056</v>
      </c>
      <c r="AQ211" s="53">
        <f t="shared" si="41"/>
        <v>11475718.635495692</v>
      </c>
      <c r="AR211" s="53">
        <f t="shared" si="41"/>
        <v>0</v>
      </c>
      <c r="AS211" s="53">
        <f t="shared" si="41"/>
        <v>0</v>
      </c>
      <c r="AT211" s="53">
        <f t="shared" si="41"/>
        <v>0</v>
      </c>
      <c r="AU211" s="53">
        <f t="shared" si="41"/>
        <v>0</v>
      </c>
      <c r="AV211" s="53">
        <f t="shared" si="41"/>
        <v>0</v>
      </c>
      <c r="AW211" s="53">
        <f t="shared" si="41"/>
        <v>0</v>
      </c>
      <c r="AX211" s="53">
        <f t="shared" si="42"/>
        <v>504112896</v>
      </c>
      <c r="AY211" s="41" t="s">
        <v>557</v>
      </c>
    </row>
    <row r="212" spans="1:51" x14ac:dyDescent="0.2">
      <c r="A212" s="41" t="s">
        <v>227</v>
      </c>
      <c r="B212" s="41">
        <v>1921</v>
      </c>
      <c r="C212" s="41" t="s">
        <v>87</v>
      </c>
      <c r="D212" s="41" t="s">
        <v>220</v>
      </c>
      <c r="E212" s="41">
        <v>100</v>
      </c>
      <c r="F212" s="41" t="s">
        <v>563</v>
      </c>
      <c r="G212" s="53">
        <v>1107419.04</v>
      </c>
      <c r="H212" s="56">
        <v>1.1364203627251501</v>
      </c>
      <c r="I212" s="56">
        <v>0.28835934945275132</v>
      </c>
      <c r="J212" s="56">
        <v>2.6449942511145323</v>
      </c>
      <c r="S212" s="53">
        <v>11262.888000000001</v>
      </c>
      <c r="T212" s="53">
        <v>217.70000000000002</v>
      </c>
      <c r="U212" s="53">
        <v>2270.3000000000002</v>
      </c>
      <c r="V212" s="53"/>
      <c r="AM212" s="53">
        <v>669345.76800000004</v>
      </c>
      <c r="AO212" s="53">
        <f t="shared" si="41"/>
        <v>1258493.5471255376</v>
      </c>
      <c r="AP212" s="53">
        <f t="shared" si="41"/>
        <v>319334.63394599041</v>
      </c>
      <c r="AQ212" s="53">
        <f t="shared" si="41"/>
        <v>2929116.9943747744</v>
      </c>
      <c r="AR212" s="53">
        <f t="shared" si="41"/>
        <v>0</v>
      </c>
      <c r="AS212" s="53">
        <f t="shared" si="41"/>
        <v>0</v>
      </c>
      <c r="AT212" s="53">
        <f t="shared" si="41"/>
        <v>0</v>
      </c>
      <c r="AU212" s="53">
        <f t="shared" si="41"/>
        <v>0</v>
      </c>
      <c r="AV212" s="53">
        <f t="shared" si="41"/>
        <v>0</v>
      </c>
      <c r="AW212" s="53">
        <f t="shared" si="41"/>
        <v>0</v>
      </c>
      <c r="AX212" s="53">
        <f t="shared" si="42"/>
        <v>110741904</v>
      </c>
      <c r="AY212" s="41" t="s">
        <v>557</v>
      </c>
    </row>
    <row r="213" spans="1:51" x14ac:dyDescent="0.2">
      <c r="A213" s="41" t="s">
        <v>227</v>
      </c>
      <c r="B213" s="41">
        <v>1922</v>
      </c>
      <c r="C213" s="41" t="s">
        <v>87</v>
      </c>
      <c r="D213" s="41" t="s">
        <v>220</v>
      </c>
      <c r="E213" s="41">
        <v>100</v>
      </c>
      <c r="F213" s="41" t="s">
        <v>563</v>
      </c>
      <c r="G213" s="53">
        <v>3959248.5071999999</v>
      </c>
      <c r="H213" s="56">
        <v>1.1245366524674225</v>
      </c>
      <c r="I213" s="56">
        <v>0.32262146047692813</v>
      </c>
      <c r="J213" s="56">
        <v>2.8984587894967415</v>
      </c>
      <c r="S213" s="53">
        <v>39846.038399999998</v>
      </c>
      <c r="T213" s="53">
        <v>870.80000000000007</v>
      </c>
      <c r="U213" s="53">
        <v>8894.6</v>
      </c>
      <c r="V213" s="53"/>
      <c r="AM213" s="53">
        <v>2075982.9552</v>
      </c>
      <c r="AO213" s="53">
        <f t="shared" si="41"/>
        <v>4452320.0625733277</v>
      </c>
      <c r="AP213" s="53">
        <f t="shared" si="41"/>
        <v>1277338.5357839614</v>
      </c>
      <c r="AQ213" s="53">
        <f t="shared" si="41"/>
        <v>11475718.635495692</v>
      </c>
      <c r="AR213" s="53">
        <f t="shared" si="41"/>
        <v>0</v>
      </c>
      <c r="AS213" s="53">
        <f t="shared" si="41"/>
        <v>0</v>
      </c>
      <c r="AT213" s="53">
        <f t="shared" si="41"/>
        <v>0</v>
      </c>
      <c r="AU213" s="53">
        <f t="shared" si="41"/>
        <v>0</v>
      </c>
      <c r="AV213" s="53">
        <f t="shared" si="41"/>
        <v>0</v>
      </c>
      <c r="AW213" s="53">
        <f t="shared" si="41"/>
        <v>0</v>
      </c>
      <c r="AX213" s="53">
        <f t="shared" si="42"/>
        <v>395924850.71999997</v>
      </c>
      <c r="AY213" s="41" t="s">
        <v>557</v>
      </c>
    </row>
    <row r="214" spans="1:51" x14ac:dyDescent="0.2">
      <c r="A214" s="41" t="s">
        <v>227</v>
      </c>
      <c r="B214" s="41">
        <v>1923</v>
      </c>
      <c r="C214" s="41" t="s">
        <v>87</v>
      </c>
      <c r="D214" s="41" t="s">
        <v>220</v>
      </c>
      <c r="E214" s="41">
        <v>100</v>
      </c>
      <c r="F214" s="41" t="s">
        <v>563</v>
      </c>
      <c r="G214" s="53">
        <v>10131428.16</v>
      </c>
      <c r="H214" s="56">
        <v>1.01547606108161</v>
      </c>
      <c r="I214" s="56">
        <v>0.32870035567843092</v>
      </c>
      <c r="J214" s="56">
        <v>2.7762668480555677</v>
      </c>
      <c r="S214" s="53">
        <v>92074.449600000007</v>
      </c>
      <c r="T214" s="53">
        <v>2270.3000000000002</v>
      </c>
      <c r="U214" s="53">
        <v>21801.100000000002</v>
      </c>
      <c r="V214" s="53"/>
      <c r="AM214" s="53">
        <v>4742715.4992000004</v>
      </c>
      <c r="AO214" s="53">
        <f t="shared" si="41"/>
        <v>10288222.761048105</v>
      </c>
      <c r="AP214" s="53">
        <f t="shared" si="41"/>
        <v>3330204.039722471</v>
      </c>
      <c r="AQ214" s="53">
        <f t="shared" si="41"/>
        <v>28127548.124064621</v>
      </c>
      <c r="AR214" s="53">
        <f t="shared" si="41"/>
        <v>0</v>
      </c>
      <c r="AS214" s="53">
        <f t="shared" si="41"/>
        <v>0</v>
      </c>
      <c r="AT214" s="53">
        <f t="shared" si="41"/>
        <v>0</v>
      </c>
      <c r="AU214" s="53">
        <f t="shared" si="41"/>
        <v>0</v>
      </c>
      <c r="AV214" s="53">
        <f t="shared" si="41"/>
        <v>0</v>
      </c>
      <c r="AW214" s="53">
        <f t="shared" si="41"/>
        <v>0</v>
      </c>
      <c r="AX214" s="53">
        <f t="shared" si="42"/>
        <v>1013142816</v>
      </c>
      <c r="AY214" s="41" t="s">
        <v>557</v>
      </c>
    </row>
    <row r="215" spans="1:51" x14ac:dyDescent="0.2">
      <c r="A215" s="41" t="s">
        <v>227</v>
      </c>
      <c r="B215" s="41">
        <v>1924</v>
      </c>
      <c r="C215" s="41" t="s">
        <v>87</v>
      </c>
      <c r="D215" s="41" t="s">
        <v>220</v>
      </c>
      <c r="E215" s="41">
        <v>100</v>
      </c>
      <c r="F215" s="41" t="s">
        <v>563</v>
      </c>
      <c r="G215" s="53">
        <v>11001251.52</v>
      </c>
      <c r="H215" s="56">
        <v>1.0298081869054256</v>
      </c>
      <c r="I215" s="56">
        <v>0.31929830592636926</v>
      </c>
      <c r="J215" s="56">
        <v>2.6442941913647147</v>
      </c>
      <c r="S215" s="53">
        <v>101390.48639999999</v>
      </c>
      <c r="T215" s="53">
        <v>2394.7000000000003</v>
      </c>
      <c r="U215" s="53">
        <v>22547.5</v>
      </c>
      <c r="V215" s="53"/>
      <c r="AM215" s="53">
        <v>11748160.1664</v>
      </c>
      <c r="AO215" s="53">
        <f t="shared" si="41"/>
        <v>11329178.881501757</v>
      </c>
      <c r="AP215" s="53">
        <f t="shared" si="41"/>
        <v>3512680.9734058948</v>
      </c>
      <c r="AQ215" s="53">
        <f t="shared" si="41"/>
        <v>29090545.492078237</v>
      </c>
      <c r="AR215" s="53">
        <f t="shared" si="41"/>
        <v>0</v>
      </c>
      <c r="AS215" s="53">
        <f t="shared" si="41"/>
        <v>0</v>
      </c>
      <c r="AT215" s="53">
        <f t="shared" si="41"/>
        <v>0</v>
      </c>
      <c r="AU215" s="53">
        <f t="shared" si="41"/>
        <v>0</v>
      </c>
      <c r="AV215" s="53">
        <f t="shared" si="41"/>
        <v>0</v>
      </c>
      <c r="AW215" s="53">
        <f t="shared" si="41"/>
        <v>0</v>
      </c>
      <c r="AX215" s="53">
        <f t="shared" si="42"/>
        <v>1100125152</v>
      </c>
      <c r="AY215" s="41" t="s">
        <v>557</v>
      </c>
    </row>
    <row r="216" spans="1:51" x14ac:dyDescent="0.2">
      <c r="A216" s="41" t="s">
        <v>227</v>
      </c>
      <c r="B216" s="41">
        <v>1925</v>
      </c>
      <c r="C216" s="41" t="s">
        <v>87</v>
      </c>
      <c r="D216" s="41" t="s">
        <v>220</v>
      </c>
      <c r="E216" s="41">
        <v>100</v>
      </c>
      <c r="F216" s="41" t="s">
        <v>563</v>
      </c>
      <c r="G216" s="53">
        <v>11374745.76</v>
      </c>
      <c r="H216" s="56">
        <v>0.99356112566052635</v>
      </c>
      <c r="I216" s="56">
        <v>0.31282459247042987</v>
      </c>
      <c r="J216" s="56">
        <v>2.7162071319213186</v>
      </c>
      <c r="S216" s="53">
        <v>101142.8208</v>
      </c>
      <c r="T216" s="53">
        <v>2425.8000000000002</v>
      </c>
      <c r="U216" s="53">
        <v>23947</v>
      </c>
      <c r="V216" s="53"/>
      <c r="AM216" s="53">
        <v>14957986.176000001</v>
      </c>
      <c r="AO216" s="53">
        <f t="shared" si="41"/>
        <v>11301505.201407898</v>
      </c>
      <c r="AP216" s="53">
        <f t="shared" si="41"/>
        <v>3558300.2068267502</v>
      </c>
      <c r="AQ216" s="53">
        <f t="shared" si="41"/>
        <v>30896165.557103779</v>
      </c>
      <c r="AR216" s="53">
        <f t="shared" si="41"/>
        <v>0</v>
      </c>
      <c r="AS216" s="53">
        <f t="shared" si="41"/>
        <v>0</v>
      </c>
      <c r="AT216" s="53">
        <f t="shared" si="41"/>
        <v>0</v>
      </c>
      <c r="AU216" s="53">
        <f t="shared" si="41"/>
        <v>0</v>
      </c>
      <c r="AV216" s="53">
        <f t="shared" si="41"/>
        <v>0</v>
      </c>
      <c r="AW216" s="53">
        <f t="shared" si="41"/>
        <v>0</v>
      </c>
      <c r="AX216" s="53">
        <f t="shared" si="42"/>
        <v>1137474576</v>
      </c>
      <c r="AY216" s="41" t="s">
        <v>557</v>
      </c>
    </row>
    <row r="217" spans="1:51" x14ac:dyDescent="0.2">
      <c r="A217" s="41" t="s">
        <v>227</v>
      </c>
      <c r="B217" s="41">
        <v>1926</v>
      </c>
      <c r="C217" s="41" t="s">
        <v>87</v>
      </c>
      <c r="D217" s="41" t="s">
        <v>220</v>
      </c>
      <c r="E217" s="41">
        <v>100</v>
      </c>
      <c r="F217" s="41" t="s">
        <v>563</v>
      </c>
      <c r="G217" s="53">
        <v>12592026.720000001</v>
      </c>
      <c r="H217" s="56">
        <v>0.98223349098066937</v>
      </c>
      <c r="I217" s="56">
        <v>0.31156653026809938</v>
      </c>
      <c r="J217" s="56">
        <v>2.6926191538566204</v>
      </c>
      <c r="S217" s="53">
        <v>110690.1936</v>
      </c>
      <c r="T217" s="53">
        <v>2674.6</v>
      </c>
      <c r="U217" s="53">
        <v>26279.5</v>
      </c>
      <c r="V217" s="53"/>
      <c r="AM217" s="53">
        <v>16268217.033600001</v>
      </c>
      <c r="AO217" s="53">
        <f t="shared" si="41"/>
        <v>12368310.363707468</v>
      </c>
      <c r="AP217" s="53">
        <f t="shared" si="41"/>
        <v>3923254.0741935964</v>
      </c>
      <c r="AQ217" s="53">
        <f t="shared" si="41"/>
        <v>33905532.332146354</v>
      </c>
      <c r="AR217" s="53">
        <f t="shared" si="41"/>
        <v>0</v>
      </c>
      <c r="AS217" s="53">
        <f t="shared" si="41"/>
        <v>0</v>
      </c>
      <c r="AT217" s="53">
        <f t="shared" si="41"/>
        <v>0</v>
      </c>
      <c r="AU217" s="53">
        <f t="shared" si="41"/>
        <v>0</v>
      </c>
      <c r="AV217" s="53">
        <f t="shared" si="41"/>
        <v>0</v>
      </c>
      <c r="AW217" s="53">
        <f t="shared" si="41"/>
        <v>0</v>
      </c>
      <c r="AX217" s="53">
        <f t="shared" si="42"/>
        <v>1259202672</v>
      </c>
      <c r="AY217" s="41" t="s">
        <v>557</v>
      </c>
    </row>
    <row r="218" spans="1:51" x14ac:dyDescent="0.2">
      <c r="A218" s="41" t="s">
        <v>227</v>
      </c>
      <c r="B218" s="41">
        <v>1927</v>
      </c>
      <c r="C218" s="41" t="s">
        <v>87</v>
      </c>
      <c r="D218" s="41" t="s">
        <v>220</v>
      </c>
      <c r="E218" s="41">
        <v>100</v>
      </c>
      <c r="F218" s="41" t="s">
        <v>563</v>
      </c>
      <c r="G218" s="53">
        <v>12529792.800000001</v>
      </c>
      <c r="H218" s="56">
        <v>0.97472599417928418</v>
      </c>
      <c r="I218" s="56">
        <v>0.32403662528690524</v>
      </c>
      <c r="J218" s="56">
        <v>2.8308850450558523</v>
      </c>
      <c r="S218" s="53">
        <v>109301.27039999999</v>
      </c>
      <c r="T218" s="53">
        <v>2767.9</v>
      </c>
      <c r="U218" s="53">
        <v>27492.400000000001</v>
      </c>
      <c r="V218" s="53"/>
      <c r="AM218" s="53">
        <v>13743344.2608</v>
      </c>
      <c r="AO218" s="53">
        <f t="shared" si="41"/>
        <v>12213114.743840437</v>
      </c>
      <c r="AP218" s="53">
        <f t="shared" si="41"/>
        <v>4060111.7744561634</v>
      </c>
      <c r="AQ218" s="53">
        <f t="shared" si="41"/>
        <v>35470403.055168495</v>
      </c>
      <c r="AR218" s="53">
        <f t="shared" si="41"/>
        <v>0</v>
      </c>
      <c r="AS218" s="53">
        <f t="shared" si="41"/>
        <v>0</v>
      </c>
      <c r="AT218" s="53">
        <f t="shared" si="41"/>
        <v>0</v>
      </c>
      <c r="AU218" s="53">
        <f t="shared" si="41"/>
        <v>0</v>
      </c>
      <c r="AV218" s="53">
        <f t="shared" si="41"/>
        <v>0</v>
      </c>
      <c r="AW218" s="53">
        <f t="shared" si="41"/>
        <v>0</v>
      </c>
      <c r="AX218" s="53">
        <f t="shared" si="42"/>
        <v>1252979280</v>
      </c>
      <c r="AY218" s="41" t="s">
        <v>557</v>
      </c>
    </row>
    <row r="219" spans="1:51" x14ac:dyDescent="0.2">
      <c r="A219" s="41" t="s">
        <v>227</v>
      </c>
      <c r="B219" s="41">
        <v>1928</v>
      </c>
      <c r="C219" s="41" t="s">
        <v>87</v>
      </c>
      <c r="D219" s="41" t="s">
        <v>220</v>
      </c>
      <c r="E219" s="41">
        <v>100</v>
      </c>
      <c r="F219" s="41" t="s">
        <v>563</v>
      </c>
      <c r="G219" s="53">
        <v>15021871.199999999</v>
      </c>
      <c r="H219" s="56">
        <v>0.94836844267516762</v>
      </c>
      <c r="I219" s="56">
        <v>0.31583284216742585</v>
      </c>
      <c r="J219" s="56">
        <v>2.7218488766063405</v>
      </c>
      <c r="S219" s="53">
        <v>127496.9808</v>
      </c>
      <c r="T219" s="53">
        <v>3234.4</v>
      </c>
      <c r="U219" s="53">
        <v>31690.9</v>
      </c>
      <c r="V219" s="53"/>
      <c r="AM219" s="53">
        <v>13604381.179199999</v>
      </c>
      <c r="AO219" s="53">
        <f t="shared" si="41"/>
        <v>14246268.596010951</v>
      </c>
      <c r="AP219" s="53">
        <f t="shared" si="41"/>
        <v>4744400.2757689999</v>
      </c>
      <c r="AQ219" s="53">
        <f t="shared" si="41"/>
        <v>40887263.250245139</v>
      </c>
      <c r="AR219" s="53">
        <f t="shared" si="41"/>
        <v>0</v>
      </c>
      <c r="AS219" s="53">
        <f t="shared" si="41"/>
        <v>0</v>
      </c>
      <c r="AT219" s="53">
        <f t="shared" si="41"/>
        <v>0</v>
      </c>
      <c r="AU219" s="53">
        <f t="shared" si="41"/>
        <v>0</v>
      </c>
      <c r="AV219" s="53">
        <f t="shared" si="41"/>
        <v>0</v>
      </c>
      <c r="AW219" s="53">
        <f t="shared" si="41"/>
        <v>0</v>
      </c>
      <c r="AX219" s="53">
        <f t="shared" si="42"/>
        <v>1502187120</v>
      </c>
      <c r="AY219" s="41" t="s">
        <v>557</v>
      </c>
    </row>
    <row r="220" spans="1:51" x14ac:dyDescent="0.2">
      <c r="A220" s="41" t="s">
        <v>227</v>
      </c>
      <c r="B220" s="41">
        <v>1929</v>
      </c>
      <c r="C220" s="41" t="s">
        <v>87</v>
      </c>
      <c r="D220" s="41" t="s">
        <v>220</v>
      </c>
      <c r="E220" s="41">
        <v>100</v>
      </c>
      <c r="F220" s="41" t="s">
        <v>563</v>
      </c>
      <c r="G220" s="53">
        <v>16079303.52</v>
      </c>
      <c r="H220" s="56">
        <v>0.95199379046136534</v>
      </c>
      <c r="I220" s="56">
        <v>0.32910822724610589</v>
      </c>
      <c r="J220" s="56">
        <v>2.9121750803086091</v>
      </c>
      <c r="S220" s="53">
        <v>136993.55040000001</v>
      </c>
      <c r="T220" s="53">
        <v>3607.6000000000004</v>
      </c>
      <c r="U220" s="53">
        <v>36293.700000000004</v>
      </c>
      <c r="V220" s="53"/>
      <c r="AM220" s="53">
        <v>17981935.0704</v>
      </c>
      <c r="AO220" s="53">
        <f t="shared" si="41"/>
        <v>15307397.105983574</v>
      </c>
      <c r="AP220" s="53">
        <f t="shared" si="41"/>
        <v>5291831.0768192699</v>
      </c>
      <c r="AQ220" s="53">
        <f t="shared" si="41"/>
        <v>46825747.019662499</v>
      </c>
      <c r="AR220" s="53">
        <f t="shared" si="41"/>
        <v>0</v>
      </c>
      <c r="AS220" s="53">
        <f t="shared" si="41"/>
        <v>0</v>
      </c>
      <c r="AT220" s="53">
        <f t="shared" si="41"/>
        <v>0</v>
      </c>
      <c r="AU220" s="53">
        <f t="shared" si="41"/>
        <v>0</v>
      </c>
      <c r="AV220" s="53">
        <f t="shared" si="41"/>
        <v>0</v>
      </c>
      <c r="AW220" s="53">
        <f t="shared" si="41"/>
        <v>0</v>
      </c>
      <c r="AX220" s="53">
        <f t="shared" si="42"/>
        <v>1607930352</v>
      </c>
      <c r="AY220" s="41" t="s">
        <v>557</v>
      </c>
    </row>
    <row r="221" spans="1:51" x14ac:dyDescent="0.2">
      <c r="A221" s="41" t="s">
        <v>227</v>
      </c>
      <c r="B221" s="41">
        <v>1930</v>
      </c>
      <c r="C221" s="41" t="s">
        <v>87</v>
      </c>
      <c r="D221" s="41" t="s">
        <v>220</v>
      </c>
      <c r="E221" s="41">
        <v>100</v>
      </c>
      <c r="F221" s="41" t="s">
        <v>563</v>
      </c>
      <c r="G221" s="53">
        <v>8666028</v>
      </c>
      <c r="H221" s="56">
        <v>0.96762082638254066</v>
      </c>
      <c r="I221" s="56">
        <v>0.3369053202845374</v>
      </c>
      <c r="J221" s="56">
        <v>2.8984652887138194</v>
      </c>
      <c r="S221" s="53">
        <v>75045.398400000005</v>
      </c>
      <c r="T221" s="53">
        <v>1990.4</v>
      </c>
      <c r="U221" s="53">
        <v>19468.600000000002</v>
      </c>
      <c r="V221" s="53"/>
      <c r="AM221" s="53">
        <v>12561739.847999999</v>
      </c>
      <c r="AO221" s="53">
        <f t="shared" si="41"/>
        <v>8385429.1748142364</v>
      </c>
      <c r="AP221" s="53">
        <f t="shared" si="41"/>
        <v>2919630.938934769</v>
      </c>
      <c r="AQ221" s="53">
        <f t="shared" si="41"/>
        <v>25118181.349022042</v>
      </c>
      <c r="AR221" s="53">
        <f t="shared" si="41"/>
        <v>0</v>
      </c>
      <c r="AS221" s="53">
        <f t="shared" si="41"/>
        <v>0</v>
      </c>
      <c r="AT221" s="53">
        <f t="shared" si="41"/>
        <v>0</v>
      </c>
      <c r="AU221" s="53">
        <f t="shared" si="41"/>
        <v>0</v>
      </c>
      <c r="AV221" s="53">
        <f t="shared" si="41"/>
        <v>0</v>
      </c>
      <c r="AW221" s="53">
        <f t="shared" si="41"/>
        <v>0</v>
      </c>
      <c r="AX221" s="53">
        <f t="shared" si="42"/>
        <v>866602800</v>
      </c>
      <c r="AY221" s="41" t="s">
        <v>557</v>
      </c>
    </row>
    <row r="222" spans="1:51" x14ac:dyDescent="0.2">
      <c r="A222" s="41" t="s">
        <v>227</v>
      </c>
      <c r="B222" s="41">
        <v>1931</v>
      </c>
      <c r="C222" s="41" t="s">
        <v>87</v>
      </c>
      <c r="D222" s="41" t="s">
        <v>220</v>
      </c>
      <c r="E222" s="41">
        <v>100</v>
      </c>
      <c r="F222" s="41" t="s">
        <v>563</v>
      </c>
      <c r="G222" s="53">
        <v>7391651.5008000005</v>
      </c>
      <c r="H222" s="56">
        <v>0.9788748296180404</v>
      </c>
      <c r="I222" s="56">
        <v>0.33327309931475974</v>
      </c>
      <c r="J222" s="56">
        <v>2.9041975702336194</v>
      </c>
      <c r="S222" s="53">
        <v>64754.121599999999</v>
      </c>
      <c r="T222" s="53">
        <v>1679.4</v>
      </c>
      <c r="U222" s="53">
        <v>16638.5</v>
      </c>
      <c r="V222" s="53"/>
      <c r="AM222" s="53">
        <v>9235460.2031999994</v>
      </c>
      <c r="AO222" s="53">
        <f t="shared" si="41"/>
        <v>7235501.6034415327</v>
      </c>
      <c r="AP222" s="53">
        <f t="shared" si="41"/>
        <v>2463438.6047262116</v>
      </c>
      <c r="AQ222" s="53">
        <f t="shared" si="41"/>
        <v>21466816.328637049</v>
      </c>
      <c r="AR222" s="53">
        <f t="shared" si="41"/>
        <v>0</v>
      </c>
      <c r="AS222" s="53">
        <f t="shared" si="41"/>
        <v>0</v>
      </c>
      <c r="AT222" s="53">
        <f t="shared" si="41"/>
        <v>0</v>
      </c>
      <c r="AU222" s="53">
        <f t="shared" si="41"/>
        <v>0</v>
      </c>
      <c r="AV222" s="53">
        <f t="shared" si="41"/>
        <v>0</v>
      </c>
      <c r="AW222" s="53">
        <f t="shared" si="41"/>
        <v>0</v>
      </c>
      <c r="AX222" s="53">
        <f t="shared" si="42"/>
        <v>739165150.08000004</v>
      </c>
      <c r="AY222" s="41" t="s">
        <v>557</v>
      </c>
    </row>
    <row r="223" spans="1:51" x14ac:dyDescent="0.2">
      <c r="A223" s="41" t="s">
        <v>227</v>
      </c>
      <c r="B223" s="41">
        <v>1932</v>
      </c>
      <c r="C223" s="41" t="s">
        <v>87</v>
      </c>
      <c r="D223" s="41" t="s">
        <v>220</v>
      </c>
      <c r="E223" s="41">
        <v>100</v>
      </c>
      <c r="F223" s="41" t="s">
        <v>563</v>
      </c>
      <c r="G223" s="53">
        <v>2875289.6592000001</v>
      </c>
      <c r="H223" s="56">
        <v>1.0131979889778304</v>
      </c>
      <c r="I223" s="56">
        <v>0.39664902347219982</v>
      </c>
      <c r="J223" s="56">
        <v>3.446904168685069</v>
      </c>
      <c r="S223" s="53">
        <v>26072.020799999998</v>
      </c>
      <c r="T223" s="53">
        <v>777.5</v>
      </c>
      <c r="U223" s="53">
        <v>7681.7000000000007</v>
      </c>
      <c r="V223" s="53"/>
      <c r="AM223" s="53">
        <v>3312123.696</v>
      </c>
      <c r="AO223" s="53">
        <f t="shared" si="41"/>
        <v>2913237.7004301916</v>
      </c>
      <c r="AP223" s="53">
        <f t="shared" si="41"/>
        <v>1140480.8355213944</v>
      </c>
      <c r="AQ223" s="53">
        <f t="shared" si="41"/>
        <v>9910847.9124735519</v>
      </c>
      <c r="AR223" s="53">
        <f t="shared" si="41"/>
        <v>0</v>
      </c>
      <c r="AS223" s="53">
        <f t="shared" si="41"/>
        <v>0</v>
      </c>
      <c r="AT223" s="53">
        <f t="shared" si="41"/>
        <v>0</v>
      </c>
      <c r="AU223" s="53">
        <f t="shared" si="41"/>
        <v>0</v>
      </c>
      <c r="AV223" s="53">
        <f t="shared" si="41"/>
        <v>0</v>
      </c>
      <c r="AW223" s="53">
        <f t="shared" si="41"/>
        <v>0</v>
      </c>
      <c r="AX223" s="53">
        <f t="shared" si="42"/>
        <v>287528965.92000002</v>
      </c>
      <c r="AY223" s="41" t="s">
        <v>557</v>
      </c>
    </row>
    <row r="224" spans="1:51" x14ac:dyDescent="0.2">
      <c r="A224" s="41" t="s">
        <v>227</v>
      </c>
      <c r="B224" s="41">
        <v>1933</v>
      </c>
      <c r="C224" s="41" t="s">
        <v>87</v>
      </c>
      <c r="D224" s="41" t="s">
        <v>220</v>
      </c>
      <c r="E224" s="41">
        <v>100</v>
      </c>
      <c r="F224" s="41" t="s">
        <v>563</v>
      </c>
      <c r="G224" s="53">
        <v>3194636.7600000002</v>
      </c>
      <c r="H224" s="56">
        <v>1.0680947941174044</v>
      </c>
      <c r="I224" s="56">
        <v>0.49979803329188249</v>
      </c>
      <c r="J224" s="56">
        <v>4.358347440371797</v>
      </c>
      <c r="S224" s="53">
        <v>30537.2592</v>
      </c>
      <c r="T224" s="53">
        <v>1088.5</v>
      </c>
      <c r="U224" s="53">
        <v>10791.7</v>
      </c>
      <c r="V224" s="53"/>
      <c r="AM224" s="53">
        <v>3050061.7392000002</v>
      </c>
      <c r="AO224" s="53">
        <f t="shared" si="41"/>
        <v>3412174.8924520919</v>
      </c>
      <c r="AP224" s="53">
        <f t="shared" si="41"/>
        <v>1596673.1697299518</v>
      </c>
      <c r="AQ224" s="53">
        <f t="shared" si="41"/>
        <v>13923336.945863651</v>
      </c>
      <c r="AR224" s="53">
        <f t="shared" ref="AR224:AW255" si="43">$G224*K224</f>
        <v>0</v>
      </c>
      <c r="AS224" s="53">
        <f t="shared" si="43"/>
        <v>0</v>
      </c>
      <c r="AT224" s="53">
        <f t="shared" si="43"/>
        <v>0</v>
      </c>
      <c r="AU224" s="53">
        <f t="shared" si="43"/>
        <v>0</v>
      </c>
      <c r="AV224" s="53">
        <f t="shared" si="43"/>
        <v>0</v>
      </c>
      <c r="AW224" s="53">
        <f t="shared" si="43"/>
        <v>0</v>
      </c>
      <c r="AX224" s="53">
        <f t="shared" si="42"/>
        <v>319463676</v>
      </c>
      <c r="AY224" s="41" t="s">
        <v>557</v>
      </c>
    </row>
    <row r="225" spans="1:51" x14ac:dyDescent="0.2">
      <c r="A225" s="41" t="s">
        <v>227</v>
      </c>
      <c r="B225" s="41">
        <v>1934</v>
      </c>
      <c r="C225" s="41" t="s">
        <v>87</v>
      </c>
      <c r="D225" s="41" t="s">
        <v>220</v>
      </c>
      <c r="E225" s="41">
        <v>100</v>
      </c>
      <c r="F225" s="41" t="s">
        <v>563</v>
      </c>
      <c r="G225" s="53">
        <v>3707544.96</v>
      </c>
      <c r="H225" s="56">
        <v>1.0792398614515539</v>
      </c>
      <c r="I225" s="56">
        <v>0.5413949910718423</v>
      </c>
      <c r="J225" s="56">
        <v>4.0367909913478384</v>
      </c>
      <c r="S225" s="53">
        <v>35809.905599999998</v>
      </c>
      <c r="T225" s="53">
        <v>1368.4</v>
      </c>
      <c r="U225" s="53">
        <v>11600.300000000001</v>
      </c>
      <c r="V225" s="53"/>
      <c r="AM225" s="53">
        <v>4519271.2319999998</v>
      </c>
      <c r="AO225" s="53">
        <f t="shared" ref="AO225:AW256" si="44">$G225*H225</f>
        <v>4001330.3089558072</v>
      </c>
      <c r="AP225" s="53">
        <f t="shared" si="44"/>
        <v>2007246.270517654</v>
      </c>
      <c r="AQ225" s="53">
        <f t="shared" si="44"/>
        <v>14966584.094545081</v>
      </c>
      <c r="AR225" s="53">
        <f t="shared" si="43"/>
        <v>0</v>
      </c>
      <c r="AS225" s="53">
        <f t="shared" si="43"/>
        <v>0</v>
      </c>
      <c r="AT225" s="53">
        <f t="shared" si="43"/>
        <v>0</v>
      </c>
      <c r="AU225" s="53">
        <f t="shared" si="43"/>
        <v>0</v>
      </c>
      <c r="AV225" s="53">
        <f t="shared" si="43"/>
        <v>0</v>
      </c>
      <c r="AW225" s="53">
        <f t="shared" si="43"/>
        <v>0</v>
      </c>
      <c r="AX225" s="53">
        <f t="shared" si="42"/>
        <v>370754496</v>
      </c>
      <c r="AY225" s="41" t="s">
        <v>557</v>
      </c>
    </row>
    <row r="226" spans="1:51" x14ac:dyDescent="0.2">
      <c r="A226" s="41" t="s">
        <v>227</v>
      </c>
      <c r="B226" s="41">
        <v>1935</v>
      </c>
      <c r="C226" s="41" t="s">
        <v>87</v>
      </c>
      <c r="D226" s="41" t="s">
        <v>220</v>
      </c>
      <c r="E226" s="41">
        <v>100</v>
      </c>
      <c r="F226" s="41" t="s">
        <v>563</v>
      </c>
      <c r="G226" s="53">
        <v>5923834.5599999996</v>
      </c>
      <c r="H226" s="56">
        <v>0.99929079050736069</v>
      </c>
      <c r="I226" s="56">
        <v>0.52366551449036292</v>
      </c>
      <c r="J226" s="56">
        <v>4.0437590359273825</v>
      </c>
      <c r="S226" s="53">
        <v>52977.758399999999</v>
      </c>
      <c r="T226" s="53">
        <v>2114.8000000000002</v>
      </c>
      <c r="U226" s="53">
        <v>18566.7</v>
      </c>
      <c r="V226" s="53"/>
      <c r="AM226" s="53">
        <v>6789467.5631999997</v>
      </c>
      <c r="AO226" s="53">
        <f t="shared" si="44"/>
        <v>5919633.3202972226</v>
      </c>
      <c r="AP226" s="53">
        <f t="shared" si="44"/>
        <v>3102107.8726181923</v>
      </c>
      <c r="AQ226" s="53">
        <f t="shared" si="44"/>
        <v>23954559.529338907</v>
      </c>
      <c r="AR226" s="53">
        <f t="shared" si="43"/>
        <v>0</v>
      </c>
      <c r="AS226" s="53">
        <f t="shared" si="43"/>
        <v>0</v>
      </c>
      <c r="AT226" s="53">
        <f t="shared" si="43"/>
        <v>0</v>
      </c>
      <c r="AU226" s="53">
        <f t="shared" si="43"/>
        <v>0</v>
      </c>
      <c r="AV226" s="53">
        <f t="shared" si="43"/>
        <v>0</v>
      </c>
      <c r="AW226" s="53">
        <f t="shared" si="43"/>
        <v>0</v>
      </c>
      <c r="AX226" s="53">
        <f t="shared" si="42"/>
        <v>592383456</v>
      </c>
      <c r="AY226" s="41" t="s">
        <v>557</v>
      </c>
    </row>
    <row r="227" spans="1:51" x14ac:dyDescent="0.2">
      <c r="A227" s="41" t="s">
        <v>227</v>
      </c>
      <c r="B227" s="41">
        <v>1936</v>
      </c>
      <c r="C227" s="41" t="s">
        <v>87</v>
      </c>
      <c r="D227" s="41" t="s">
        <v>220</v>
      </c>
      <c r="E227" s="41">
        <v>100</v>
      </c>
      <c r="F227" s="41" t="s">
        <v>563</v>
      </c>
      <c r="G227" s="53">
        <v>12495682.08</v>
      </c>
      <c r="H227" s="56">
        <v>0.98652937014545261</v>
      </c>
      <c r="I227" s="56">
        <v>0.42714357456188784</v>
      </c>
      <c r="J227" s="56">
        <v>3.39413317427594</v>
      </c>
      <c r="K227" s="55">
        <v>1.9747493447752635E-2</v>
      </c>
      <c r="S227" s="53">
        <v>110323.6848</v>
      </c>
      <c r="T227" s="53">
        <v>3638.7000000000003</v>
      </c>
      <c r="U227" s="53">
        <v>32872.700000000004</v>
      </c>
      <c r="V227" s="53"/>
      <c r="W227" s="53">
        <v>246.75839999999999</v>
      </c>
      <c r="AM227" s="53">
        <v>13480398.691199999</v>
      </c>
      <c r="AO227" s="53">
        <f t="shared" si="44"/>
        <v>12327357.371920219</v>
      </c>
      <c r="AP227" s="53">
        <f t="shared" si="44"/>
        <v>5337450.3102401262</v>
      </c>
      <c r="AQ227" s="53">
        <f t="shared" si="44"/>
        <v>42412009.082933381</v>
      </c>
      <c r="AR227" s="53">
        <f t="shared" si="43"/>
        <v>246758.40000000002</v>
      </c>
      <c r="AS227" s="53">
        <f t="shared" si="43"/>
        <v>0</v>
      </c>
      <c r="AT227" s="53">
        <f t="shared" si="43"/>
        <v>0</v>
      </c>
      <c r="AU227" s="53">
        <f t="shared" si="43"/>
        <v>0</v>
      </c>
      <c r="AV227" s="53">
        <f t="shared" si="43"/>
        <v>0</v>
      </c>
      <c r="AW227" s="53">
        <f t="shared" si="43"/>
        <v>0</v>
      </c>
      <c r="AX227" s="53">
        <f t="shared" si="42"/>
        <v>1249568208</v>
      </c>
      <c r="AY227" s="41" t="s">
        <v>557</v>
      </c>
    </row>
    <row r="228" spans="1:51" x14ac:dyDescent="0.2">
      <c r="A228" s="41" t="s">
        <v>227</v>
      </c>
      <c r="B228" s="41">
        <v>1937</v>
      </c>
      <c r="C228" s="41" t="s">
        <v>87</v>
      </c>
      <c r="D228" s="41" t="s">
        <v>220</v>
      </c>
      <c r="E228" s="41">
        <v>100</v>
      </c>
      <c r="F228" s="41" t="s">
        <v>563</v>
      </c>
      <c r="G228" s="53">
        <v>20974282.559999999</v>
      </c>
      <c r="H228" s="56">
        <v>0.98778868995492086</v>
      </c>
      <c r="I228" s="56">
        <v>0.43935162619516399</v>
      </c>
      <c r="J228" s="56">
        <v>3.6577551627309992</v>
      </c>
      <c r="K228" s="55">
        <v>2.1858519883504006E-2</v>
      </c>
      <c r="S228" s="53">
        <v>185417.1648</v>
      </c>
      <c r="T228" s="53">
        <v>6282.2000000000007</v>
      </c>
      <c r="U228" s="53">
        <v>59463.200000000004</v>
      </c>
      <c r="V228" s="53"/>
      <c r="W228" s="53">
        <v>2226.2687999999998</v>
      </c>
      <c r="AM228" s="53">
        <v>25666766.395199999</v>
      </c>
      <c r="AO228" s="53">
        <f t="shared" si="44"/>
        <v>20718159.092686743</v>
      </c>
      <c r="AP228" s="53">
        <f t="shared" si="44"/>
        <v>9215085.1510128658</v>
      </c>
      <c r="AQ228" s="53">
        <f t="shared" si="44"/>
        <v>76718790.318418756</v>
      </c>
      <c r="AR228" s="53">
        <f t="shared" si="43"/>
        <v>458466.77237999125</v>
      </c>
      <c r="AS228" s="53">
        <f t="shared" si="43"/>
        <v>0</v>
      </c>
      <c r="AT228" s="53">
        <f t="shared" si="43"/>
        <v>0</v>
      </c>
      <c r="AU228" s="53">
        <f t="shared" si="43"/>
        <v>0</v>
      </c>
      <c r="AV228" s="53">
        <f t="shared" si="43"/>
        <v>0</v>
      </c>
      <c r="AW228" s="53">
        <f t="shared" si="43"/>
        <v>0</v>
      </c>
      <c r="AX228" s="53">
        <f t="shared" si="42"/>
        <v>2097428255.9999998</v>
      </c>
      <c r="AY228" s="41" t="s">
        <v>557</v>
      </c>
    </row>
    <row r="229" spans="1:51" x14ac:dyDescent="0.2">
      <c r="A229" s="41" t="s">
        <v>227</v>
      </c>
      <c r="B229" s="41">
        <v>1938</v>
      </c>
      <c r="C229" s="41" t="s">
        <v>87</v>
      </c>
      <c r="D229" s="41" t="s">
        <v>220</v>
      </c>
      <c r="E229" s="41">
        <v>100</v>
      </c>
      <c r="F229" s="41" t="s">
        <v>563</v>
      </c>
      <c r="G229" s="53">
        <v>10618685.279999999</v>
      </c>
      <c r="H229" s="56">
        <v>0.96212993944391723</v>
      </c>
      <c r="I229" s="56">
        <v>0.42102056491534562</v>
      </c>
      <c r="J229" s="56">
        <v>3.438622507498398</v>
      </c>
      <c r="K229" s="55">
        <v>2.8431771113525729E-2</v>
      </c>
      <c r="S229" s="53">
        <v>91433.059200000003</v>
      </c>
      <c r="T229" s="53">
        <v>3047.8</v>
      </c>
      <c r="U229" s="53">
        <v>28301</v>
      </c>
      <c r="V229" s="53"/>
      <c r="W229" s="53">
        <v>1466.0352</v>
      </c>
      <c r="AM229" s="53">
        <v>16889655.384</v>
      </c>
      <c r="AO229" s="53">
        <f t="shared" si="44"/>
        <v>10216555.025420414</v>
      </c>
      <c r="AP229" s="53">
        <f t="shared" si="44"/>
        <v>4470684.875243865</v>
      </c>
      <c r="AQ229" s="53">
        <f t="shared" si="44"/>
        <v>36513650.203849927</v>
      </c>
      <c r="AR229" s="53">
        <f t="shared" si="43"/>
        <v>301908.02940752485</v>
      </c>
      <c r="AS229" s="53">
        <f t="shared" si="43"/>
        <v>0</v>
      </c>
      <c r="AT229" s="53">
        <f t="shared" si="43"/>
        <v>0</v>
      </c>
      <c r="AU229" s="53">
        <f t="shared" si="43"/>
        <v>0</v>
      </c>
      <c r="AV229" s="53">
        <f t="shared" si="43"/>
        <v>0</v>
      </c>
      <c r="AW229" s="53">
        <f t="shared" si="43"/>
        <v>0</v>
      </c>
      <c r="AX229" s="53">
        <f t="shared" si="42"/>
        <v>1061868527.9999999</v>
      </c>
      <c r="AY229" s="41" t="s">
        <v>557</v>
      </c>
    </row>
    <row r="230" spans="1:51" x14ac:dyDescent="0.2">
      <c r="A230" s="41" t="s">
        <v>227</v>
      </c>
      <c r="B230" s="41">
        <v>1939</v>
      </c>
      <c r="C230" s="41" t="s">
        <v>87</v>
      </c>
      <c r="D230" s="41" t="s">
        <v>220</v>
      </c>
      <c r="E230" s="41">
        <v>100</v>
      </c>
      <c r="F230" s="41" t="s">
        <v>563</v>
      </c>
      <c r="G230" s="53">
        <v>17518213.440000001</v>
      </c>
      <c r="H230" s="56">
        <v>0.95960669582509028</v>
      </c>
      <c r="I230" s="56">
        <v>0.41405238831911778</v>
      </c>
      <c r="J230" s="56">
        <v>3.4219577449587302</v>
      </c>
      <c r="K230" s="55">
        <v>3.296419683034417E-2</v>
      </c>
      <c r="S230" s="53">
        <v>150446.4192</v>
      </c>
      <c r="T230" s="53">
        <v>4944.9000000000005</v>
      </c>
      <c r="U230" s="53">
        <v>46463.4</v>
      </c>
      <c r="V230" s="53"/>
      <c r="W230" s="53">
        <v>2804.1552000000001</v>
      </c>
      <c r="AM230" s="53">
        <v>20966663.894400001</v>
      </c>
      <c r="AO230" s="53">
        <f t="shared" si="44"/>
        <v>16810594.915917091</v>
      </c>
      <c r="AP230" s="53">
        <f t="shared" si="44"/>
        <v>7253458.1139160683</v>
      </c>
      <c r="AQ230" s="53">
        <f t="shared" si="44"/>
        <v>59946586.158848122</v>
      </c>
      <c r="AR230" s="53">
        <f t="shared" si="43"/>
        <v>577473.83595214062</v>
      </c>
      <c r="AS230" s="53">
        <f t="shared" si="43"/>
        <v>0</v>
      </c>
      <c r="AT230" s="53">
        <f t="shared" si="43"/>
        <v>0</v>
      </c>
      <c r="AU230" s="53">
        <f t="shared" si="43"/>
        <v>0</v>
      </c>
      <c r="AV230" s="53">
        <f t="shared" si="43"/>
        <v>0</v>
      </c>
      <c r="AW230" s="53">
        <f t="shared" si="43"/>
        <v>0</v>
      </c>
      <c r="AX230" s="53">
        <f t="shared" si="42"/>
        <v>1751821344.0000002</v>
      </c>
      <c r="AY230" s="41" t="s">
        <v>557</v>
      </c>
    </row>
    <row r="231" spans="1:51" x14ac:dyDescent="0.2">
      <c r="A231" s="41" t="s">
        <v>227</v>
      </c>
      <c r="B231" s="41">
        <v>1940</v>
      </c>
      <c r="C231" s="41" t="s">
        <v>87</v>
      </c>
      <c r="D231" s="41" t="s">
        <v>220</v>
      </c>
      <c r="E231" s="41">
        <v>100</v>
      </c>
      <c r="F231" s="41" t="s">
        <v>563</v>
      </c>
      <c r="G231" s="53">
        <v>23542293.600000001</v>
      </c>
      <c r="H231" s="56">
        <v>0.97021236390414012</v>
      </c>
      <c r="I231" s="56">
        <v>0.43211970871227418</v>
      </c>
      <c r="J231" s="56">
        <v>3.5843000603897757</v>
      </c>
      <c r="K231" s="55">
        <v>3.4059969032750749E-2</v>
      </c>
      <c r="S231" s="53">
        <v>204415.74720000001</v>
      </c>
      <c r="T231" s="53">
        <v>6935.3</v>
      </c>
      <c r="U231" s="53">
        <v>65403.3</v>
      </c>
      <c r="V231" s="53"/>
      <c r="W231" s="53">
        <v>3893.7024000000001</v>
      </c>
      <c r="AM231" s="53">
        <v>28018147.1472</v>
      </c>
      <c r="AO231" s="53">
        <f t="shared" si="44"/>
        <v>22841024.325381309</v>
      </c>
      <c r="AP231" s="53">
        <f t="shared" si="44"/>
        <v>10173089.052850837</v>
      </c>
      <c r="AQ231" s="53">
        <f t="shared" si="44"/>
        <v>84382644.372193828</v>
      </c>
      <c r="AR231" s="53">
        <f t="shared" si="43"/>
        <v>801849.79097592621</v>
      </c>
      <c r="AS231" s="53">
        <f t="shared" si="43"/>
        <v>0</v>
      </c>
      <c r="AT231" s="53">
        <f t="shared" si="43"/>
        <v>0</v>
      </c>
      <c r="AU231" s="53">
        <f t="shared" si="43"/>
        <v>0</v>
      </c>
      <c r="AV231" s="53">
        <f t="shared" si="43"/>
        <v>0</v>
      </c>
      <c r="AW231" s="53">
        <f t="shared" si="43"/>
        <v>0</v>
      </c>
      <c r="AX231" s="53">
        <f t="shared" si="42"/>
        <v>2354229360</v>
      </c>
      <c r="AY231" s="41" t="s">
        <v>557</v>
      </c>
    </row>
    <row r="232" spans="1:51" x14ac:dyDescent="0.2">
      <c r="A232" s="41" t="s">
        <v>227</v>
      </c>
      <c r="B232" s="41">
        <v>1941</v>
      </c>
      <c r="C232" s="41" t="s">
        <v>87</v>
      </c>
      <c r="D232" s="41" t="s">
        <v>220</v>
      </c>
      <c r="E232" s="41">
        <v>100</v>
      </c>
      <c r="F232" s="41" t="s">
        <v>563</v>
      </c>
      <c r="G232" s="53">
        <v>27298010.879999999</v>
      </c>
      <c r="H232" s="56">
        <v>0.97718466060875409</v>
      </c>
      <c r="I232" s="56">
        <v>0.40441974092462146</v>
      </c>
      <c r="J232" s="56">
        <v>3.3087073097983608</v>
      </c>
      <c r="K232" s="55">
        <v>3.2282575898654645E-2</v>
      </c>
      <c r="S232" s="53">
        <v>238729.68</v>
      </c>
      <c r="T232" s="53">
        <v>7526.2000000000007</v>
      </c>
      <c r="U232" s="53">
        <v>70006.100000000006</v>
      </c>
      <c r="V232" s="53"/>
      <c r="W232" s="53">
        <v>4279.2623999999996</v>
      </c>
      <c r="AM232" s="53">
        <v>34818727.910400003</v>
      </c>
      <c r="AO232" s="53">
        <f t="shared" si="44"/>
        <v>26675197.497066874</v>
      </c>
      <c r="AP232" s="53">
        <f t="shared" si="44"/>
        <v>11039854.487847097</v>
      </c>
      <c r="AQ232" s="53">
        <f t="shared" si="44"/>
        <v>90321128.141611174</v>
      </c>
      <c r="AR232" s="53">
        <f t="shared" si="43"/>
        <v>881250.10811590019</v>
      </c>
      <c r="AS232" s="53">
        <f t="shared" si="43"/>
        <v>0</v>
      </c>
      <c r="AT232" s="53">
        <f t="shared" si="43"/>
        <v>0</v>
      </c>
      <c r="AU232" s="53">
        <f t="shared" si="43"/>
        <v>0</v>
      </c>
      <c r="AV232" s="53">
        <f t="shared" si="43"/>
        <v>0</v>
      </c>
      <c r="AW232" s="53">
        <f t="shared" si="43"/>
        <v>0</v>
      </c>
      <c r="AX232" s="53">
        <f t="shared" si="42"/>
        <v>2729801088</v>
      </c>
      <c r="AY232" s="41" t="s">
        <v>557</v>
      </c>
    </row>
    <row r="233" spans="1:51" x14ac:dyDescent="0.2">
      <c r="A233" s="41" t="s">
        <v>227</v>
      </c>
      <c r="B233" s="41">
        <v>1942</v>
      </c>
      <c r="C233" s="41" t="s">
        <v>87</v>
      </c>
      <c r="D233" s="41" t="s">
        <v>220</v>
      </c>
      <c r="E233" s="41">
        <v>100</v>
      </c>
      <c r="F233" s="41" t="s">
        <v>563</v>
      </c>
      <c r="G233" s="53">
        <v>30022151.039999999</v>
      </c>
      <c r="H233" s="56">
        <v>0.98360187438387037</v>
      </c>
      <c r="I233" s="56">
        <v>0.43610199596762822</v>
      </c>
      <c r="J233" s="56">
        <v>3.5110104791198191</v>
      </c>
      <c r="K233" s="55">
        <v>3.4985037419728443E-2</v>
      </c>
      <c r="S233" s="53">
        <v>264277.33919999999</v>
      </c>
      <c r="T233" s="53">
        <v>8925.7000000000007</v>
      </c>
      <c r="U233" s="53">
        <v>81699.7</v>
      </c>
      <c r="V233" s="53"/>
      <c r="W233" s="53">
        <v>5100.2784000000001</v>
      </c>
      <c r="AM233" s="53">
        <v>36030435.940800004</v>
      </c>
      <c r="AO233" s="53">
        <f t="shared" si="44"/>
        <v>29529844.035979662</v>
      </c>
      <c r="AP233" s="53">
        <f t="shared" si="44"/>
        <v>13092719.991785605</v>
      </c>
      <c r="AQ233" s="53">
        <f t="shared" si="44"/>
        <v>105408086.90715797</v>
      </c>
      <c r="AR233" s="53">
        <f t="shared" si="43"/>
        <v>1050326.0775551391</v>
      </c>
      <c r="AS233" s="53">
        <f t="shared" si="43"/>
        <v>0</v>
      </c>
      <c r="AT233" s="53">
        <f t="shared" si="43"/>
        <v>0</v>
      </c>
      <c r="AU233" s="53">
        <f t="shared" si="43"/>
        <v>0</v>
      </c>
      <c r="AV233" s="53">
        <f t="shared" si="43"/>
        <v>0</v>
      </c>
      <c r="AW233" s="53">
        <f t="shared" si="43"/>
        <v>0</v>
      </c>
      <c r="AX233" s="53">
        <f t="shared" si="42"/>
        <v>3002215104</v>
      </c>
      <c r="AY233" s="41" t="s">
        <v>557</v>
      </c>
    </row>
    <row r="234" spans="1:51" x14ac:dyDescent="0.2">
      <c r="A234" s="41" t="s">
        <v>227</v>
      </c>
      <c r="B234" s="41">
        <v>1943</v>
      </c>
      <c r="C234" s="41" t="s">
        <v>87</v>
      </c>
      <c r="D234" s="41" t="s">
        <v>220</v>
      </c>
      <c r="E234" s="41">
        <v>100</v>
      </c>
      <c r="F234" s="41" t="s">
        <v>563</v>
      </c>
      <c r="G234" s="53">
        <v>32092925.760000002</v>
      </c>
      <c r="H234" s="56">
        <v>0.97794435738523844</v>
      </c>
      <c r="I234" s="56">
        <v>0.43497079484665419</v>
      </c>
      <c r="J234" s="56">
        <v>3.5282679232505312</v>
      </c>
      <c r="K234" s="55">
        <v>3.4258667167530669E-2</v>
      </c>
      <c r="S234" s="53">
        <v>280880.91360000003</v>
      </c>
      <c r="T234" s="53">
        <v>9516.6</v>
      </c>
      <c r="U234" s="53">
        <v>87764.2</v>
      </c>
      <c r="V234" s="53"/>
      <c r="W234" s="53">
        <v>5338.8720000000003</v>
      </c>
      <c r="AM234" s="53">
        <v>37475521.1712</v>
      </c>
      <c r="AO234" s="53">
        <f t="shared" si="44"/>
        <v>31385095.658975367</v>
      </c>
      <c r="AP234" s="53">
        <f t="shared" si="44"/>
        <v>13959485.426781865</v>
      </c>
      <c r="AQ234" s="53">
        <f t="shared" si="44"/>
        <v>113232440.52226868</v>
      </c>
      <c r="AR234" s="53">
        <f t="shared" si="43"/>
        <v>1099460.8620441114</v>
      </c>
      <c r="AS234" s="53">
        <f t="shared" si="43"/>
        <v>0</v>
      </c>
      <c r="AT234" s="53">
        <f t="shared" si="43"/>
        <v>0</v>
      </c>
      <c r="AU234" s="53">
        <f t="shared" si="43"/>
        <v>0</v>
      </c>
      <c r="AV234" s="53">
        <f t="shared" si="43"/>
        <v>0</v>
      </c>
      <c r="AW234" s="53">
        <f t="shared" si="43"/>
        <v>0</v>
      </c>
      <c r="AX234" s="53">
        <f t="shared" si="42"/>
        <v>3209292576</v>
      </c>
      <c r="AY234" s="41" t="s">
        <v>557</v>
      </c>
    </row>
    <row r="235" spans="1:51" x14ac:dyDescent="0.2">
      <c r="A235" s="41" t="s">
        <v>227</v>
      </c>
      <c r="B235" s="41">
        <v>1944</v>
      </c>
      <c r="C235" s="41" t="s">
        <v>87</v>
      </c>
      <c r="D235" s="41" t="s">
        <v>220</v>
      </c>
      <c r="E235" s="41">
        <v>100</v>
      </c>
      <c r="F235" s="41" t="s">
        <v>563</v>
      </c>
      <c r="G235" s="53">
        <v>26557554.239999998</v>
      </c>
      <c r="H235" s="56">
        <v>1.0030594632384149</v>
      </c>
      <c r="I235" s="56">
        <v>0.48784094252208665</v>
      </c>
      <c r="J235" s="56">
        <v>3.7575222988761117</v>
      </c>
      <c r="K235" s="55">
        <v>4.0723845343985203E-2</v>
      </c>
      <c r="S235" s="53">
        <v>238403.9952</v>
      </c>
      <c r="T235" s="53">
        <v>8832.4</v>
      </c>
      <c r="U235" s="53">
        <v>77345.7</v>
      </c>
      <c r="V235" s="53"/>
      <c r="W235" s="53">
        <v>5251.7808000000005</v>
      </c>
      <c r="AM235" s="53">
        <v>29903132.750399999</v>
      </c>
      <c r="AO235" s="53">
        <f t="shared" si="44"/>
        <v>26638806.100899488</v>
      </c>
      <c r="AP235" s="53">
        <f t="shared" si="44"/>
        <v>12955862.291523037</v>
      </c>
      <c r="AQ235" s="53">
        <f t="shared" si="44"/>
        <v>99790602.260411814</v>
      </c>
      <c r="AR235" s="53">
        <f t="shared" si="43"/>
        <v>1081525.7315842584</v>
      </c>
      <c r="AS235" s="53">
        <f t="shared" si="43"/>
        <v>0</v>
      </c>
      <c r="AT235" s="53">
        <f t="shared" si="43"/>
        <v>0</v>
      </c>
      <c r="AU235" s="53">
        <f t="shared" si="43"/>
        <v>0</v>
      </c>
      <c r="AV235" s="53">
        <f t="shared" si="43"/>
        <v>0</v>
      </c>
      <c r="AW235" s="53">
        <f t="shared" si="43"/>
        <v>0</v>
      </c>
      <c r="AX235" s="53">
        <f t="shared" si="42"/>
        <v>2655755424</v>
      </c>
      <c r="AY235" s="41" t="s">
        <v>557</v>
      </c>
    </row>
    <row r="236" spans="1:51" x14ac:dyDescent="0.2">
      <c r="A236" s="41" t="s">
        <v>227</v>
      </c>
      <c r="B236" s="41">
        <v>1945</v>
      </c>
      <c r="C236" s="41" t="s">
        <v>87</v>
      </c>
      <c r="D236" s="41" t="s">
        <v>220</v>
      </c>
      <c r="E236" s="41">
        <v>100</v>
      </c>
      <c r="F236" s="41" t="s">
        <v>563</v>
      </c>
      <c r="G236" s="53">
        <v>21193099.199999999</v>
      </c>
      <c r="H236" s="56">
        <v>1.0214987621602609</v>
      </c>
      <c r="I236" s="56">
        <v>0.49078169841035402</v>
      </c>
      <c r="J236" s="56">
        <v>3.8415052805247649</v>
      </c>
      <c r="K236" s="55">
        <v>4.5434238167646378E-2</v>
      </c>
      <c r="S236" s="53">
        <v>193745.26079999999</v>
      </c>
      <c r="T236" s="53">
        <v>7090.8</v>
      </c>
      <c r="U236" s="53">
        <v>63101.9</v>
      </c>
      <c r="V236" s="53"/>
      <c r="W236" s="53">
        <v>4675.7088000000003</v>
      </c>
      <c r="AM236" s="53">
        <v>26311445.395199999</v>
      </c>
      <c r="AO236" s="53">
        <f t="shared" si="44"/>
        <v>21648724.599139616</v>
      </c>
      <c r="AP236" s="53">
        <f t="shared" si="44"/>
        <v>10401185.219955115</v>
      </c>
      <c r="AQ236" s="53">
        <f t="shared" si="44"/>
        <v>81413402.48748517</v>
      </c>
      <c r="AR236" s="53">
        <f t="shared" si="43"/>
        <v>962892.31656335585</v>
      </c>
      <c r="AS236" s="53">
        <f t="shared" si="43"/>
        <v>0</v>
      </c>
      <c r="AT236" s="53">
        <f t="shared" si="43"/>
        <v>0</v>
      </c>
      <c r="AU236" s="53">
        <f t="shared" si="43"/>
        <v>0</v>
      </c>
      <c r="AV236" s="53">
        <f t="shared" si="43"/>
        <v>0</v>
      </c>
      <c r="AW236" s="53">
        <f t="shared" si="43"/>
        <v>0</v>
      </c>
      <c r="AX236" s="53">
        <f t="shared" si="42"/>
        <v>2119309920</v>
      </c>
      <c r="AY236" s="41" t="s">
        <v>557</v>
      </c>
    </row>
    <row r="237" spans="1:51" x14ac:dyDescent="0.2">
      <c r="A237" s="41" t="s">
        <v>227</v>
      </c>
      <c r="B237" s="41">
        <v>1946</v>
      </c>
      <c r="C237" s="41" t="s">
        <v>87</v>
      </c>
      <c r="D237" s="41" t="s">
        <v>220</v>
      </c>
      <c r="E237" s="41">
        <v>100</v>
      </c>
      <c r="F237" s="41" t="s">
        <v>563</v>
      </c>
      <c r="G237" s="53">
        <v>10733446.08</v>
      </c>
      <c r="H237" s="56">
        <v>1.0050421223373038</v>
      </c>
      <c r="I237" s="56">
        <v>0.55677547859187704</v>
      </c>
      <c r="J237" s="56">
        <v>4.3476481933681903</v>
      </c>
      <c r="K237" s="55">
        <v>4.7465631804356929E-2</v>
      </c>
      <c r="S237" s="53">
        <v>96543.316800000001</v>
      </c>
      <c r="T237" s="53">
        <v>4074.1000000000004</v>
      </c>
      <c r="U237" s="53">
        <v>36169.300000000003</v>
      </c>
      <c r="V237" s="53"/>
      <c r="W237" s="53">
        <v>2473.9344000000001</v>
      </c>
      <c r="AM237" s="53">
        <v>12498336.5472</v>
      </c>
      <c r="AO237" s="53">
        <f t="shared" si="44"/>
        <v>10787565.428236214</v>
      </c>
      <c r="AP237" s="53">
        <f t="shared" si="44"/>
        <v>5976119.5781321069</v>
      </c>
      <c r="AQ237" s="53">
        <f t="shared" si="44"/>
        <v>46665247.458326884</v>
      </c>
      <c r="AR237" s="53">
        <f t="shared" si="43"/>
        <v>509469.79962519824</v>
      </c>
      <c r="AS237" s="53">
        <f t="shared" si="43"/>
        <v>0</v>
      </c>
      <c r="AT237" s="53">
        <f t="shared" si="43"/>
        <v>0</v>
      </c>
      <c r="AU237" s="53">
        <f t="shared" si="43"/>
        <v>0</v>
      </c>
      <c r="AV237" s="53">
        <f t="shared" si="43"/>
        <v>0</v>
      </c>
      <c r="AW237" s="53">
        <f t="shared" si="43"/>
        <v>0</v>
      </c>
      <c r="AX237" s="53">
        <f t="shared" si="42"/>
        <v>1073344608</v>
      </c>
      <c r="AY237" s="41" t="s">
        <v>557</v>
      </c>
    </row>
    <row r="238" spans="1:51" x14ac:dyDescent="0.2">
      <c r="A238" s="41" t="s">
        <v>227</v>
      </c>
      <c r="B238" s="41">
        <v>1947</v>
      </c>
      <c r="C238" s="41" t="s">
        <v>87</v>
      </c>
      <c r="D238" s="41" t="s">
        <v>220</v>
      </c>
      <c r="E238" s="41">
        <v>100</v>
      </c>
      <c r="F238" s="41" t="s">
        <v>563</v>
      </c>
      <c r="G238" s="53">
        <v>25890852.960000001</v>
      </c>
      <c r="H238" s="56">
        <v>1.0036902453007075</v>
      </c>
      <c r="I238" s="56">
        <v>0.64136168054586562</v>
      </c>
      <c r="J238" s="56">
        <v>4.6012697837882328</v>
      </c>
      <c r="K238" s="55">
        <v>5.0027424932604696E-2</v>
      </c>
      <c r="S238" s="53">
        <v>232565.25599999999</v>
      </c>
      <c r="T238" s="53">
        <v>11320.4</v>
      </c>
      <c r="U238" s="53">
        <v>92335.900000000009</v>
      </c>
      <c r="V238" s="53"/>
      <c r="W238" s="53">
        <v>6289.6176000000005</v>
      </c>
      <c r="AM238" s="53">
        <v>31170561.004799999</v>
      </c>
      <c r="AO238" s="53">
        <f t="shared" si="44"/>
        <v>25986396.558466949</v>
      </c>
      <c r="AP238" s="53">
        <f t="shared" si="44"/>
        <v>16605400.9651915</v>
      </c>
      <c r="AQ238" s="53">
        <f t="shared" si="44"/>
        <v>119130799.40135214</v>
      </c>
      <c r="AR238" s="53">
        <f t="shared" si="43"/>
        <v>1295252.7028975061</v>
      </c>
      <c r="AS238" s="53">
        <f t="shared" si="43"/>
        <v>0</v>
      </c>
      <c r="AT238" s="53">
        <f t="shared" si="43"/>
        <v>0</v>
      </c>
      <c r="AU238" s="53">
        <f t="shared" si="43"/>
        <v>0</v>
      </c>
      <c r="AV238" s="53">
        <f t="shared" si="43"/>
        <v>0</v>
      </c>
      <c r="AW238" s="53">
        <f t="shared" si="43"/>
        <v>0</v>
      </c>
      <c r="AX238" s="53">
        <f t="shared" si="42"/>
        <v>2589085296</v>
      </c>
      <c r="AY238" s="41" t="s">
        <v>557</v>
      </c>
    </row>
    <row r="239" spans="1:51" x14ac:dyDescent="0.2">
      <c r="A239" s="41" t="s">
        <v>227</v>
      </c>
      <c r="B239" s="41">
        <v>1948</v>
      </c>
      <c r="C239" s="41" t="s">
        <v>87</v>
      </c>
      <c r="D239" s="41" t="s">
        <v>220</v>
      </c>
      <c r="E239" s="41">
        <v>100</v>
      </c>
      <c r="F239" s="41" t="s">
        <v>563</v>
      </c>
      <c r="G239" s="53">
        <v>22184668.800000001</v>
      </c>
      <c r="H239" s="56">
        <v>1.008297546706568</v>
      </c>
      <c r="I239" s="56">
        <v>0.64157824286775011</v>
      </c>
      <c r="J239" s="56">
        <v>4.7423499266073543</v>
      </c>
      <c r="K239" s="55">
        <v>4.7167833660290946E-2</v>
      </c>
      <c r="S239" s="53">
        <v>200189.1024</v>
      </c>
      <c r="T239" s="53">
        <v>9703.2000000000007</v>
      </c>
      <c r="U239" s="53">
        <v>81544.2</v>
      </c>
      <c r="V239" s="53"/>
      <c r="W239" s="53">
        <v>5081.2272000000003</v>
      </c>
      <c r="AM239" s="53">
        <v>30373559.495999999</v>
      </c>
      <c r="AO239" s="53">
        <f t="shared" si="44"/>
        <v>22368747.125537742</v>
      </c>
      <c r="AP239" s="53">
        <f t="shared" si="44"/>
        <v>14233200.827306999</v>
      </c>
      <c r="AQ239" s="53">
        <f t="shared" si="44"/>
        <v>105207462.45548847</v>
      </c>
      <c r="AR239" s="53">
        <f t="shared" si="43"/>
        <v>1046402.7677670463</v>
      </c>
      <c r="AS239" s="53">
        <f t="shared" si="43"/>
        <v>0</v>
      </c>
      <c r="AT239" s="53">
        <f t="shared" si="43"/>
        <v>0</v>
      </c>
      <c r="AU239" s="53">
        <f t="shared" si="43"/>
        <v>0</v>
      </c>
      <c r="AV239" s="53">
        <f t="shared" si="43"/>
        <v>0</v>
      </c>
      <c r="AW239" s="53">
        <f t="shared" si="43"/>
        <v>0</v>
      </c>
      <c r="AX239" s="53">
        <f t="shared" si="42"/>
        <v>2218466880</v>
      </c>
      <c r="AY239" s="41" t="s">
        <v>557</v>
      </c>
    </row>
    <row r="240" spans="1:51" x14ac:dyDescent="0.2">
      <c r="A240" s="41" t="s">
        <v>227</v>
      </c>
      <c r="B240" s="41">
        <v>1949</v>
      </c>
      <c r="C240" s="41" t="s">
        <v>87</v>
      </c>
      <c r="D240" s="41" t="s">
        <v>220</v>
      </c>
      <c r="E240" s="41">
        <v>100</v>
      </c>
      <c r="F240" s="41" t="s">
        <v>563</v>
      </c>
      <c r="G240" s="53">
        <v>18980710.559999999</v>
      </c>
      <c r="H240" s="56">
        <v>1.0189371825245668</v>
      </c>
      <c r="I240" s="56">
        <v>0.64412523009303757</v>
      </c>
      <c r="J240" s="56">
        <v>4.6824712809693025</v>
      </c>
      <c r="K240" s="55">
        <v>4.9489846803438056E-2</v>
      </c>
      <c r="S240" s="53">
        <v>173084.68799999999</v>
      </c>
      <c r="T240" s="53">
        <v>8334.8000000000011</v>
      </c>
      <c r="U240" s="53">
        <v>68886.5</v>
      </c>
      <c r="V240" s="53"/>
      <c r="W240" s="53">
        <v>4561.4016000000001</v>
      </c>
      <c r="AM240" s="53">
        <v>24115158.648000002</v>
      </c>
      <c r="AO240" s="53">
        <f t="shared" si="44"/>
        <v>19340151.74032069</v>
      </c>
      <c r="AP240" s="53">
        <f t="shared" si="44"/>
        <v>12225954.556789348</v>
      </c>
      <c r="AQ240" s="53">
        <f t="shared" si="44"/>
        <v>88876632.089590758</v>
      </c>
      <c r="AR240" s="53">
        <f t="shared" si="43"/>
        <v>939352.45783479884</v>
      </c>
      <c r="AS240" s="53">
        <f t="shared" si="43"/>
        <v>0</v>
      </c>
      <c r="AT240" s="53">
        <f t="shared" si="43"/>
        <v>0</v>
      </c>
      <c r="AU240" s="53">
        <f t="shared" si="43"/>
        <v>0</v>
      </c>
      <c r="AV240" s="53">
        <f t="shared" si="43"/>
        <v>0</v>
      </c>
      <c r="AW240" s="53">
        <f t="shared" si="43"/>
        <v>0</v>
      </c>
      <c r="AX240" s="53">
        <f t="shared" si="42"/>
        <v>1898071055.9999998</v>
      </c>
      <c r="AY240" s="41" t="s">
        <v>557</v>
      </c>
    </row>
    <row r="241" spans="1:51" x14ac:dyDescent="0.2">
      <c r="A241" s="41" t="s">
        <v>227</v>
      </c>
      <c r="B241" s="41">
        <v>1950</v>
      </c>
      <c r="C241" s="41" t="s">
        <v>87</v>
      </c>
      <c r="D241" s="41" t="s">
        <v>220</v>
      </c>
      <c r="E241" s="41">
        <v>100</v>
      </c>
      <c r="F241" s="41" t="s">
        <v>563</v>
      </c>
      <c r="G241" s="53">
        <v>28157492.16</v>
      </c>
      <c r="H241" s="56">
        <v>0.98924735900815886</v>
      </c>
      <c r="I241" s="56">
        <v>0.66912007986202116</v>
      </c>
      <c r="J241" s="56">
        <v>4.6883042157449841</v>
      </c>
      <c r="K241" s="55">
        <v>4.8727261376204589E-2</v>
      </c>
      <c r="S241" s="53">
        <v>249285.85920000001</v>
      </c>
      <c r="T241" s="53">
        <v>12844.300000000001</v>
      </c>
      <c r="U241" s="53">
        <v>102319</v>
      </c>
      <c r="V241" s="53"/>
      <c r="W241" s="53">
        <v>6662.4768000000004</v>
      </c>
      <c r="AM241" s="53">
        <v>37507421.952</v>
      </c>
      <c r="AO241" s="53">
        <f t="shared" si="44"/>
        <v>27854724.755572937</v>
      </c>
      <c r="AP241" s="53">
        <f t="shared" si="44"/>
        <v>18840743.402813435</v>
      </c>
      <c r="AQ241" s="53">
        <f t="shared" si="44"/>
        <v>132010889.19853434</v>
      </c>
      <c r="AR241" s="53">
        <f t="shared" si="43"/>
        <v>1372037.4801787515</v>
      </c>
      <c r="AS241" s="53">
        <f t="shared" si="43"/>
        <v>0</v>
      </c>
      <c r="AT241" s="53">
        <f t="shared" si="43"/>
        <v>0</v>
      </c>
      <c r="AU241" s="53">
        <f t="shared" si="43"/>
        <v>0</v>
      </c>
      <c r="AV241" s="53">
        <f t="shared" si="43"/>
        <v>0</v>
      </c>
      <c r="AW241" s="53">
        <f t="shared" si="43"/>
        <v>0</v>
      </c>
      <c r="AX241" s="53">
        <f t="shared" si="42"/>
        <v>2815749216</v>
      </c>
      <c r="AY241" s="41" t="s">
        <v>557</v>
      </c>
    </row>
    <row r="242" spans="1:51" x14ac:dyDescent="0.2">
      <c r="A242" s="41" t="s">
        <v>227</v>
      </c>
      <c r="B242" s="41">
        <v>1951</v>
      </c>
      <c r="C242" s="41" t="s">
        <v>87</v>
      </c>
      <c r="D242" s="41" t="s">
        <v>220</v>
      </c>
      <c r="E242" s="41">
        <v>100</v>
      </c>
      <c r="F242" s="41" t="s">
        <v>563</v>
      </c>
      <c r="G242" s="53">
        <v>27619522.559999999</v>
      </c>
      <c r="H242" s="56">
        <v>0.9871736621610363</v>
      </c>
      <c r="I242" s="56">
        <v>0.64581566277279656</v>
      </c>
      <c r="J242" s="56">
        <v>4.5849508665001197</v>
      </c>
      <c r="K242" s="55">
        <v>4.6977444718182257E-2</v>
      </c>
      <c r="S242" s="53">
        <v>244010.49119999999</v>
      </c>
      <c r="T242" s="53">
        <v>12160.1</v>
      </c>
      <c r="U242" s="53">
        <v>98151.6</v>
      </c>
      <c r="V242" s="53"/>
      <c r="W242" s="53">
        <v>6300.5039999999999</v>
      </c>
      <c r="AM242" s="53">
        <v>42231535.315200001</v>
      </c>
      <c r="AO242" s="53">
        <f t="shared" si="44"/>
        <v>27265265.232694559</v>
      </c>
      <c r="AP242" s="53">
        <f t="shared" si="44"/>
        <v>17837120.267554607</v>
      </c>
      <c r="AQ242" s="53">
        <f t="shared" si="44"/>
        <v>126634153.8937916</v>
      </c>
      <c r="AR242" s="53">
        <f t="shared" si="43"/>
        <v>1297494.5942049876</v>
      </c>
      <c r="AS242" s="53">
        <f t="shared" si="43"/>
        <v>0</v>
      </c>
      <c r="AT242" s="53">
        <f t="shared" si="43"/>
        <v>0</v>
      </c>
      <c r="AU242" s="53">
        <f t="shared" si="43"/>
        <v>0</v>
      </c>
      <c r="AV242" s="53">
        <f t="shared" si="43"/>
        <v>0</v>
      </c>
      <c r="AW242" s="53">
        <f t="shared" si="43"/>
        <v>0</v>
      </c>
      <c r="AX242" s="53">
        <f t="shared" si="42"/>
        <v>2761952256</v>
      </c>
      <c r="AY242" s="41" t="s">
        <v>557</v>
      </c>
    </row>
    <row r="243" spans="1:51" x14ac:dyDescent="0.2">
      <c r="A243" s="41" t="s">
        <v>227</v>
      </c>
      <c r="B243" s="41">
        <v>1952</v>
      </c>
      <c r="C243" s="41" t="s">
        <v>87</v>
      </c>
      <c r="D243" s="41" t="s">
        <v>220</v>
      </c>
      <c r="E243" s="41">
        <v>100</v>
      </c>
      <c r="F243" s="41" t="s">
        <v>563</v>
      </c>
      <c r="G243" s="53">
        <v>29063149.920000002</v>
      </c>
      <c r="H243" s="56">
        <v>0.96883900793436628</v>
      </c>
      <c r="I243" s="56">
        <v>0.63257255731779516</v>
      </c>
      <c r="J243" s="56">
        <v>4.527021873644915</v>
      </c>
      <c r="K243" s="55">
        <v>5.169573252381765E-2</v>
      </c>
      <c r="S243" s="53">
        <v>251995.66560000001</v>
      </c>
      <c r="T243" s="53">
        <v>12533.300000000001</v>
      </c>
      <c r="U243" s="53">
        <v>101976.90000000001</v>
      </c>
      <c r="V243" s="53"/>
      <c r="W243" s="53">
        <v>7295.7024000000001</v>
      </c>
      <c r="AM243" s="53">
        <v>42557274.547200002</v>
      </c>
      <c r="AO243" s="53">
        <f t="shared" si="44"/>
        <v>28157513.335940558</v>
      </c>
      <c r="AP243" s="53">
        <f t="shared" si="44"/>
        <v>18384551.068604875</v>
      </c>
      <c r="AQ243" s="53">
        <f t="shared" si="44"/>
        <v>131569515.40486147</v>
      </c>
      <c r="AR243" s="53">
        <f t="shared" si="43"/>
        <v>1502440.8245639324</v>
      </c>
      <c r="AS243" s="53">
        <f t="shared" si="43"/>
        <v>0</v>
      </c>
      <c r="AT243" s="53">
        <f t="shared" si="43"/>
        <v>0</v>
      </c>
      <c r="AU243" s="53">
        <f t="shared" si="43"/>
        <v>0</v>
      </c>
      <c r="AV243" s="53">
        <f t="shared" si="43"/>
        <v>0</v>
      </c>
      <c r="AW243" s="53">
        <f t="shared" si="43"/>
        <v>0</v>
      </c>
      <c r="AX243" s="53">
        <f t="shared" si="42"/>
        <v>2906314992</v>
      </c>
      <c r="AY243" s="41" t="s">
        <v>557</v>
      </c>
    </row>
    <row r="244" spans="1:51" x14ac:dyDescent="0.2">
      <c r="A244" s="41" t="s">
        <v>227</v>
      </c>
      <c r="B244" s="41">
        <v>1953</v>
      </c>
      <c r="C244" s="41" t="s">
        <v>87</v>
      </c>
      <c r="D244" s="41" t="s">
        <v>220</v>
      </c>
      <c r="E244" s="41">
        <v>100</v>
      </c>
      <c r="F244" s="41" t="s">
        <v>563</v>
      </c>
      <c r="G244" s="53">
        <v>27145419.84</v>
      </c>
      <c r="H244" s="56">
        <v>0.97025741549049938</v>
      </c>
      <c r="I244" s="56">
        <v>0.74280306920529282</v>
      </c>
      <c r="J244" s="56">
        <v>5.0404774302655424</v>
      </c>
      <c r="K244" s="55">
        <v>5.9394679033652115E-2</v>
      </c>
      <c r="S244" s="53">
        <v>235712.3328</v>
      </c>
      <c r="T244" s="53">
        <v>13746.2</v>
      </c>
      <c r="U244" s="53">
        <v>106051</v>
      </c>
      <c r="V244" s="53"/>
      <c r="W244" s="53">
        <v>7829.1360000000004</v>
      </c>
      <c r="AM244" s="53">
        <v>44717615.308799997</v>
      </c>
      <c r="AO244" s="53">
        <f t="shared" si="44"/>
        <v>26338044.896362923</v>
      </c>
      <c r="AP244" s="53">
        <f t="shared" si="44"/>
        <v>20163701.172018249</v>
      </c>
      <c r="AQ244" s="53">
        <f t="shared" si="44"/>
        <v>136825876.03860247</v>
      </c>
      <c r="AR244" s="53">
        <f t="shared" si="43"/>
        <v>1612293.4986305321</v>
      </c>
      <c r="AS244" s="53">
        <f t="shared" si="43"/>
        <v>0</v>
      </c>
      <c r="AT244" s="53">
        <f t="shared" si="43"/>
        <v>0</v>
      </c>
      <c r="AU244" s="53">
        <f t="shared" si="43"/>
        <v>0</v>
      </c>
      <c r="AV244" s="53">
        <f t="shared" si="43"/>
        <v>0</v>
      </c>
      <c r="AW244" s="53">
        <f t="shared" si="43"/>
        <v>0</v>
      </c>
      <c r="AX244" s="53">
        <f t="shared" si="42"/>
        <v>2714541984</v>
      </c>
      <c r="AY244" s="41" t="s">
        <v>557</v>
      </c>
    </row>
    <row r="245" spans="1:51" x14ac:dyDescent="0.2">
      <c r="A245" s="41" t="s">
        <v>227</v>
      </c>
      <c r="B245" s="41">
        <v>1954</v>
      </c>
      <c r="C245" s="41" t="s">
        <v>87</v>
      </c>
      <c r="D245" s="41" t="s">
        <v>220</v>
      </c>
      <c r="E245" s="41">
        <v>100</v>
      </c>
      <c r="F245" s="41" t="s">
        <v>563</v>
      </c>
      <c r="G245" s="53">
        <v>21844831.68</v>
      </c>
      <c r="H245" s="56">
        <v>0.95415473351242608</v>
      </c>
      <c r="I245" s="56">
        <v>0.75388739570864627</v>
      </c>
      <c r="J245" s="56">
        <v>4.7720424956588561</v>
      </c>
      <c r="K245" s="55">
        <v>5.7155241673697302E-2</v>
      </c>
      <c r="S245" s="53">
        <v>186537.55679999999</v>
      </c>
      <c r="T245" s="53">
        <v>11227.1</v>
      </c>
      <c r="U245" s="53">
        <v>80797.8</v>
      </c>
      <c r="V245" s="53"/>
      <c r="W245" s="53">
        <v>6062.8176000000003</v>
      </c>
      <c r="AM245" s="53">
        <v>32529144.7152</v>
      </c>
      <c r="AO245" s="53">
        <f t="shared" si="44"/>
        <v>20843349.550254203</v>
      </c>
      <c r="AP245" s="53">
        <f t="shared" si="44"/>
        <v>16468543.264928931</v>
      </c>
      <c r="AQ245" s="53">
        <f t="shared" si="44"/>
        <v>104244465.08747484</v>
      </c>
      <c r="AR245" s="53">
        <f t="shared" si="43"/>
        <v>1248546.6339916391</v>
      </c>
      <c r="AS245" s="53">
        <f t="shared" si="43"/>
        <v>0</v>
      </c>
      <c r="AT245" s="53">
        <f t="shared" si="43"/>
        <v>0</v>
      </c>
      <c r="AU245" s="53">
        <f t="shared" si="43"/>
        <v>0</v>
      </c>
      <c r="AV245" s="53">
        <f t="shared" si="43"/>
        <v>0</v>
      </c>
      <c r="AW245" s="53">
        <f t="shared" si="43"/>
        <v>0</v>
      </c>
      <c r="AX245" s="53">
        <f t="shared" si="42"/>
        <v>2184483168</v>
      </c>
      <c r="AY245" s="41" t="s">
        <v>557</v>
      </c>
    </row>
    <row r="246" spans="1:51" x14ac:dyDescent="0.2">
      <c r="A246" s="41" t="s">
        <v>227</v>
      </c>
      <c r="B246" s="41">
        <v>1955</v>
      </c>
      <c r="C246" s="41" t="s">
        <v>87</v>
      </c>
      <c r="D246" s="41" t="s">
        <v>220</v>
      </c>
      <c r="E246" s="41">
        <v>100</v>
      </c>
      <c r="F246" s="41" t="s">
        <v>563</v>
      </c>
      <c r="G246" s="53">
        <v>25166272.32</v>
      </c>
      <c r="H246" s="56">
        <v>0.91269190832280711</v>
      </c>
      <c r="I246" s="56">
        <v>0.71964713080239529</v>
      </c>
      <c r="J246" s="56">
        <v>4.6604063150339732</v>
      </c>
      <c r="K246" s="55">
        <v>5.6797944273184936E-2</v>
      </c>
      <c r="S246" s="53">
        <v>205561.54079999999</v>
      </c>
      <c r="T246" s="53">
        <v>12346.7</v>
      </c>
      <c r="U246" s="53">
        <v>90905.3</v>
      </c>
      <c r="V246" s="53"/>
      <c r="W246" s="53">
        <v>6940.9872000000005</v>
      </c>
      <c r="AM246" s="53">
        <v>41468194.555200003</v>
      </c>
      <c r="AO246" s="53">
        <f t="shared" si="44"/>
        <v>22969053.109112237</v>
      </c>
      <c r="AP246" s="53">
        <f t="shared" si="44"/>
        <v>18110835.668079741</v>
      </c>
      <c r="AQ246" s="53">
        <f t="shared" si="44"/>
        <v>117285054.44599268</v>
      </c>
      <c r="AR246" s="53">
        <f t="shared" si="43"/>
        <v>1429392.5327951566</v>
      </c>
      <c r="AS246" s="53">
        <f t="shared" si="43"/>
        <v>0</v>
      </c>
      <c r="AT246" s="53">
        <f t="shared" si="43"/>
        <v>0</v>
      </c>
      <c r="AU246" s="53">
        <f t="shared" si="43"/>
        <v>0</v>
      </c>
      <c r="AV246" s="53">
        <f t="shared" si="43"/>
        <v>0</v>
      </c>
      <c r="AW246" s="53">
        <f t="shared" si="43"/>
        <v>0</v>
      </c>
      <c r="AX246" s="53">
        <f t="shared" si="42"/>
        <v>2516627232</v>
      </c>
      <c r="AY246" s="41" t="s">
        <v>557</v>
      </c>
    </row>
    <row r="247" spans="1:51" x14ac:dyDescent="0.2">
      <c r="A247" s="41" t="s">
        <v>227</v>
      </c>
      <c r="B247" s="41">
        <v>1956</v>
      </c>
      <c r="C247" s="41" t="s">
        <v>87</v>
      </c>
      <c r="D247" s="41" t="s">
        <v>220</v>
      </c>
      <c r="E247" s="41">
        <v>100</v>
      </c>
      <c r="F247" s="41" t="s">
        <v>563</v>
      </c>
      <c r="G247" s="53">
        <v>29321701.920000002</v>
      </c>
      <c r="H247" s="56">
        <v>0.84946403573410745</v>
      </c>
      <c r="I247" s="56">
        <v>0.58965504504741018</v>
      </c>
      <c r="J247" s="56">
        <v>4.0013086435579792</v>
      </c>
      <c r="K247" s="55">
        <v>4.8742249423956108E-2</v>
      </c>
      <c r="S247" s="53">
        <v>222911.7408</v>
      </c>
      <c r="T247" s="53">
        <v>11786.9</v>
      </c>
      <c r="U247" s="53">
        <v>90936.400000000009</v>
      </c>
      <c r="V247" s="53"/>
      <c r="W247" s="53">
        <v>6940.08</v>
      </c>
      <c r="AM247" s="53">
        <v>50086267.056000002</v>
      </c>
      <c r="AO247" s="53">
        <f t="shared" si="44"/>
        <v>24907731.247555729</v>
      </c>
      <c r="AP247" s="53">
        <f t="shared" si="44"/>
        <v>17289689.466504335</v>
      </c>
      <c r="AQ247" s="53">
        <f t="shared" si="44"/>
        <v>117325179.3363266</v>
      </c>
      <c r="AR247" s="53">
        <f t="shared" si="43"/>
        <v>1429205.7085195328</v>
      </c>
      <c r="AS247" s="53">
        <f t="shared" si="43"/>
        <v>0</v>
      </c>
      <c r="AT247" s="53">
        <f t="shared" si="43"/>
        <v>0</v>
      </c>
      <c r="AU247" s="53">
        <f t="shared" si="43"/>
        <v>0</v>
      </c>
      <c r="AV247" s="53">
        <f t="shared" si="43"/>
        <v>0</v>
      </c>
      <c r="AW247" s="53">
        <f t="shared" si="43"/>
        <v>0</v>
      </c>
      <c r="AX247" s="53">
        <f t="shared" si="42"/>
        <v>2932170192</v>
      </c>
      <c r="AY247" s="41" t="s">
        <v>557</v>
      </c>
    </row>
    <row r="248" spans="1:51" x14ac:dyDescent="0.2">
      <c r="A248" s="41" t="s">
        <v>227</v>
      </c>
      <c r="B248" s="41">
        <v>1957</v>
      </c>
      <c r="C248" s="41" t="s">
        <v>87</v>
      </c>
      <c r="D248" s="41" t="s">
        <v>220</v>
      </c>
      <c r="E248" s="41">
        <v>100</v>
      </c>
      <c r="F248" s="41" t="s">
        <v>563</v>
      </c>
      <c r="G248" s="53">
        <v>28050533.280000001</v>
      </c>
      <c r="H248" s="56">
        <v>0.83944773365654946</v>
      </c>
      <c r="I248" s="56">
        <v>0.57409209432192609</v>
      </c>
      <c r="J248" s="56">
        <v>4.1011006614022634</v>
      </c>
      <c r="K248" s="55">
        <v>4.4290831140165209E-2</v>
      </c>
      <c r="S248" s="53">
        <v>210733.48800000001</v>
      </c>
      <c r="T248" s="53">
        <v>10978.300000000001</v>
      </c>
      <c r="U248" s="53">
        <v>89163.7</v>
      </c>
      <c r="V248" s="53"/>
      <c r="W248" s="53">
        <v>6032.88</v>
      </c>
      <c r="AM248" s="53">
        <v>47483806.003200002</v>
      </c>
      <c r="AO248" s="53">
        <f t="shared" si="44"/>
        <v>23546956.589753617</v>
      </c>
      <c r="AP248" s="53">
        <f t="shared" si="44"/>
        <v>16103589.397562088</v>
      </c>
      <c r="AQ248" s="53">
        <f t="shared" si="44"/>
        <v>115038060.58729421</v>
      </c>
      <c r="AR248" s="53">
        <f t="shared" si="43"/>
        <v>1242381.4328960646</v>
      </c>
      <c r="AS248" s="53">
        <f t="shared" si="43"/>
        <v>0</v>
      </c>
      <c r="AT248" s="53">
        <f t="shared" si="43"/>
        <v>0</v>
      </c>
      <c r="AU248" s="53">
        <f t="shared" si="43"/>
        <v>0</v>
      </c>
      <c r="AV248" s="53">
        <f t="shared" si="43"/>
        <v>0</v>
      </c>
      <c r="AW248" s="53">
        <f t="shared" si="43"/>
        <v>0</v>
      </c>
      <c r="AX248" s="53">
        <f t="shared" si="42"/>
        <v>2805053328</v>
      </c>
      <c r="AY248" s="41" t="s">
        <v>557</v>
      </c>
    </row>
    <row r="249" spans="1:51" x14ac:dyDescent="0.2">
      <c r="A249" s="41" t="s">
        <v>227</v>
      </c>
      <c r="B249" s="41">
        <v>1958</v>
      </c>
      <c r="C249" s="41" t="s">
        <v>87</v>
      </c>
      <c r="D249" s="41" t="s">
        <v>220</v>
      </c>
      <c r="E249" s="41">
        <v>100</v>
      </c>
      <c r="F249" s="41" t="s">
        <v>563</v>
      </c>
      <c r="G249" s="53">
        <v>21851544.960000001</v>
      </c>
      <c r="H249" s="56">
        <v>0.84570851067168062</v>
      </c>
      <c r="I249" s="56">
        <v>0.58455296324455475</v>
      </c>
      <c r="J249" s="56">
        <v>3.9350828576630712</v>
      </c>
      <c r="K249" s="55">
        <v>4.666429299253036E-2</v>
      </c>
      <c r="S249" s="53">
        <v>165387.09599999999</v>
      </c>
      <c r="T249" s="53">
        <v>8708</v>
      </c>
      <c r="U249" s="53">
        <v>66647.3</v>
      </c>
      <c r="V249" s="53"/>
      <c r="W249" s="53">
        <v>4951.4975999999997</v>
      </c>
      <c r="AM249" s="53">
        <v>35422217.308799997</v>
      </c>
      <c r="AO249" s="53">
        <f t="shared" si="44"/>
        <v>18480037.543996871</v>
      </c>
      <c r="AP249" s="53">
        <f t="shared" si="44"/>
        <v>12773385.357839616</v>
      </c>
      <c r="AQ249" s="53">
        <f t="shared" si="44"/>
        <v>85987639.985549882</v>
      </c>
      <c r="AR249" s="53">
        <f t="shared" si="43"/>
        <v>1019686.8963528902</v>
      </c>
      <c r="AS249" s="53">
        <f t="shared" si="43"/>
        <v>0</v>
      </c>
      <c r="AT249" s="53">
        <f t="shared" si="43"/>
        <v>0</v>
      </c>
      <c r="AU249" s="53">
        <f t="shared" si="43"/>
        <v>0</v>
      </c>
      <c r="AV249" s="53">
        <f t="shared" si="43"/>
        <v>0</v>
      </c>
      <c r="AW249" s="53">
        <f t="shared" si="43"/>
        <v>0</v>
      </c>
      <c r="AX249" s="53">
        <f t="shared" si="42"/>
        <v>2185154496</v>
      </c>
      <c r="AY249" s="41" t="s">
        <v>557</v>
      </c>
    </row>
    <row r="250" spans="1:51" x14ac:dyDescent="0.2">
      <c r="A250" s="41" t="s">
        <v>227</v>
      </c>
      <c r="B250" s="41">
        <v>1959</v>
      </c>
      <c r="C250" s="41" t="s">
        <v>87</v>
      </c>
      <c r="D250" s="41" t="s">
        <v>220</v>
      </c>
      <c r="E250" s="41">
        <v>100</v>
      </c>
      <c r="F250" s="41" t="s">
        <v>563</v>
      </c>
      <c r="G250" s="53">
        <v>17847436.32</v>
      </c>
      <c r="H250" s="56">
        <v>0.83668812621964084</v>
      </c>
      <c r="I250" s="56">
        <v>0.57255888762132834</v>
      </c>
      <c r="J250" s="56">
        <v>3.9321296311532592</v>
      </c>
      <c r="K250" s="55">
        <v>4.6644736938788248E-2</v>
      </c>
      <c r="S250" s="53">
        <v>133640.5392</v>
      </c>
      <c r="T250" s="53">
        <v>6966.4000000000005</v>
      </c>
      <c r="U250" s="53">
        <v>54393.9</v>
      </c>
      <c r="V250" s="53"/>
      <c r="W250" s="53">
        <v>4042.4832000000001</v>
      </c>
      <c r="AM250" s="53">
        <v>29302996.363200001</v>
      </c>
      <c r="AO250" s="53">
        <f t="shared" si="44"/>
        <v>14932738.052405162</v>
      </c>
      <c r="AP250" s="53">
        <f t="shared" si="44"/>
        <v>10218708.286271693</v>
      </c>
      <c r="AQ250" s="53">
        <f t="shared" si="44"/>
        <v>70178433.193992883</v>
      </c>
      <c r="AR250" s="53">
        <f t="shared" si="43"/>
        <v>832488.972178175</v>
      </c>
      <c r="AS250" s="53">
        <f t="shared" si="43"/>
        <v>0</v>
      </c>
      <c r="AT250" s="53">
        <f t="shared" si="43"/>
        <v>0</v>
      </c>
      <c r="AU250" s="53">
        <f t="shared" si="43"/>
        <v>0</v>
      </c>
      <c r="AV250" s="53">
        <f t="shared" si="43"/>
        <v>0</v>
      </c>
      <c r="AW250" s="53">
        <f t="shared" si="43"/>
        <v>0</v>
      </c>
      <c r="AX250" s="53">
        <f t="shared" si="42"/>
        <v>1784743632</v>
      </c>
      <c r="AY250" s="41" t="s">
        <v>557</v>
      </c>
    </row>
    <row r="251" spans="1:51" x14ac:dyDescent="0.2">
      <c r="A251" s="41" t="s">
        <v>227</v>
      </c>
      <c r="B251" s="41">
        <v>1960</v>
      </c>
      <c r="C251" s="41" t="s">
        <v>87</v>
      </c>
      <c r="D251" s="41" t="s">
        <v>220</v>
      </c>
      <c r="E251" s="41">
        <v>100</v>
      </c>
      <c r="F251" s="41" t="s">
        <v>563</v>
      </c>
      <c r="G251" s="53">
        <v>25456304.16</v>
      </c>
      <c r="H251" s="56">
        <v>0.83442689328242492</v>
      </c>
      <c r="I251" s="56">
        <v>0.63080524428103901</v>
      </c>
      <c r="J251" s="56">
        <v>4.1360172150047205</v>
      </c>
      <c r="K251" s="55">
        <v>4.705044469511302E-2</v>
      </c>
      <c r="S251" s="53">
        <v>190100.1312</v>
      </c>
      <c r="T251" s="53">
        <v>10947.2</v>
      </c>
      <c r="U251" s="53">
        <v>81606.400000000009</v>
      </c>
      <c r="V251" s="53"/>
      <c r="W251" s="53">
        <v>5816.0591999999997</v>
      </c>
      <c r="AM251" s="53">
        <v>44653585.132799998</v>
      </c>
      <c r="AO251" s="53">
        <f t="shared" si="44"/>
        <v>21241424.79468127</v>
      </c>
      <c r="AP251" s="53">
        <f t="shared" si="44"/>
        <v>16057970.16414123</v>
      </c>
      <c r="AQ251" s="53">
        <f t="shared" si="44"/>
        <v>105287712.23615628</v>
      </c>
      <c r="AR251" s="53">
        <f t="shared" si="43"/>
        <v>1197730.4310220554</v>
      </c>
      <c r="AS251" s="53">
        <f t="shared" si="43"/>
        <v>0</v>
      </c>
      <c r="AT251" s="53">
        <f t="shared" si="43"/>
        <v>0</v>
      </c>
      <c r="AU251" s="53">
        <f t="shared" si="43"/>
        <v>0</v>
      </c>
      <c r="AV251" s="53">
        <f t="shared" si="43"/>
        <v>0</v>
      </c>
      <c r="AW251" s="53">
        <f t="shared" si="43"/>
        <v>0</v>
      </c>
      <c r="AX251" s="53">
        <f t="shared" si="42"/>
        <v>2545630416</v>
      </c>
      <c r="AY251" s="41" t="s">
        <v>557</v>
      </c>
    </row>
    <row r="252" spans="1:51" x14ac:dyDescent="0.2">
      <c r="A252" s="41" t="s">
        <v>227</v>
      </c>
      <c r="B252" s="41">
        <v>1961</v>
      </c>
      <c r="C252" s="41" t="s">
        <v>87</v>
      </c>
      <c r="D252" s="41" t="s">
        <v>220</v>
      </c>
      <c r="E252" s="41">
        <v>100</v>
      </c>
      <c r="F252" s="41" t="s">
        <v>563</v>
      </c>
      <c r="G252" s="53">
        <v>25256175.84</v>
      </c>
      <c r="H252" s="56">
        <v>0.8185665582053635</v>
      </c>
      <c r="I252" s="56">
        <v>0.58522840995381931</v>
      </c>
      <c r="J252" s="56">
        <v>3.8574024170522114</v>
      </c>
      <c r="K252" s="55">
        <v>4.5596167932882868E-2</v>
      </c>
      <c r="S252" s="53">
        <v>185020.71840000001</v>
      </c>
      <c r="T252" s="53">
        <v>10076.4</v>
      </c>
      <c r="U252" s="53">
        <v>75510.8</v>
      </c>
      <c r="V252" s="53"/>
      <c r="W252" s="53">
        <v>5591.9808000000003</v>
      </c>
      <c r="AM252" s="53">
        <v>46487576.116800003</v>
      </c>
      <c r="AO252" s="53">
        <f t="shared" si="44"/>
        <v>20673860.930778254</v>
      </c>
      <c r="AP252" s="53">
        <f t="shared" si="44"/>
        <v>14780631.628357267</v>
      </c>
      <c r="AQ252" s="53">
        <f t="shared" si="44"/>
        <v>97423233.730711669</v>
      </c>
      <c r="AR252" s="53">
        <f t="shared" si="43"/>
        <v>1151584.8349430591</v>
      </c>
      <c r="AS252" s="53">
        <f t="shared" si="43"/>
        <v>0</v>
      </c>
      <c r="AT252" s="53">
        <f t="shared" si="43"/>
        <v>0</v>
      </c>
      <c r="AU252" s="53">
        <f t="shared" si="43"/>
        <v>0</v>
      </c>
      <c r="AV252" s="53">
        <f t="shared" si="43"/>
        <v>0</v>
      </c>
      <c r="AW252" s="53">
        <f t="shared" si="43"/>
        <v>0</v>
      </c>
      <c r="AX252" s="53">
        <f t="shared" si="42"/>
        <v>2525617584</v>
      </c>
      <c r="AY252" s="41" t="s">
        <v>557</v>
      </c>
    </row>
    <row r="253" spans="1:51" x14ac:dyDescent="0.2">
      <c r="A253" s="41" t="s">
        <v>227</v>
      </c>
      <c r="B253" s="41">
        <v>1962</v>
      </c>
      <c r="C253" s="41" t="s">
        <v>87</v>
      </c>
      <c r="D253" s="41" t="s">
        <v>220</v>
      </c>
      <c r="E253" s="41">
        <v>100</v>
      </c>
      <c r="F253" s="41" t="s">
        <v>563</v>
      </c>
      <c r="G253" s="53">
        <v>26467560</v>
      </c>
      <c r="H253" s="56">
        <v>0.77608084935116017</v>
      </c>
      <c r="I253" s="56">
        <v>0.51535354195233241</v>
      </c>
      <c r="J253" s="56">
        <v>3.6565983220731058</v>
      </c>
      <c r="K253" s="55">
        <v>4.3142245549292739E-2</v>
      </c>
      <c r="S253" s="53">
        <v>183831.3792</v>
      </c>
      <c r="T253" s="53">
        <v>9298.9</v>
      </c>
      <c r="U253" s="53">
        <v>75013.2</v>
      </c>
      <c r="V253" s="53"/>
      <c r="W253" s="53">
        <v>5544.8064000000004</v>
      </c>
      <c r="AM253" s="53">
        <v>49400928.259199999</v>
      </c>
      <c r="AO253" s="53">
        <f t="shared" si="44"/>
        <v>20540966.445052791</v>
      </c>
      <c r="AP253" s="53">
        <f t="shared" si="44"/>
        <v>13640150.792835874</v>
      </c>
      <c r="AQ253" s="53">
        <f t="shared" si="44"/>
        <v>96781235.48536925</v>
      </c>
      <c r="AR253" s="53">
        <f t="shared" si="43"/>
        <v>1141869.9726106385</v>
      </c>
      <c r="AS253" s="53">
        <f t="shared" si="43"/>
        <v>0</v>
      </c>
      <c r="AT253" s="53">
        <f t="shared" si="43"/>
        <v>0</v>
      </c>
      <c r="AU253" s="53">
        <f t="shared" si="43"/>
        <v>0</v>
      </c>
      <c r="AV253" s="53">
        <f t="shared" si="43"/>
        <v>0</v>
      </c>
      <c r="AW253" s="53">
        <f t="shared" si="43"/>
        <v>0</v>
      </c>
      <c r="AX253" s="53">
        <f t="shared" si="42"/>
        <v>2646756000</v>
      </c>
      <c r="AY253" s="41" t="s">
        <v>557</v>
      </c>
    </row>
    <row r="254" spans="1:51" x14ac:dyDescent="0.2">
      <c r="A254" s="41" t="s">
        <v>227</v>
      </c>
      <c r="B254" s="41">
        <v>1963</v>
      </c>
      <c r="C254" s="41" t="s">
        <v>87</v>
      </c>
      <c r="D254" s="41" t="s">
        <v>220</v>
      </c>
      <c r="E254" s="41">
        <v>100</v>
      </c>
      <c r="F254" s="41" t="s">
        <v>563</v>
      </c>
      <c r="G254" s="53">
        <v>23800754.879999999</v>
      </c>
      <c r="H254" s="56">
        <v>0.77829171066775626</v>
      </c>
      <c r="I254" s="56">
        <v>0.48684528483734241</v>
      </c>
      <c r="J254" s="56">
        <v>3.577408267839695</v>
      </c>
      <c r="K254" s="55">
        <v>4.1257027250933546E-2</v>
      </c>
      <c r="S254" s="53">
        <v>165779.9136</v>
      </c>
      <c r="T254" s="53">
        <v>7899.4000000000005</v>
      </c>
      <c r="U254" s="53">
        <v>65994.2</v>
      </c>
      <c r="V254" s="53"/>
      <c r="W254" s="53">
        <v>4768.2431999999999</v>
      </c>
      <c r="AM254" s="53">
        <v>46448001.331200004</v>
      </c>
      <c r="AO254" s="53">
        <f t="shared" si="44"/>
        <v>18523930.230739146</v>
      </c>
      <c r="AP254" s="53">
        <f t="shared" si="44"/>
        <v>11587285.288897367</v>
      </c>
      <c r="AQ254" s="53">
        <f t="shared" si="44"/>
        <v>85145017.288537964</v>
      </c>
      <c r="AR254" s="53">
        <f t="shared" si="43"/>
        <v>981948.3926769495</v>
      </c>
      <c r="AS254" s="53">
        <f t="shared" si="43"/>
        <v>0</v>
      </c>
      <c r="AT254" s="53">
        <f t="shared" si="43"/>
        <v>0</v>
      </c>
      <c r="AU254" s="53">
        <f t="shared" si="43"/>
        <v>0</v>
      </c>
      <c r="AV254" s="53">
        <f t="shared" si="43"/>
        <v>0</v>
      </c>
      <c r="AW254" s="53">
        <f t="shared" si="43"/>
        <v>0</v>
      </c>
      <c r="AX254" s="53">
        <f t="shared" si="42"/>
        <v>2380075488</v>
      </c>
      <c r="AY254" s="41" t="s">
        <v>557</v>
      </c>
    </row>
    <row r="255" spans="1:51" x14ac:dyDescent="0.2">
      <c r="A255" s="41" t="s">
        <v>227</v>
      </c>
      <c r="B255" s="41">
        <v>1964</v>
      </c>
      <c r="C255" s="41" t="s">
        <v>87</v>
      </c>
      <c r="D255" s="41" t="s">
        <v>220</v>
      </c>
      <c r="E255" s="41">
        <v>100</v>
      </c>
      <c r="F255" s="41" t="s">
        <v>563</v>
      </c>
      <c r="G255" s="53">
        <v>22186846.080000002</v>
      </c>
      <c r="H255" s="56">
        <v>0.79789813096152695</v>
      </c>
      <c r="I255" s="56">
        <v>0.49964171028620352</v>
      </c>
      <c r="J255" s="56">
        <v>3.5066796820467263</v>
      </c>
      <c r="K255" s="55">
        <v>4.4030779936573838E-2</v>
      </c>
      <c r="S255" s="53">
        <v>158431.59359999999</v>
      </c>
      <c r="T255" s="53">
        <v>7557.3</v>
      </c>
      <c r="U255" s="53">
        <v>60302.9</v>
      </c>
      <c r="V255" s="53"/>
      <c r="W255" s="53">
        <v>4743.7488000000003</v>
      </c>
      <c r="AM255" s="53">
        <v>52161401.779200003</v>
      </c>
      <c r="AO255" s="53">
        <f t="shared" si="44"/>
        <v>17702843.019163083</v>
      </c>
      <c r="AP255" s="53">
        <f t="shared" si="44"/>
        <v>11085473.721267952</v>
      </c>
      <c r="AQ255" s="53">
        <f t="shared" si="44"/>
        <v>77802162.357434064</v>
      </c>
      <c r="AR255" s="53">
        <f t="shared" si="43"/>
        <v>976904.13723511598</v>
      </c>
      <c r="AS255" s="53">
        <f t="shared" si="43"/>
        <v>0</v>
      </c>
      <c r="AT255" s="53">
        <f t="shared" si="43"/>
        <v>0</v>
      </c>
      <c r="AU255" s="53">
        <f t="shared" si="43"/>
        <v>0</v>
      </c>
      <c r="AV255" s="53">
        <f t="shared" si="43"/>
        <v>0</v>
      </c>
      <c r="AW255" s="53">
        <f t="shared" si="43"/>
        <v>0</v>
      </c>
      <c r="AX255" s="53">
        <f t="shared" si="42"/>
        <v>2218684608</v>
      </c>
      <c r="AY255" s="41" t="s">
        <v>557</v>
      </c>
    </row>
    <row r="256" spans="1:51" x14ac:dyDescent="0.2">
      <c r="A256" s="41" t="s">
        <v>227</v>
      </c>
      <c r="B256" s="41">
        <v>1965</v>
      </c>
      <c r="C256" s="41" t="s">
        <v>87</v>
      </c>
      <c r="D256" s="41" t="s">
        <v>220</v>
      </c>
      <c r="E256" s="41">
        <v>100</v>
      </c>
      <c r="F256" s="41" t="s">
        <v>563</v>
      </c>
      <c r="G256" s="53">
        <v>29111050.080000002</v>
      </c>
      <c r="H256" s="56">
        <v>0.79963546005303265</v>
      </c>
      <c r="I256" s="56">
        <v>0.5845194185444238</v>
      </c>
      <c r="J256" s="56">
        <v>4.0095876191532449</v>
      </c>
      <c r="K256" s="55">
        <v>4.8562291286566493E-2</v>
      </c>
      <c r="S256" s="53">
        <v>208328.50080000001</v>
      </c>
      <c r="T256" s="53">
        <v>11600.300000000001</v>
      </c>
      <c r="U256" s="53">
        <v>90469.900000000009</v>
      </c>
      <c r="V256" s="53"/>
      <c r="W256" s="53">
        <v>6864.7824000000001</v>
      </c>
      <c r="AM256" s="53">
        <v>76310305.545599997</v>
      </c>
      <c r="AO256" s="53">
        <f t="shared" si="44"/>
        <v>23278227.923347674</v>
      </c>
      <c r="AP256" s="53">
        <f t="shared" si="44"/>
        <v>17015974.065979201</v>
      </c>
      <c r="AQ256" s="53">
        <f t="shared" si="44"/>
        <v>116723305.98131809</v>
      </c>
      <c r="AR256" s="53">
        <f t="shared" si="44"/>
        <v>1413699.2936427849</v>
      </c>
      <c r="AS256" s="53">
        <f t="shared" si="44"/>
        <v>0</v>
      </c>
      <c r="AT256" s="53">
        <f t="shared" si="44"/>
        <v>0</v>
      </c>
      <c r="AU256" s="53">
        <f t="shared" si="44"/>
        <v>0</v>
      </c>
      <c r="AV256" s="53">
        <f t="shared" si="44"/>
        <v>0</v>
      </c>
      <c r="AW256" s="53">
        <f t="shared" si="44"/>
        <v>0</v>
      </c>
      <c r="AX256" s="53">
        <f t="shared" si="42"/>
        <v>2911105008</v>
      </c>
      <c r="AY256" s="41" t="s">
        <v>557</v>
      </c>
    </row>
    <row r="257" spans="1:51" x14ac:dyDescent="0.2">
      <c r="A257" s="41" t="s">
        <v>227</v>
      </c>
      <c r="B257" s="41">
        <v>1966</v>
      </c>
      <c r="C257" s="41" t="s">
        <v>87</v>
      </c>
      <c r="D257" s="41" t="s">
        <v>220</v>
      </c>
      <c r="E257" s="41">
        <v>100</v>
      </c>
      <c r="F257" s="41" t="s">
        <v>563</v>
      </c>
      <c r="G257" s="53">
        <v>30370969.440000001</v>
      </c>
      <c r="H257" s="56">
        <v>0.73281923214425571</v>
      </c>
      <c r="I257" s="56">
        <v>0.54675241756759341</v>
      </c>
      <c r="J257" s="56">
        <v>3.8115447332689563</v>
      </c>
      <c r="K257" s="55">
        <v>4.3428952391770831E-2</v>
      </c>
      <c r="S257" s="53">
        <v>199183.92480000001</v>
      </c>
      <c r="T257" s="53">
        <v>11320.4</v>
      </c>
      <c r="U257" s="53">
        <v>89723.5</v>
      </c>
      <c r="V257" s="53"/>
      <c r="W257" s="53">
        <v>6404.8320000000003</v>
      </c>
      <c r="AM257" s="53">
        <v>60151805.280000001</v>
      </c>
      <c r="AO257" s="53">
        <f t="shared" ref="AO257:AW285" si="45">$G257*H257</f>
        <v>22256430.504497457</v>
      </c>
      <c r="AP257" s="53">
        <f t="shared" si="45"/>
        <v>16605400.965191498</v>
      </c>
      <c r="AQ257" s="53">
        <f t="shared" si="45"/>
        <v>115760308.61330442</v>
      </c>
      <c r="AR257" s="53">
        <f t="shared" si="45"/>
        <v>1318979.385901687</v>
      </c>
      <c r="AS257" s="53">
        <f t="shared" si="45"/>
        <v>0</v>
      </c>
      <c r="AT257" s="53">
        <f t="shared" si="45"/>
        <v>0</v>
      </c>
      <c r="AU257" s="53">
        <f t="shared" si="45"/>
        <v>0</v>
      </c>
      <c r="AV257" s="53">
        <f t="shared" si="45"/>
        <v>0</v>
      </c>
      <c r="AW257" s="53">
        <f t="shared" si="45"/>
        <v>0</v>
      </c>
      <c r="AX257" s="53">
        <f t="shared" si="42"/>
        <v>3037096944</v>
      </c>
      <c r="AY257" s="41" t="s">
        <v>557</v>
      </c>
    </row>
    <row r="258" spans="1:51" x14ac:dyDescent="0.2">
      <c r="A258" s="41" t="s">
        <v>227</v>
      </c>
      <c r="B258" s="41">
        <v>1967</v>
      </c>
      <c r="C258" s="41" t="s">
        <v>87</v>
      </c>
      <c r="D258" s="41" t="s">
        <v>220</v>
      </c>
      <c r="E258" s="41">
        <v>100</v>
      </c>
      <c r="F258" s="41" t="s">
        <v>563</v>
      </c>
      <c r="G258" s="53">
        <v>18860325.120000001</v>
      </c>
      <c r="H258" s="56">
        <v>0.73142288266275746</v>
      </c>
      <c r="I258" s="56">
        <v>0.51520303371325338</v>
      </c>
      <c r="J258" s="56">
        <v>3.4848057999399891</v>
      </c>
      <c r="K258" s="55">
        <v>4.4813279598468071E-2</v>
      </c>
      <c r="S258" s="53">
        <v>123457.21920000001</v>
      </c>
      <c r="T258" s="53">
        <v>6624.3</v>
      </c>
      <c r="U258" s="53">
        <v>50941.8</v>
      </c>
      <c r="V258" s="53"/>
      <c r="W258" s="53">
        <v>4104.1728000000003</v>
      </c>
      <c r="AM258" s="53">
        <v>32235505.848000001</v>
      </c>
      <c r="AO258" s="53">
        <f t="shared" si="45"/>
        <v>13794873.367227217</v>
      </c>
      <c r="AP258" s="53">
        <f t="shared" si="45"/>
        <v>9716896.7186422795</v>
      </c>
      <c r="AQ258" s="53">
        <f t="shared" si="45"/>
        <v>65724570.366929874</v>
      </c>
      <c r="AR258" s="53">
        <f t="shared" si="45"/>
        <v>845193.02292057092</v>
      </c>
      <c r="AS258" s="53">
        <f t="shared" si="45"/>
        <v>0</v>
      </c>
      <c r="AT258" s="53">
        <f t="shared" si="45"/>
        <v>0</v>
      </c>
      <c r="AU258" s="53">
        <f t="shared" si="45"/>
        <v>0</v>
      </c>
      <c r="AV258" s="53">
        <f t="shared" si="45"/>
        <v>0</v>
      </c>
      <c r="AW258" s="53">
        <f t="shared" si="45"/>
        <v>0</v>
      </c>
      <c r="AX258" s="53">
        <f t="shared" si="42"/>
        <v>1886032512</v>
      </c>
      <c r="AY258" s="41" t="s">
        <v>557</v>
      </c>
    </row>
    <row r="259" spans="1:51" x14ac:dyDescent="0.2">
      <c r="A259" s="41" t="s">
        <v>227</v>
      </c>
      <c r="B259" s="41">
        <v>1968</v>
      </c>
      <c r="C259" s="41" t="s">
        <v>87</v>
      </c>
      <c r="D259" s="41" t="s">
        <v>220</v>
      </c>
      <c r="E259" s="41">
        <v>100</v>
      </c>
      <c r="F259" s="41" t="s">
        <v>563</v>
      </c>
      <c r="G259" s="53">
        <v>25713586.080000002</v>
      </c>
      <c r="H259" s="56">
        <v>0.69056777606230202</v>
      </c>
      <c r="I259" s="56">
        <v>0.47014433610758261</v>
      </c>
      <c r="J259" s="56">
        <v>3.5110234321418807</v>
      </c>
      <c r="K259" s="55">
        <v>3.8929010744601027E-2</v>
      </c>
      <c r="S259" s="53">
        <v>158916.03839999999</v>
      </c>
      <c r="T259" s="53">
        <v>8241.5</v>
      </c>
      <c r="U259" s="53">
        <v>69975</v>
      </c>
      <c r="V259" s="53"/>
      <c r="W259" s="53">
        <v>4860.7776000000003</v>
      </c>
      <c r="AM259" s="53">
        <v>62402695.487999998</v>
      </c>
      <c r="AO259" s="53">
        <f t="shared" si="45"/>
        <v>17756973.953852169</v>
      </c>
      <c r="AP259" s="53">
        <f t="shared" si="45"/>
        <v>12089096.856526779</v>
      </c>
      <c r="AQ259" s="53">
        <f t="shared" si="45"/>
        <v>90281003.251277298</v>
      </c>
      <c r="AR259" s="53">
        <f t="shared" si="45"/>
        <v>1001004.4687905435</v>
      </c>
      <c r="AS259" s="53">
        <f t="shared" si="45"/>
        <v>0</v>
      </c>
      <c r="AT259" s="53">
        <f t="shared" si="45"/>
        <v>0</v>
      </c>
      <c r="AU259" s="53">
        <f t="shared" si="45"/>
        <v>0</v>
      </c>
      <c r="AV259" s="53">
        <f t="shared" si="45"/>
        <v>0</v>
      </c>
      <c r="AW259" s="53">
        <f t="shared" si="45"/>
        <v>0</v>
      </c>
      <c r="AX259" s="53">
        <f t="shared" si="42"/>
        <v>2571358608</v>
      </c>
      <c r="AY259" s="41" t="s">
        <v>557</v>
      </c>
    </row>
    <row r="260" spans="1:51" x14ac:dyDescent="0.2">
      <c r="A260" s="41" t="s">
        <v>227</v>
      </c>
      <c r="B260" s="41">
        <v>1969</v>
      </c>
      <c r="C260" s="41" t="s">
        <v>87</v>
      </c>
      <c r="D260" s="41" t="s">
        <v>220</v>
      </c>
      <c r="E260" s="41">
        <v>100</v>
      </c>
      <c r="F260" s="41" t="s">
        <v>563</v>
      </c>
      <c r="G260" s="53">
        <v>35063552.160000004</v>
      </c>
      <c r="H260" s="56">
        <v>0.69662446084838769</v>
      </c>
      <c r="I260" s="56">
        <v>0.49309577613839611</v>
      </c>
      <c r="J260" s="56">
        <v>3.6550461043328548</v>
      </c>
      <c r="K260" s="55">
        <v>3.8202919376445398E-2</v>
      </c>
      <c r="S260" s="53">
        <v>218601.6336</v>
      </c>
      <c r="T260" s="53">
        <v>11786.9</v>
      </c>
      <c r="U260" s="53">
        <v>99333.400000000009</v>
      </c>
      <c r="V260" s="53"/>
      <c r="W260" s="53">
        <v>6504.6239999999998</v>
      </c>
      <c r="AM260" s="53">
        <v>81674269.790399998</v>
      </c>
      <c r="AO260" s="53">
        <f t="shared" si="45"/>
        <v>24426128.118889321</v>
      </c>
      <c r="AP260" s="53">
        <f t="shared" si="45"/>
        <v>17289689.466504339</v>
      </c>
      <c r="AQ260" s="53">
        <f t="shared" si="45"/>
        <v>128158899.72647987</v>
      </c>
      <c r="AR260" s="53">
        <f t="shared" si="45"/>
        <v>1339530.0562202681</v>
      </c>
      <c r="AS260" s="53">
        <f t="shared" si="45"/>
        <v>0</v>
      </c>
      <c r="AT260" s="53">
        <f t="shared" si="45"/>
        <v>0</v>
      </c>
      <c r="AU260" s="53">
        <f t="shared" si="45"/>
        <v>0</v>
      </c>
      <c r="AV260" s="53">
        <f t="shared" si="45"/>
        <v>0</v>
      </c>
      <c r="AW260" s="53">
        <f t="shared" si="45"/>
        <v>0</v>
      </c>
      <c r="AX260" s="53">
        <f t="shared" ref="AX260:AX351" si="46">$G260*E260</f>
        <v>3506355216.0000005</v>
      </c>
      <c r="AY260" s="41" t="s">
        <v>557</v>
      </c>
    </row>
    <row r="261" spans="1:51" x14ac:dyDescent="0.2">
      <c r="A261" s="41" t="s">
        <v>227</v>
      </c>
      <c r="B261" s="41">
        <v>1970</v>
      </c>
      <c r="C261" s="41" t="s">
        <v>87</v>
      </c>
      <c r="D261" s="41" t="s">
        <v>220</v>
      </c>
      <c r="E261" s="41">
        <v>100</v>
      </c>
      <c r="F261" s="41" t="s">
        <v>563</v>
      </c>
      <c r="G261" s="53">
        <v>36421812</v>
      </c>
      <c r="H261" s="56">
        <v>0.68271072922648235</v>
      </c>
      <c r="I261" s="56">
        <v>0.44464640760881957</v>
      </c>
      <c r="J261" s="56">
        <v>3.1992554771752868</v>
      </c>
      <c r="K261" s="55">
        <v>3.9158307667656878E-2</v>
      </c>
      <c r="S261" s="53">
        <v>222534.3456</v>
      </c>
      <c r="T261" s="53">
        <v>11040.5</v>
      </c>
      <c r="U261" s="53">
        <v>90314.400000000009</v>
      </c>
      <c r="V261" s="53"/>
      <c r="W261" s="53">
        <v>6925.5648000000001</v>
      </c>
      <c r="AM261" s="53">
        <v>90897808.478400007</v>
      </c>
      <c r="AO261" s="53">
        <f t="shared" si="45"/>
        <v>24865561.830269847</v>
      </c>
      <c r="AP261" s="53">
        <f t="shared" si="45"/>
        <v>16194827.864403795</v>
      </c>
      <c r="AQ261" s="53">
        <f t="shared" si="45"/>
        <v>116522681.52964859</v>
      </c>
      <c r="AR261" s="53">
        <f t="shared" si="45"/>
        <v>1426216.5201095573</v>
      </c>
      <c r="AS261" s="53">
        <f t="shared" si="45"/>
        <v>0</v>
      </c>
      <c r="AT261" s="53">
        <f t="shared" si="45"/>
        <v>0</v>
      </c>
      <c r="AU261" s="53">
        <f t="shared" si="45"/>
        <v>0</v>
      </c>
      <c r="AV261" s="53">
        <f t="shared" si="45"/>
        <v>0</v>
      </c>
      <c r="AW261" s="53">
        <f t="shared" si="45"/>
        <v>0</v>
      </c>
      <c r="AX261" s="53">
        <f t="shared" si="46"/>
        <v>3642181200</v>
      </c>
      <c r="AY261" s="41" t="s">
        <v>557</v>
      </c>
    </row>
    <row r="262" spans="1:51" x14ac:dyDescent="0.2">
      <c r="A262" s="41" t="s">
        <v>227</v>
      </c>
      <c r="B262" s="41">
        <v>1971</v>
      </c>
      <c r="C262" s="41" t="s">
        <v>87</v>
      </c>
      <c r="D262" s="41" t="s">
        <v>220</v>
      </c>
      <c r="E262" s="41">
        <v>100</v>
      </c>
      <c r="F262" s="41" t="s">
        <v>563</v>
      </c>
      <c r="G262" s="53">
        <v>31759620.48</v>
      </c>
      <c r="H262" s="56">
        <v>0.68081957920547054</v>
      </c>
      <c r="I262" s="56">
        <v>0.44240843187883011</v>
      </c>
      <c r="J262" s="56">
        <v>3.2848224661198042</v>
      </c>
      <c r="K262" s="55">
        <v>3.6424110149206539E-2</v>
      </c>
      <c r="S262" s="53">
        <v>193511.20319999999</v>
      </c>
      <c r="T262" s="53">
        <v>9578.8000000000011</v>
      </c>
      <c r="U262" s="53">
        <v>80860</v>
      </c>
      <c r="V262" s="53"/>
      <c r="W262" s="53">
        <v>5617.3824000000004</v>
      </c>
      <c r="AM262" s="53">
        <v>80391140.625599995</v>
      </c>
      <c r="AO262" s="53">
        <f t="shared" si="45"/>
        <v>21622571.450919043</v>
      </c>
      <c r="AP262" s="53">
        <f t="shared" si="45"/>
        <v>14050723.893623577</v>
      </c>
      <c r="AQ262" s="53">
        <f t="shared" si="45"/>
        <v>104324714.86814263</v>
      </c>
      <c r="AR262" s="53">
        <f t="shared" si="45"/>
        <v>1156815.914660516</v>
      </c>
      <c r="AS262" s="53">
        <f t="shared" si="45"/>
        <v>0</v>
      </c>
      <c r="AT262" s="53">
        <f t="shared" si="45"/>
        <v>0</v>
      </c>
      <c r="AU262" s="53">
        <f t="shared" si="45"/>
        <v>0</v>
      </c>
      <c r="AV262" s="53">
        <f t="shared" si="45"/>
        <v>0</v>
      </c>
      <c r="AW262" s="53">
        <f t="shared" si="45"/>
        <v>0</v>
      </c>
      <c r="AX262" s="53">
        <f t="shared" si="46"/>
        <v>3175962048</v>
      </c>
      <c r="AY262" s="41" t="s">
        <v>557</v>
      </c>
    </row>
    <row r="263" spans="1:51" x14ac:dyDescent="0.2">
      <c r="A263" s="41" t="s">
        <v>227</v>
      </c>
      <c r="B263" s="41">
        <v>1972</v>
      </c>
      <c r="C263" s="41" t="s">
        <v>87</v>
      </c>
      <c r="D263" s="41" t="s">
        <v>220</v>
      </c>
      <c r="E263" s="41">
        <v>100</v>
      </c>
      <c r="F263" s="41" t="s">
        <v>563</v>
      </c>
      <c r="G263" s="53">
        <v>31708182.240000002</v>
      </c>
      <c r="H263" s="56">
        <v>0.67363759238992893</v>
      </c>
      <c r="I263" s="56">
        <v>0.45751333577021019</v>
      </c>
      <c r="J263" s="56">
        <v>3.3939175403049697</v>
      </c>
      <c r="K263" s="55">
        <v>3.9747360911973784E-2</v>
      </c>
      <c r="S263" s="53">
        <v>191159.7408</v>
      </c>
      <c r="T263" s="53">
        <v>9889.8000000000011</v>
      </c>
      <c r="U263" s="53">
        <v>83410.2</v>
      </c>
      <c r="V263" s="53"/>
      <c r="W263" s="53">
        <v>6119.9712</v>
      </c>
      <c r="AM263" s="53">
        <v>83872618.603200004</v>
      </c>
      <c r="AO263" s="53">
        <f t="shared" si="45"/>
        <v>21359823.543214705</v>
      </c>
      <c r="AP263" s="53">
        <f t="shared" si="45"/>
        <v>14506916.227832137</v>
      </c>
      <c r="AQ263" s="53">
        <f t="shared" si="45"/>
        <v>107614955.87552254</v>
      </c>
      <c r="AR263" s="53">
        <f t="shared" si="45"/>
        <v>1260316.5633559173</v>
      </c>
      <c r="AS263" s="53">
        <f t="shared" si="45"/>
        <v>0</v>
      </c>
      <c r="AT263" s="53">
        <f t="shared" si="45"/>
        <v>0</v>
      </c>
      <c r="AU263" s="53">
        <f t="shared" si="45"/>
        <v>0</v>
      </c>
      <c r="AV263" s="53">
        <f t="shared" si="45"/>
        <v>0</v>
      </c>
      <c r="AW263" s="53">
        <f t="shared" si="45"/>
        <v>0</v>
      </c>
      <c r="AX263" s="53">
        <f t="shared" si="46"/>
        <v>3170818224</v>
      </c>
      <c r="AY263" s="41" t="s">
        <v>557</v>
      </c>
    </row>
    <row r="264" spans="1:51" x14ac:dyDescent="0.2">
      <c r="A264" s="41" t="s">
        <v>227</v>
      </c>
      <c r="B264" s="41">
        <v>1973</v>
      </c>
      <c r="C264" s="41" t="s">
        <v>87</v>
      </c>
      <c r="D264" s="41" t="s">
        <v>220</v>
      </c>
      <c r="E264" s="41">
        <v>100</v>
      </c>
      <c r="F264" s="41" t="s">
        <v>563</v>
      </c>
      <c r="G264" s="53">
        <v>34716366.719999999</v>
      </c>
      <c r="H264" s="56">
        <v>0.62970564845566634</v>
      </c>
      <c r="I264" s="56">
        <v>0.40735721207594411</v>
      </c>
      <c r="J264" s="56">
        <v>3.1668694020204424</v>
      </c>
      <c r="K264" s="55">
        <v>3.4468165837151142E-2</v>
      </c>
      <c r="S264" s="53">
        <v>195645.84479999999</v>
      </c>
      <c r="T264" s="53">
        <v>9641</v>
      </c>
      <c r="U264" s="53">
        <v>85214</v>
      </c>
      <c r="V264" s="53"/>
      <c r="W264" s="53">
        <v>5810.616</v>
      </c>
      <c r="AM264" s="53">
        <v>94487452.819199994</v>
      </c>
      <c r="AO264" s="53">
        <f t="shared" si="45"/>
        <v>21861092.217442315</v>
      </c>
      <c r="AP264" s="53">
        <f t="shared" si="45"/>
        <v>14141962.360465288</v>
      </c>
      <c r="AQ264" s="53">
        <f t="shared" si="45"/>
        <v>109942199.51488878</v>
      </c>
      <c r="AR264" s="53">
        <f t="shared" si="45"/>
        <v>1196609.4853683149</v>
      </c>
      <c r="AS264" s="53">
        <f t="shared" si="45"/>
        <v>0</v>
      </c>
      <c r="AT264" s="53">
        <f t="shared" si="45"/>
        <v>0</v>
      </c>
      <c r="AU264" s="53">
        <f t="shared" si="45"/>
        <v>0</v>
      </c>
      <c r="AV264" s="53">
        <f t="shared" si="45"/>
        <v>0</v>
      </c>
      <c r="AW264" s="53">
        <f t="shared" si="45"/>
        <v>0</v>
      </c>
      <c r="AX264" s="53">
        <f t="shared" si="46"/>
        <v>3471636672</v>
      </c>
      <c r="AY264" s="41" t="s">
        <v>557</v>
      </c>
    </row>
    <row r="265" spans="1:51" x14ac:dyDescent="0.2">
      <c r="A265" s="41" t="s">
        <v>227</v>
      </c>
      <c r="B265" s="41">
        <v>1974</v>
      </c>
      <c r="C265" s="41" t="s">
        <v>87</v>
      </c>
      <c r="D265" s="41" t="s">
        <v>220</v>
      </c>
      <c r="E265" s="41">
        <v>100</v>
      </c>
      <c r="F265" s="41" t="s">
        <v>563</v>
      </c>
      <c r="G265" s="53">
        <v>32003566.559999999</v>
      </c>
      <c r="H265" s="56">
        <v>0.61687121533203115</v>
      </c>
      <c r="I265" s="56">
        <v>0.36348775379484521</v>
      </c>
      <c r="J265" s="56">
        <v>3.0328529020581314</v>
      </c>
      <c r="K265" s="55">
        <v>2.7016449743637937E-2</v>
      </c>
      <c r="S265" s="53">
        <v>176681.736</v>
      </c>
      <c r="T265" s="53">
        <v>7930.5</v>
      </c>
      <c r="U265" s="53">
        <v>75230.900000000009</v>
      </c>
      <c r="V265" s="53"/>
      <c r="W265" s="53">
        <v>4198.5216</v>
      </c>
      <c r="AM265" s="53">
        <v>97423912.252800003</v>
      </c>
      <c r="AO265" s="53">
        <f t="shared" si="45"/>
        <v>19742078.99882675</v>
      </c>
      <c r="AP265" s="53">
        <f t="shared" si="45"/>
        <v>11632904.522318222</v>
      </c>
      <c r="AQ265" s="53">
        <f t="shared" si="45"/>
        <v>97062109.717706561</v>
      </c>
      <c r="AR265" s="53">
        <f t="shared" si="45"/>
        <v>864622.74758541165</v>
      </c>
      <c r="AS265" s="53">
        <f t="shared" si="45"/>
        <v>0</v>
      </c>
      <c r="AT265" s="53">
        <f t="shared" si="45"/>
        <v>0</v>
      </c>
      <c r="AU265" s="53">
        <f t="shared" si="45"/>
        <v>0</v>
      </c>
      <c r="AV265" s="53">
        <f t="shared" si="45"/>
        <v>0</v>
      </c>
      <c r="AW265" s="53">
        <f t="shared" si="45"/>
        <v>0</v>
      </c>
      <c r="AX265" s="53">
        <f t="shared" si="46"/>
        <v>3200356656</v>
      </c>
      <c r="AY265" s="41" t="s">
        <v>557</v>
      </c>
    </row>
    <row r="266" spans="1:51" x14ac:dyDescent="0.2">
      <c r="A266" s="41" t="s">
        <v>227</v>
      </c>
      <c r="B266" s="41">
        <v>1975</v>
      </c>
      <c r="C266" s="41" t="s">
        <v>87</v>
      </c>
      <c r="D266" s="41" t="s">
        <v>220</v>
      </c>
      <c r="E266" s="41">
        <v>100</v>
      </c>
      <c r="F266" s="41" t="s">
        <v>563</v>
      </c>
      <c r="G266" s="53">
        <v>24782889.600000001</v>
      </c>
      <c r="H266" s="56">
        <v>0.59759710923370568</v>
      </c>
      <c r="I266" s="56">
        <v>0.34053971587148241</v>
      </c>
      <c r="J266" s="56">
        <v>2.847919804207653</v>
      </c>
      <c r="K266" s="55">
        <v>3.0372366525288234E-2</v>
      </c>
      <c r="S266" s="53">
        <v>132543.73439999999</v>
      </c>
      <c r="T266" s="53">
        <v>5753.5</v>
      </c>
      <c r="U266" s="53">
        <v>54704.9</v>
      </c>
      <c r="V266" s="53"/>
      <c r="W266" s="53">
        <v>3655.1088</v>
      </c>
      <c r="AM266" s="53">
        <v>88389483.940799996</v>
      </c>
      <c r="AO266" s="53">
        <f t="shared" si="45"/>
        <v>14810183.183418069</v>
      </c>
      <c r="AP266" s="53">
        <f t="shared" si="45"/>
        <v>8439558.1828583162</v>
      </c>
      <c r="AQ266" s="53">
        <f t="shared" si="45"/>
        <v>70579682.097331882</v>
      </c>
      <c r="AR266" s="53">
        <f t="shared" si="45"/>
        <v>752715.00648695393</v>
      </c>
      <c r="AS266" s="53">
        <f t="shared" si="45"/>
        <v>0</v>
      </c>
      <c r="AT266" s="53">
        <f t="shared" si="45"/>
        <v>0</v>
      </c>
      <c r="AU266" s="53">
        <f t="shared" si="45"/>
        <v>0</v>
      </c>
      <c r="AV266" s="53">
        <f t="shared" si="45"/>
        <v>0</v>
      </c>
      <c r="AW266" s="53">
        <f t="shared" si="45"/>
        <v>0</v>
      </c>
      <c r="AX266" s="53">
        <f t="shared" si="46"/>
        <v>2478288960</v>
      </c>
      <c r="AY266" s="41" t="s">
        <v>557</v>
      </c>
    </row>
    <row r="267" spans="1:51" x14ac:dyDescent="0.2">
      <c r="A267" s="41" t="s">
        <v>227</v>
      </c>
      <c r="B267" s="41">
        <v>1976</v>
      </c>
      <c r="C267" s="41" t="s">
        <v>87</v>
      </c>
      <c r="D267" s="41" t="s">
        <v>220</v>
      </c>
      <c r="E267" s="41">
        <v>100</v>
      </c>
      <c r="F267" s="41" t="s">
        <v>563</v>
      </c>
      <c r="G267" s="53">
        <v>26823273.120000001</v>
      </c>
      <c r="H267" s="56">
        <v>0.59725084170419307</v>
      </c>
      <c r="I267" s="56">
        <v>0.28572319196158447</v>
      </c>
      <c r="J267" s="56">
        <v>2.68214576374878</v>
      </c>
      <c r="K267" s="55">
        <v>2.2469111449039625E-2</v>
      </c>
      <c r="S267" s="53">
        <v>143372.98079999999</v>
      </c>
      <c r="T267" s="53">
        <v>5224.8</v>
      </c>
      <c r="U267" s="53">
        <v>55762.3</v>
      </c>
      <c r="V267" s="53"/>
      <c r="W267" s="53">
        <v>2926.6271999999999</v>
      </c>
      <c r="AM267" s="53">
        <v>102706907.9904</v>
      </c>
      <c r="AO267" s="53">
        <f t="shared" si="45"/>
        <v>16020222.448181458</v>
      </c>
      <c r="AP267" s="53">
        <f t="shared" si="45"/>
        <v>7664031.2147037694</v>
      </c>
      <c r="AQ267" s="53">
        <f t="shared" si="45"/>
        <v>71943928.36868453</v>
      </c>
      <c r="AR267" s="53">
        <f t="shared" si="45"/>
        <v>602695.11316130881</v>
      </c>
      <c r="AS267" s="53">
        <f t="shared" si="45"/>
        <v>0</v>
      </c>
      <c r="AT267" s="53">
        <f t="shared" si="45"/>
        <v>0</v>
      </c>
      <c r="AU267" s="53">
        <f t="shared" si="45"/>
        <v>0</v>
      </c>
      <c r="AV267" s="53">
        <f t="shared" si="45"/>
        <v>0</v>
      </c>
      <c r="AW267" s="53">
        <f t="shared" si="45"/>
        <v>0</v>
      </c>
      <c r="AX267" s="53">
        <f t="shared" si="46"/>
        <v>2682327312</v>
      </c>
      <c r="AY267" s="41" t="s">
        <v>557</v>
      </c>
    </row>
    <row r="268" spans="1:51" x14ac:dyDescent="0.2">
      <c r="A268" s="41" t="s">
        <v>227</v>
      </c>
      <c r="B268" s="41">
        <v>1977</v>
      </c>
      <c r="C268" s="41" t="s">
        <v>87</v>
      </c>
      <c r="D268" s="41" t="s">
        <v>220</v>
      </c>
      <c r="E268" s="41">
        <v>100</v>
      </c>
      <c r="F268" s="41" t="s">
        <v>563</v>
      </c>
      <c r="G268" s="53">
        <v>29548229.760000002</v>
      </c>
      <c r="H268" s="56">
        <v>0.6069318288094937</v>
      </c>
      <c r="I268" s="56">
        <v>0.28870753743929289</v>
      </c>
      <c r="J268" s="56">
        <v>2.6574996546745511</v>
      </c>
      <c r="K268" s="55">
        <v>2.1655210792918208E-2</v>
      </c>
      <c r="S268" s="53">
        <v>160498.19519999999</v>
      </c>
      <c r="T268" s="53">
        <v>5815.7</v>
      </c>
      <c r="U268" s="53">
        <v>60862.700000000004</v>
      </c>
      <c r="V268" s="53"/>
      <c r="W268" s="53">
        <v>3107.16</v>
      </c>
      <c r="AM268" s="53">
        <v>102655541.4192</v>
      </c>
      <c r="AO268" s="53">
        <f t="shared" si="45"/>
        <v>17933761.126319908</v>
      </c>
      <c r="AP268" s="53">
        <f t="shared" si="45"/>
        <v>8530796.6497000288</v>
      </c>
      <c r="AQ268" s="53">
        <f t="shared" si="45"/>
        <v>78524410.383444294</v>
      </c>
      <c r="AR268" s="53">
        <f t="shared" si="45"/>
        <v>639873.14401037898</v>
      </c>
      <c r="AS268" s="53">
        <f t="shared" si="45"/>
        <v>0</v>
      </c>
      <c r="AT268" s="53">
        <f t="shared" si="45"/>
        <v>0</v>
      </c>
      <c r="AU268" s="53">
        <f t="shared" si="45"/>
        <v>0</v>
      </c>
      <c r="AV268" s="53">
        <f t="shared" si="45"/>
        <v>0</v>
      </c>
      <c r="AW268" s="53">
        <f t="shared" si="45"/>
        <v>0</v>
      </c>
      <c r="AX268" s="53">
        <f t="shared" si="46"/>
        <v>2954822976</v>
      </c>
      <c r="AY268" s="41" t="s">
        <v>557</v>
      </c>
    </row>
    <row r="269" spans="1:51" x14ac:dyDescent="0.2">
      <c r="A269" s="41" t="s">
        <v>227</v>
      </c>
      <c r="B269" s="41">
        <v>1978</v>
      </c>
      <c r="C269" s="41" t="s">
        <v>87</v>
      </c>
      <c r="D269" s="41" t="s">
        <v>220</v>
      </c>
      <c r="E269" s="41">
        <v>100</v>
      </c>
      <c r="F269" s="41" t="s">
        <v>563</v>
      </c>
      <c r="G269" s="53">
        <v>32602681.440000001</v>
      </c>
      <c r="H269" s="56">
        <v>0.59249849407008459</v>
      </c>
      <c r="I269" s="56">
        <v>0.30643528930445585</v>
      </c>
      <c r="J269" s="56">
        <v>2.7371293452295826</v>
      </c>
      <c r="K269" s="55">
        <v>2.7849426471286472E-2</v>
      </c>
      <c r="S269" s="53">
        <v>172877.84640000001</v>
      </c>
      <c r="T269" s="53">
        <v>6810.9000000000005</v>
      </c>
      <c r="U269" s="53">
        <v>69166.400000000009</v>
      </c>
      <c r="V269" s="53"/>
      <c r="W269" s="53">
        <v>4408.9920000000002</v>
      </c>
      <c r="AM269" s="53">
        <v>104895006.3504</v>
      </c>
      <c r="AO269" s="53">
        <f t="shared" si="45"/>
        <v>19317039.655846696</v>
      </c>
      <c r="AP269" s="53">
        <f t="shared" si="45"/>
        <v>9990612.1191674136</v>
      </c>
      <c r="AQ269" s="53">
        <f t="shared" si="45"/>
        <v>89237756.102595866</v>
      </c>
      <c r="AR269" s="53">
        <f t="shared" si="45"/>
        <v>907965.97953005612</v>
      </c>
      <c r="AS269" s="53">
        <f t="shared" si="45"/>
        <v>0</v>
      </c>
      <c r="AT269" s="53">
        <f t="shared" si="45"/>
        <v>0</v>
      </c>
      <c r="AU269" s="53">
        <f t="shared" si="45"/>
        <v>0</v>
      </c>
      <c r="AV269" s="53">
        <f t="shared" si="45"/>
        <v>0</v>
      </c>
      <c r="AW269" s="53">
        <f t="shared" si="45"/>
        <v>0</v>
      </c>
      <c r="AX269" s="53">
        <f t="shared" si="46"/>
        <v>3260268144</v>
      </c>
      <c r="AY269" s="41" t="s">
        <v>557</v>
      </c>
    </row>
    <row r="270" spans="1:51" x14ac:dyDescent="0.2">
      <c r="A270" s="41" t="s">
        <v>227</v>
      </c>
      <c r="B270" s="41">
        <v>1979</v>
      </c>
      <c r="C270" s="41" t="s">
        <v>87</v>
      </c>
      <c r="D270" s="41" t="s">
        <v>220</v>
      </c>
      <c r="E270" s="41">
        <v>100</v>
      </c>
      <c r="F270" s="41" t="s">
        <v>563</v>
      </c>
      <c r="G270" s="53">
        <v>34295698.079999998</v>
      </c>
      <c r="H270" s="56">
        <v>0.57658293551610595</v>
      </c>
      <c r="I270" s="56">
        <v>0.30061924177965016</v>
      </c>
      <c r="J270" s="56">
        <v>2.6616785958603475</v>
      </c>
      <c r="K270" s="55">
        <v>2.7814705771792517E-2</v>
      </c>
      <c r="S270" s="53">
        <v>176970.22560000001</v>
      </c>
      <c r="T270" s="53">
        <v>7028.6</v>
      </c>
      <c r="U270" s="53">
        <v>70752.5</v>
      </c>
      <c r="V270" s="53"/>
      <c r="W270" s="53">
        <v>4632.1632</v>
      </c>
      <c r="AM270" s="53">
        <v>111979778.40000001</v>
      </c>
      <c r="AO270" s="53">
        <f t="shared" si="45"/>
        <v>19774314.274540477</v>
      </c>
      <c r="AP270" s="53">
        <f t="shared" si="45"/>
        <v>10309946.753113404</v>
      </c>
      <c r="AQ270" s="53">
        <f t="shared" si="45"/>
        <v>91284125.509624809</v>
      </c>
      <c r="AR270" s="53">
        <f t="shared" si="45"/>
        <v>953924.75133342948</v>
      </c>
      <c r="AS270" s="53">
        <f t="shared" si="45"/>
        <v>0</v>
      </c>
      <c r="AT270" s="53">
        <f t="shared" si="45"/>
        <v>0</v>
      </c>
      <c r="AU270" s="53">
        <f t="shared" si="45"/>
        <v>0</v>
      </c>
      <c r="AV270" s="53">
        <f t="shared" si="45"/>
        <v>0</v>
      </c>
      <c r="AW270" s="53">
        <f t="shared" si="45"/>
        <v>0</v>
      </c>
      <c r="AX270" s="53">
        <f t="shared" si="46"/>
        <v>3429569808</v>
      </c>
      <c r="AY270" s="41" t="s">
        <v>557</v>
      </c>
    </row>
    <row r="271" spans="1:51" x14ac:dyDescent="0.2">
      <c r="A271" s="41" t="s">
        <v>227</v>
      </c>
      <c r="B271" s="41">
        <v>1980</v>
      </c>
      <c r="C271" s="41" t="s">
        <v>87</v>
      </c>
      <c r="D271" s="41" t="s">
        <v>220</v>
      </c>
      <c r="E271" s="41">
        <v>100</v>
      </c>
      <c r="F271" s="41" t="s">
        <v>563</v>
      </c>
      <c r="G271" s="53">
        <v>28648015.199999999</v>
      </c>
      <c r="H271" s="56">
        <v>0.55831712602240613</v>
      </c>
      <c r="I271" s="56">
        <v>0.27707841397783484</v>
      </c>
      <c r="J271" s="56">
        <v>2.4734892045739074</v>
      </c>
      <c r="K271" s="55">
        <v>2.3900817050669935E-2</v>
      </c>
      <c r="S271" s="53">
        <v>143144.3664</v>
      </c>
      <c r="T271" s="53">
        <v>5411.4000000000005</v>
      </c>
      <c r="U271" s="53">
        <v>54922.600000000006</v>
      </c>
      <c r="V271" s="53"/>
      <c r="W271" s="53">
        <v>3324.8879999999999</v>
      </c>
      <c r="AM271" s="53">
        <v>90698694.408000007</v>
      </c>
      <c r="AO271" s="53">
        <f t="shared" si="45"/>
        <v>15994677.512710206</v>
      </c>
      <c r="AP271" s="53">
        <f t="shared" si="45"/>
        <v>7937746.6152289044</v>
      </c>
      <c r="AQ271" s="53">
        <f t="shared" si="45"/>
        <v>70860556.329669207</v>
      </c>
      <c r="AR271" s="53">
        <f t="shared" si="45"/>
        <v>684710.97016001143</v>
      </c>
      <c r="AS271" s="53">
        <f t="shared" si="45"/>
        <v>0</v>
      </c>
      <c r="AT271" s="53">
        <f t="shared" si="45"/>
        <v>0</v>
      </c>
      <c r="AU271" s="53">
        <f t="shared" si="45"/>
        <v>0</v>
      </c>
      <c r="AV271" s="53">
        <f t="shared" si="45"/>
        <v>0</v>
      </c>
      <c r="AW271" s="53">
        <f t="shared" si="45"/>
        <v>0</v>
      </c>
      <c r="AX271" s="53">
        <f t="shared" si="46"/>
        <v>2864801520</v>
      </c>
      <c r="AY271" s="41" t="s">
        <v>557</v>
      </c>
    </row>
    <row r="272" spans="1:51" x14ac:dyDescent="0.2">
      <c r="A272" s="41" t="s">
        <v>227</v>
      </c>
      <c r="B272" s="41">
        <v>1981</v>
      </c>
      <c r="C272" s="41" t="s">
        <v>87</v>
      </c>
      <c r="D272" s="41" t="s">
        <v>220</v>
      </c>
      <c r="E272" s="41">
        <v>100</v>
      </c>
      <c r="F272" s="41" t="s">
        <v>563</v>
      </c>
      <c r="G272" s="53">
        <v>35402119.200000003</v>
      </c>
      <c r="H272" s="56">
        <v>0.57005651243139743</v>
      </c>
      <c r="I272" s="56">
        <v>0.26931776968195892</v>
      </c>
      <c r="J272" s="56">
        <v>2.5399575299512627</v>
      </c>
      <c r="K272" s="55">
        <v>1.9974224685250695E-2</v>
      </c>
      <c r="S272" s="53">
        <v>180611.72640000001</v>
      </c>
      <c r="T272" s="53">
        <v>6499.9000000000005</v>
      </c>
      <c r="U272" s="53">
        <v>69695.100000000006</v>
      </c>
      <c r="V272" s="53"/>
      <c r="W272" s="53">
        <v>3433.752</v>
      </c>
      <c r="AM272" s="53">
        <v>121814143.01280001</v>
      </c>
      <c r="AO272" s="53">
        <f t="shared" si="45"/>
        <v>20181208.603832614</v>
      </c>
      <c r="AP272" s="53">
        <f t="shared" si="45"/>
        <v>9534419.7849588562</v>
      </c>
      <c r="AQ272" s="53">
        <f t="shared" si="45"/>
        <v>89919879.238272175</v>
      </c>
      <c r="AR272" s="53">
        <f t="shared" si="45"/>
        <v>707129.88323482766</v>
      </c>
      <c r="AS272" s="53">
        <f t="shared" si="45"/>
        <v>0</v>
      </c>
      <c r="AT272" s="53">
        <f t="shared" si="45"/>
        <v>0</v>
      </c>
      <c r="AU272" s="53">
        <f t="shared" si="45"/>
        <v>0</v>
      </c>
      <c r="AV272" s="53">
        <f t="shared" si="45"/>
        <v>0</v>
      </c>
      <c r="AW272" s="53">
        <f t="shared" si="45"/>
        <v>0</v>
      </c>
      <c r="AX272" s="53">
        <f t="shared" si="46"/>
        <v>3540211920.0000005</v>
      </c>
      <c r="AY272" s="41" t="s">
        <v>557</v>
      </c>
    </row>
    <row r="273" spans="1:51" x14ac:dyDescent="0.2">
      <c r="A273" s="41" t="s">
        <v>227</v>
      </c>
      <c r="B273" s="41">
        <v>1982</v>
      </c>
      <c r="C273" s="41" t="s">
        <v>87</v>
      </c>
      <c r="D273" s="41" t="s">
        <v>220</v>
      </c>
      <c r="E273" s="41">
        <v>100</v>
      </c>
      <c r="F273" s="41" t="s">
        <v>563</v>
      </c>
      <c r="G273" s="53">
        <v>33455358.719999999</v>
      </c>
      <c r="H273" s="56">
        <v>0.58493301489364558</v>
      </c>
      <c r="I273" s="56">
        <v>0.24135458785753144</v>
      </c>
      <c r="J273" s="56">
        <v>2.5930080029311968</v>
      </c>
      <c r="K273" s="55">
        <v>1.4295770958515043E-2</v>
      </c>
      <c r="S273" s="53">
        <v>175134.0528</v>
      </c>
      <c r="T273" s="53">
        <v>5504.7</v>
      </c>
      <c r="U273" s="53">
        <v>67238.2</v>
      </c>
      <c r="V273" s="53"/>
      <c r="W273" s="53">
        <v>2322.4319999999998</v>
      </c>
      <c r="AM273" s="53">
        <v>107060377.536</v>
      </c>
      <c r="AO273" s="53">
        <f t="shared" si="45"/>
        <v>19569143.840438016</v>
      </c>
      <c r="AP273" s="53">
        <f t="shared" si="45"/>
        <v>8074604.3154914705</v>
      </c>
      <c r="AQ273" s="53">
        <f t="shared" si="45"/>
        <v>86750012.901894003</v>
      </c>
      <c r="AR273" s="53">
        <f t="shared" si="45"/>
        <v>478270.14559607895</v>
      </c>
      <c r="AS273" s="53">
        <f t="shared" si="45"/>
        <v>0</v>
      </c>
      <c r="AT273" s="53">
        <f t="shared" si="45"/>
        <v>0</v>
      </c>
      <c r="AU273" s="53">
        <f t="shared" si="45"/>
        <v>0</v>
      </c>
      <c r="AV273" s="53">
        <f t="shared" si="45"/>
        <v>0</v>
      </c>
      <c r="AW273" s="53">
        <f t="shared" si="45"/>
        <v>0</v>
      </c>
      <c r="AX273" s="53">
        <f t="shared" si="46"/>
        <v>3345535872</v>
      </c>
      <c r="AY273" s="41" t="s">
        <v>557</v>
      </c>
    </row>
    <row r="274" spans="1:51" x14ac:dyDescent="0.2">
      <c r="A274" s="41" t="s">
        <v>227</v>
      </c>
      <c r="B274" s="41">
        <v>1983</v>
      </c>
      <c r="C274" s="41" t="s">
        <v>87</v>
      </c>
      <c r="D274" s="41" t="s">
        <v>220</v>
      </c>
      <c r="E274" s="41">
        <v>100</v>
      </c>
      <c r="F274" s="41" t="s">
        <v>563</v>
      </c>
      <c r="G274" s="53">
        <v>30219013.440000001</v>
      </c>
      <c r="H274" s="56">
        <v>0.58017245922969674</v>
      </c>
      <c r="I274" s="56">
        <v>0.31098176329797111</v>
      </c>
      <c r="J274" s="56">
        <v>2.9065603056599763</v>
      </c>
      <c r="K274" s="55">
        <v>1.1301321153907933E-2</v>
      </c>
      <c r="S274" s="53">
        <v>156904.77600000001</v>
      </c>
      <c r="T274" s="53">
        <v>6406.6</v>
      </c>
      <c r="U274" s="53">
        <v>68077.900000000009</v>
      </c>
      <c r="V274" s="53"/>
      <c r="W274" s="53">
        <v>1658.3616</v>
      </c>
      <c r="AM274" s="53">
        <v>82137825.403200001</v>
      </c>
      <c r="AO274" s="53">
        <f t="shared" si="45"/>
        <v>17532239.342980057</v>
      </c>
      <c r="AP274" s="53">
        <f t="shared" si="45"/>
        <v>9397562.0846962892</v>
      </c>
      <c r="AQ274" s="53">
        <f t="shared" si="45"/>
        <v>87833384.940909341</v>
      </c>
      <c r="AR274" s="53">
        <f t="shared" si="45"/>
        <v>341514.77583970013</v>
      </c>
      <c r="AS274" s="53">
        <f t="shared" si="45"/>
        <v>0</v>
      </c>
      <c r="AT274" s="53">
        <f t="shared" si="45"/>
        <v>0</v>
      </c>
      <c r="AU274" s="53">
        <f t="shared" si="45"/>
        <v>0</v>
      </c>
      <c r="AV274" s="53">
        <f t="shared" si="45"/>
        <v>0</v>
      </c>
      <c r="AW274" s="53">
        <f t="shared" si="45"/>
        <v>0</v>
      </c>
      <c r="AX274" s="53">
        <f t="shared" si="46"/>
        <v>3021901344</v>
      </c>
      <c r="AY274" s="41" t="s">
        <v>557</v>
      </c>
    </row>
    <row r="275" spans="1:51" x14ac:dyDescent="0.2">
      <c r="A275" s="41" t="s">
        <v>227</v>
      </c>
      <c r="B275" s="41">
        <v>1984</v>
      </c>
      <c r="C275" s="41" t="s">
        <v>87</v>
      </c>
      <c r="D275" s="41" t="s">
        <v>220</v>
      </c>
      <c r="E275" s="41">
        <v>100</v>
      </c>
      <c r="F275" s="41" t="s">
        <v>563</v>
      </c>
      <c r="G275" s="53">
        <v>19925468.640000001</v>
      </c>
      <c r="H275" s="56">
        <v>0.63103068709562282</v>
      </c>
      <c r="I275" s="56">
        <v>0.3319765755845272</v>
      </c>
      <c r="J275" s="56">
        <v>3.0488158177405924</v>
      </c>
      <c r="K275" s="55">
        <v>1.5967591384428617E-2</v>
      </c>
      <c r="S275" s="53">
        <v>112527.2736</v>
      </c>
      <c r="T275" s="53">
        <v>4509.5</v>
      </c>
      <c r="U275" s="53">
        <v>47085.4</v>
      </c>
      <c r="V275" s="53"/>
      <c r="W275" s="53">
        <v>1544.9616000000001</v>
      </c>
      <c r="AM275" s="53">
        <v>30451165.920000002</v>
      </c>
      <c r="AO275" s="53">
        <f t="shared" si="45"/>
        <v>12573582.166601487</v>
      </c>
      <c r="AP275" s="53">
        <f t="shared" si="45"/>
        <v>6614788.8460240867</v>
      </c>
      <c r="AQ275" s="53">
        <f t="shared" si="45"/>
        <v>60749083.965526134</v>
      </c>
      <c r="AR275" s="53">
        <f t="shared" si="45"/>
        <v>318161.7413867666</v>
      </c>
      <c r="AS275" s="53">
        <f t="shared" si="45"/>
        <v>0</v>
      </c>
      <c r="AT275" s="53">
        <f t="shared" si="45"/>
        <v>0</v>
      </c>
      <c r="AU275" s="53">
        <f t="shared" si="45"/>
        <v>0</v>
      </c>
      <c r="AV275" s="53">
        <f t="shared" si="45"/>
        <v>0</v>
      </c>
      <c r="AW275" s="53">
        <f t="shared" si="45"/>
        <v>0</v>
      </c>
      <c r="AX275" s="53">
        <f t="shared" si="46"/>
        <v>1992546864</v>
      </c>
      <c r="AY275" s="41" t="s">
        <v>557</v>
      </c>
    </row>
    <row r="276" spans="1:51" x14ac:dyDescent="0.2">
      <c r="A276" s="41" t="s">
        <v>227</v>
      </c>
      <c r="B276" s="41">
        <v>1985</v>
      </c>
      <c r="C276" s="41" t="s">
        <v>87</v>
      </c>
      <c r="D276" s="41" t="s">
        <v>220</v>
      </c>
      <c r="E276" s="41">
        <v>100</v>
      </c>
      <c r="F276" s="41" t="s">
        <v>563</v>
      </c>
      <c r="G276" s="53">
        <v>2398818.2400000002</v>
      </c>
      <c r="H276" s="56">
        <v>0.71719945327359991</v>
      </c>
      <c r="I276" s="56">
        <v>0.39936493972881043</v>
      </c>
      <c r="J276" s="56">
        <v>3.1948456644114449</v>
      </c>
      <c r="K276" s="55">
        <v>2.30530119633185E-2</v>
      </c>
      <c r="S276" s="53">
        <v>15396.9984</v>
      </c>
      <c r="T276" s="53">
        <v>653.1</v>
      </c>
      <c r="U276" s="53">
        <v>5940.1</v>
      </c>
      <c r="V276" s="53"/>
      <c r="W276" s="53">
        <v>268.53120000000001</v>
      </c>
      <c r="AM276" s="53">
        <v>2262874.3199999998</v>
      </c>
      <c r="AO276" s="53">
        <f t="shared" si="45"/>
        <v>1720431.1302307392</v>
      </c>
      <c r="AP276" s="53">
        <f t="shared" si="45"/>
        <v>958003.90183797118</v>
      </c>
      <c r="AQ276" s="53">
        <f t="shared" si="45"/>
        <v>7663854.0537750935</v>
      </c>
      <c r="AR276" s="53">
        <f t="shared" si="45"/>
        <v>55299.98558454663</v>
      </c>
      <c r="AS276" s="53">
        <f t="shared" si="45"/>
        <v>0</v>
      </c>
      <c r="AT276" s="53">
        <f t="shared" si="45"/>
        <v>0</v>
      </c>
      <c r="AU276" s="53">
        <f t="shared" si="45"/>
        <v>0</v>
      </c>
      <c r="AV276" s="53">
        <f t="shared" si="45"/>
        <v>0</v>
      </c>
      <c r="AW276" s="53">
        <f t="shared" si="45"/>
        <v>0</v>
      </c>
      <c r="AX276" s="53">
        <f t="shared" si="46"/>
        <v>239881824.00000003</v>
      </c>
      <c r="AY276" s="41" t="s">
        <v>557</v>
      </c>
    </row>
    <row r="277" spans="1:51" x14ac:dyDescent="0.2">
      <c r="A277" s="41" t="s">
        <v>227</v>
      </c>
      <c r="B277" s="41">
        <v>1986</v>
      </c>
      <c r="C277" s="41" t="s">
        <v>87</v>
      </c>
      <c r="D277" s="41" t="s">
        <v>220</v>
      </c>
      <c r="E277" s="41">
        <v>100</v>
      </c>
      <c r="F277" s="41" t="s">
        <v>563</v>
      </c>
      <c r="G277" s="53">
        <v>403613.28</v>
      </c>
      <c r="H277" s="56">
        <v>0.55429524756120452</v>
      </c>
      <c r="I277" s="56">
        <v>0.33908126180230569</v>
      </c>
      <c r="J277" s="56">
        <v>2.88301172766944</v>
      </c>
      <c r="K277" s="55">
        <v>2.7772764408069282E-3</v>
      </c>
      <c r="S277" s="53">
        <v>2002.1904</v>
      </c>
      <c r="T277" s="53">
        <v>93.300000000000011</v>
      </c>
      <c r="U277" s="53">
        <v>901.90000000000009</v>
      </c>
      <c r="V277" s="53"/>
      <c r="W277" s="53">
        <v>5.4432</v>
      </c>
      <c r="AM277" s="53">
        <v>1892464.56</v>
      </c>
      <c r="AO277" s="53">
        <f t="shared" si="45"/>
        <v>223720.92295658978</v>
      </c>
      <c r="AP277" s="53">
        <f t="shared" si="45"/>
        <v>136857.70026256732</v>
      </c>
      <c r="AQ277" s="53">
        <f t="shared" si="45"/>
        <v>1163621.8196831294</v>
      </c>
      <c r="AR277" s="53">
        <f t="shared" si="45"/>
        <v>1120.9456537408103</v>
      </c>
      <c r="AS277" s="53">
        <f t="shared" si="45"/>
        <v>0</v>
      </c>
      <c r="AT277" s="53">
        <f t="shared" si="45"/>
        <v>0</v>
      </c>
      <c r="AU277" s="53">
        <f t="shared" si="45"/>
        <v>0</v>
      </c>
      <c r="AV277" s="53">
        <f t="shared" si="45"/>
        <v>0</v>
      </c>
      <c r="AW277" s="53">
        <f t="shared" si="45"/>
        <v>0</v>
      </c>
      <c r="AX277" s="53">
        <f t="shared" si="46"/>
        <v>40361328</v>
      </c>
      <c r="AY277" s="41" t="s">
        <v>557</v>
      </c>
    </row>
    <row r="278" spans="1:51" x14ac:dyDescent="0.2">
      <c r="A278" s="41" t="s">
        <v>227</v>
      </c>
      <c r="B278" s="41">
        <v>1987</v>
      </c>
      <c r="C278" s="41" t="s">
        <v>87</v>
      </c>
      <c r="D278" s="41" t="s">
        <v>220</v>
      </c>
      <c r="E278" s="41">
        <v>100</v>
      </c>
      <c r="F278" s="41" t="s">
        <v>563</v>
      </c>
      <c r="G278" s="53">
        <v>21271481.280000001</v>
      </c>
      <c r="H278" s="56">
        <v>0.66445546452187032</v>
      </c>
      <c r="I278" s="56">
        <v>0.42677927932014237</v>
      </c>
      <c r="J278" s="56">
        <v>3.3727460242493752</v>
      </c>
      <c r="K278" s="55">
        <v>2.2018610402483221E-2</v>
      </c>
      <c r="S278" s="53">
        <v>126491.80319999999</v>
      </c>
      <c r="T278" s="53">
        <v>6188.9000000000005</v>
      </c>
      <c r="U278" s="53">
        <v>55606.8</v>
      </c>
      <c r="V278" s="53"/>
      <c r="W278" s="53">
        <v>2274.3503999999998</v>
      </c>
      <c r="AM278" s="53">
        <v>20363905.699200001</v>
      </c>
      <c r="AO278" s="53">
        <f t="shared" si="45"/>
        <v>14133951.974970669</v>
      </c>
      <c r="AP278" s="53">
        <f t="shared" si="45"/>
        <v>9078227.4507503007</v>
      </c>
      <c r="AQ278" s="53">
        <f t="shared" si="45"/>
        <v>71743303.917015016</v>
      </c>
      <c r="AR278" s="53">
        <f t="shared" si="45"/>
        <v>468368.45898803516</v>
      </c>
      <c r="AS278" s="53">
        <f t="shared" si="45"/>
        <v>0</v>
      </c>
      <c r="AT278" s="53">
        <f t="shared" si="45"/>
        <v>0</v>
      </c>
      <c r="AU278" s="53">
        <f t="shared" si="45"/>
        <v>0</v>
      </c>
      <c r="AV278" s="53">
        <f t="shared" si="45"/>
        <v>0</v>
      </c>
      <c r="AW278" s="53">
        <f t="shared" si="45"/>
        <v>0</v>
      </c>
      <c r="AX278" s="53">
        <f t="shared" si="46"/>
        <v>2127148128</v>
      </c>
      <c r="AY278" s="41" t="s">
        <v>557</v>
      </c>
    </row>
    <row r="279" spans="1:51" x14ac:dyDescent="0.2">
      <c r="A279" s="41" t="s">
        <v>227</v>
      </c>
      <c r="B279" s="41">
        <v>1988</v>
      </c>
      <c r="C279" s="41" t="s">
        <v>87</v>
      </c>
      <c r="D279" s="41" t="s">
        <v>220</v>
      </c>
      <c r="E279" s="41">
        <v>100</v>
      </c>
      <c r="F279" s="41" t="s">
        <v>563</v>
      </c>
      <c r="G279" s="53">
        <v>31789950.897599999</v>
      </c>
      <c r="H279" s="56">
        <v>0.66932841853639324</v>
      </c>
      <c r="I279" s="56">
        <v>0.43768127349990482</v>
      </c>
      <c r="J279" s="56">
        <v>3.1781890505653605</v>
      </c>
      <c r="K279" s="55">
        <v>5.5771158042290823E-3</v>
      </c>
      <c r="S279" s="53">
        <v>190426.72320000001</v>
      </c>
      <c r="T279" s="53">
        <v>9485.5</v>
      </c>
      <c r="U279" s="53">
        <v>78309.8</v>
      </c>
      <c r="V279" s="53"/>
      <c r="W279" s="53">
        <v>860.93280000000004</v>
      </c>
      <c r="AM279" s="53">
        <v>24211626.667199999</v>
      </c>
      <c r="AO279" s="53">
        <f t="shared" si="45"/>
        <v>21277917.559640203</v>
      </c>
      <c r="AP279" s="53">
        <f t="shared" si="45"/>
        <v>13913866.19336101</v>
      </c>
      <c r="AQ279" s="53">
        <f t="shared" si="45"/>
        <v>101034473.86076277</v>
      </c>
      <c r="AR279" s="53">
        <f t="shared" si="45"/>
        <v>177296.23756667145</v>
      </c>
      <c r="AS279" s="53">
        <f t="shared" si="45"/>
        <v>0</v>
      </c>
      <c r="AT279" s="53">
        <f t="shared" si="45"/>
        <v>0</v>
      </c>
      <c r="AU279" s="53">
        <f t="shared" si="45"/>
        <v>0</v>
      </c>
      <c r="AV279" s="53">
        <f t="shared" si="45"/>
        <v>0</v>
      </c>
      <c r="AW279" s="53">
        <f t="shared" si="45"/>
        <v>0</v>
      </c>
      <c r="AX279" s="53">
        <f t="shared" si="46"/>
        <v>3178995089.7599998</v>
      </c>
      <c r="AY279" s="41" t="s">
        <v>557</v>
      </c>
    </row>
    <row r="280" spans="1:51" x14ac:dyDescent="0.2">
      <c r="A280" s="41" t="s">
        <v>227</v>
      </c>
      <c r="B280" s="41">
        <v>1989</v>
      </c>
      <c r="C280" s="41" t="s">
        <v>87</v>
      </c>
      <c r="D280" s="41" t="s">
        <v>220</v>
      </c>
      <c r="E280" s="41">
        <v>100</v>
      </c>
      <c r="F280" s="41" t="s">
        <v>563</v>
      </c>
      <c r="G280" s="53">
        <v>36777704.7456</v>
      </c>
      <c r="H280" s="56">
        <v>0.67637710163545783</v>
      </c>
      <c r="I280" s="56">
        <v>0.62888512223267468</v>
      </c>
      <c r="J280" s="56">
        <v>4.0967473159625065</v>
      </c>
      <c r="K280" s="55">
        <v>2.3641501957939459E-2</v>
      </c>
      <c r="S280" s="53">
        <v>222624.15840000001</v>
      </c>
      <c r="T280" s="53">
        <v>15767.7</v>
      </c>
      <c r="U280" s="53">
        <v>116780.5</v>
      </c>
      <c r="V280" s="53"/>
      <c r="W280" s="53">
        <v>4222.1088</v>
      </c>
      <c r="AM280" s="53">
        <v>33694258.953599997</v>
      </c>
      <c r="AO280" s="53">
        <f t="shared" si="45"/>
        <v>24875597.340633553</v>
      </c>
      <c r="AP280" s="53">
        <f t="shared" si="45"/>
        <v>23128951.344373874</v>
      </c>
      <c r="AQ280" s="53">
        <f t="shared" si="45"/>
        <v>150668963.20379832</v>
      </c>
      <c r="AR280" s="53">
        <f t="shared" si="45"/>
        <v>869480.17875162174</v>
      </c>
      <c r="AS280" s="53">
        <f t="shared" si="45"/>
        <v>0</v>
      </c>
      <c r="AT280" s="53">
        <f t="shared" si="45"/>
        <v>0</v>
      </c>
      <c r="AU280" s="53">
        <f t="shared" si="45"/>
        <v>0</v>
      </c>
      <c r="AV280" s="53">
        <f t="shared" si="45"/>
        <v>0</v>
      </c>
      <c r="AW280" s="53">
        <f t="shared" si="45"/>
        <v>0</v>
      </c>
      <c r="AX280" s="53">
        <f t="shared" si="46"/>
        <v>3677770474.5599999</v>
      </c>
      <c r="AY280" s="41" t="s">
        <v>557</v>
      </c>
    </row>
    <row r="281" spans="1:51" x14ac:dyDescent="0.2">
      <c r="A281" s="41" t="s">
        <v>227</v>
      </c>
      <c r="B281" s="41">
        <v>1990</v>
      </c>
      <c r="C281" s="41" t="s">
        <v>87</v>
      </c>
      <c r="D281" s="41" t="s">
        <v>220</v>
      </c>
      <c r="E281" s="41">
        <v>100</v>
      </c>
      <c r="F281" s="41" t="s">
        <v>563</v>
      </c>
      <c r="G281" s="53">
        <v>37505407.968000002</v>
      </c>
      <c r="H281" s="56">
        <v>0.68256496178148407</v>
      </c>
      <c r="I281" s="56">
        <v>0.51086174167488052</v>
      </c>
      <c r="J281" s="56">
        <v>3.6149987904126126</v>
      </c>
      <c r="K281" s="55">
        <v>2.8587464472267135E-2</v>
      </c>
      <c r="S281" s="53">
        <v>229106.1024</v>
      </c>
      <c r="T281" s="53">
        <v>13062</v>
      </c>
      <c r="U281" s="53">
        <v>105086.90000000001</v>
      </c>
      <c r="V281" s="53"/>
      <c r="W281" s="53">
        <v>5206.4207999999999</v>
      </c>
      <c r="AM281" s="53">
        <v>46295069.184</v>
      </c>
      <c r="AO281" s="53">
        <f t="shared" si="45"/>
        <v>25599877.356276888</v>
      </c>
      <c r="AP281" s="53">
        <f t="shared" si="45"/>
        <v>19160078.036759421</v>
      </c>
      <c r="AQ281" s="53">
        <f t="shared" si="45"/>
        <v>135582004.43825158</v>
      </c>
      <c r="AR281" s="53">
        <f t="shared" si="45"/>
        <v>1072184.5178030848</v>
      </c>
      <c r="AS281" s="53">
        <f t="shared" si="45"/>
        <v>0</v>
      </c>
      <c r="AT281" s="53">
        <f t="shared" si="45"/>
        <v>0</v>
      </c>
      <c r="AU281" s="53">
        <f t="shared" si="45"/>
        <v>0</v>
      </c>
      <c r="AV281" s="53">
        <f t="shared" si="45"/>
        <v>0</v>
      </c>
      <c r="AW281" s="53">
        <f t="shared" si="45"/>
        <v>0</v>
      </c>
      <c r="AX281" s="53">
        <f t="shared" si="46"/>
        <v>3750540796.8000002</v>
      </c>
      <c r="AY281" s="41" t="s">
        <v>557</v>
      </c>
    </row>
    <row r="282" spans="1:51" x14ac:dyDescent="0.2">
      <c r="A282" s="41" t="s">
        <v>227</v>
      </c>
      <c r="B282" s="41">
        <v>1991</v>
      </c>
      <c r="C282" s="41" t="s">
        <v>87</v>
      </c>
      <c r="D282" s="41" t="s">
        <v>220</v>
      </c>
      <c r="E282" s="41">
        <v>100</v>
      </c>
      <c r="F282" s="41" t="s">
        <v>563</v>
      </c>
      <c r="G282" s="53">
        <v>38782099.641599998</v>
      </c>
      <c r="H282" s="56">
        <v>0.66345915328950333</v>
      </c>
      <c r="I282" s="56">
        <v>0.53991992010953771</v>
      </c>
      <c r="J282" s="56">
        <v>3.7401656923562046</v>
      </c>
      <c r="K282" s="55">
        <v>3.7160506405732548E-2</v>
      </c>
      <c r="S282" s="53">
        <v>230273.66880000001</v>
      </c>
      <c r="T282" s="53">
        <v>14274.900000000001</v>
      </c>
      <c r="U282" s="53">
        <v>112426.5</v>
      </c>
      <c r="V282" s="53"/>
      <c r="W282" s="53">
        <v>6998.1408000000001</v>
      </c>
      <c r="AM282" s="53">
        <v>47363508.5616</v>
      </c>
      <c r="AO282" s="53">
        <f t="shared" si="45"/>
        <v>25730338.991005085</v>
      </c>
      <c r="AP282" s="53">
        <f t="shared" si="45"/>
        <v>20939228.140172802</v>
      </c>
      <c r="AQ282" s="53">
        <f t="shared" si="45"/>
        <v>145051478.55705217</v>
      </c>
      <c r="AR282" s="53">
        <f t="shared" si="45"/>
        <v>1441162.4621594346</v>
      </c>
      <c r="AS282" s="53">
        <f t="shared" si="45"/>
        <v>0</v>
      </c>
      <c r="AT282" s="53">
        <f t="shared" si="45"/>
        <v>0</v>
      </c>
      <c r="AU282" s="53">
        <f t="shared" si="45"/>
        <v>0</v>
      </c>
      <c r="AV282" s="53">
        <f t="shared" si="45"/>
        <v>0</v>
      </c>
      <c r="AW282" s="53">
        <f t="shared" si="45"/>
        <v>0</v>
      </c>
      <c r="AX282" s="53">
        <f t="shared" si="46"/>
        <v>3878209964.1599998</v>
      </c>
      <c r="AY282" s="41" t="s">
        <v>557</v>
      </c>
    </row>
    <row r="283" spans="1:51" x14ac:dyDescent="0.2">
      <c r="A283" s="41" t="s">
        <v>227</v>
      </c>
      <c r="B283" s="41">
        <v>1992</v>
      </c>
      <c r="C283" s="41" t="s">
        <v>87</v>
      </c>
      <c r="D283" s="41" t="s">
        <v>220</v>
      </c>
      <c r="E283" s="41">
        <v>100</v>
      </c>
      <c r="F283" s="41" t="s">
        <v>563</v>
      </c>
      <c r="G283" s="53">
        <v>49464845.942400001</v>
      </c>
      <c r="H283" s="56">
        <v>0.63714884808349159</v>
      </c>
      <c r="I283" s="56">
        <v>0.49064000337039632</v>
      </c>
      <c r="J283" s="56">
        <v>3.5026749434040227</v>
      </c>
      <c r="K283" s="55">
        <v>3.5990176225132973E-2</v>
      </c>
      <c r="S283" s="53">
        <v>282056.64480000001</v>
      </c>
      <c r="T283" s="53">
        <v>16545.2</v>
      </c>
      <c r="U283" s="53">
        <v>134289.80000000002</v>
      </c>
      <c r="V283" s="53"/>
      <c r="W283" s="53">
        <v>8644.7088000000003</v>
      </c>
      <c r="AM283" s="53">
        <v>42213502.900799997</v>
      </c>
      <c r="AO283" s="53">
        <f t="shared" si="45"/>
        <v>31516469.612827532</v>
      </c>
      <c r="AP283" s="53">
        <f t="shared" si="45"/>
        <v>24269432.179895271</v>
      </c>
      <c r="AQ283" s="53">
        <f t="shared" si="45"/>
        <v>173259276.46178463</v>
      </c>
      <c r="AR283" s="53">
        <f t="shared" si="45"/>
        <v>1780248.5224160298</v>
      </c>
      <c r="AS283" s="53">
        <f t="shared" si="45"/>
        <v>0</v>
      </c>
      <c r="AT283" s="53">
        <f t="shared" si="45"/>
        <v>0</v>
      </c>
      <c r="AU283" s="53">
        <f t="shared" si="45"/>
        <v>0</v>
      </c>
      <c r="AV283" s="53">
        <f t="shared" si="45"/>
        <v>0</v>
      </c>
      <c r="AW283" s="53">
        <f t="shared" si="45"/>
        <v>0</v>
      </c>
      <c r="AX283" s="53">
        <f t="shared" si="46"/>
        <v>4946484594.2399998</v>
      </c>
      <c r="AY283" s="41" t="s">
        <v>557</v>
      </c>
    </row>
    <row r="284" spans="1:51" x14ac:dyDescent="0.2">
      <c r="A284" s="41" t="s">
        <v>227</v>
      </c>
      <c r="B284" s="41">
        <v>1993</v>
      </c>
      <c r="C284" s="41" t="s">
        <v>87</v>
      </c>
      <c r="D284" s="41" t="s">
        <v>220</v>
      </c>
      <c r="E284" s="41">
        <v>100</v>
      </c>
      <c r="F284" s="41" t="s">
        <v>563</v>
      </c>
      <c r="G284" s="53">
        <v>51493651.776000001</v>
      </c>
      <c r="H284" s="56">
        <v>0.65187971627872621</v>
      </c>
      <c r="I284" s="56">
        <v>0.45624857436680549</v>
      </c>
      <c r="J284" s="56">
        <v>3.4371400193708683</v>
      </c>
      <c r="K284" s="55">
        <v>3.2609390311027796E-2</v>
      </c>
      <c r="S284" s="53">
        <v>300413.83679999999</v>
      </c>
      <c r="T284" s="53">
        <v>16016.5</v>
      </c>
      <c r="U284" s="53">
        <v>137182.1</v>
      </c>
      <c r="V284" s="53"/>
      <c r="W284" s="53">
        <v>8153.9135999999999</v>
      </c>
      <c r="AM284" s="53">
        <v>40823744.169600002</v>
      </c>
      <c r="AO284" s="53">
        <f t="shared" si="45"/>
        <v>33567667.10989441</v>
      </c>
      <c r="AP284" s="53">
        <f t="shared" si="45"/>
        <v>23493905.211740721</v>
      </c>
      <c r="AQ284" s="53">
        <f t="shared" si="45"/>
        <v>176990891.26283738</v>
      </c>
      <c r="AR284" s="53">
        <f t="shared" si="45"/>
        <v>1679176.5893037338</v>
      </c>
      <c r="AS284" s="53">
        <f t="shared" si="45"/>
        <v>0</v>
      </c>
      <c r="AT284" s="53">
        <f t="shared" si="45"/>
        <v>0</v>
      </c>
      <c r="AU284" s="53">
        <f t="shared" si="45"/>
        <v>0</v>
      </c>
      <c r="AV284" s="53">
        <f t="shared" si="45"/>
        <v>0</v>
      </c>
      <c r="AW284" s="53">
        <f t="shared" si="45"/>
        <v>0</v>
      </c>
      <c r="AX284" s="53">
        <f t="shared" si="46"/>
        <v>5149365177.6000004</v>
      </c>
      <c r="AY284" s="41" t="s">
        <v>557</v>
      </c>
    </row>
    <row r="285" spans="1:51" x14ac:dyDescent="0.2">
      <c r="A285" s="41" t="s">
        <v>227</v>
      </c>
      <c r="B285" s="41">
        <v>1994</v>
      </c>
      <c r="C285" s="41" t="s">
        <v>87</v>
      </c>
      <c r="D285" s="41" t="s">
        <v>220</v>
      </c>
      <c r="E285" s="41">
        <v>100</v>
      </c>
      <c r="F285" s="41" t="s">
        <v>563</v>
      </c>
      <c r="G285" s="53">
        <v>53769000</v>
      </c>
      <c r="H285" s="41">
        <v>0.62</v>
      </c>
      <c r="I285" s="41">
        <v>0.42</v>
      </c>
      <c r="J285" s="41">
        <v>3.12</v>
      </c>
      <c r="K285" s="41">
        <v>4.3999999999999997E-2</v>
      </c>
      <c r="R285" s="53">
        <v>1020700</v>
      </c>
      <c r="S285" s="53">
        <v>304497.14400000003</v>
      </c>
      <c r="T285" s="53">
        <v>15861</v>
      </c>
      <c r="U285" s="53">
        <v>135533.80000000002</v>
      </c>
      <c r="V285" s="53">
        <v>16000</v>
      </c>
      <c r="W285" s="53">
        <v>8727.2639999999992</v>
      </c>
      <c r="AM285" s="53">
        <v>45360000</v>
      </c>
      <c r="AO285" s="53">
        <f t="shared" si="45"/>
        <v>33336780</v>
      </c>
      <c r="AP285" s="53">
        <f t="shared" si="45"/>
        <v>22582980</v>
      </c>
      <c r="AQ285" s="53">
        <f t="shared" si="45"/>
        <v>167759280</v>
      </c>
      <c r="AR285" s="53">
        <f t="shared" ref="AR285:AW308" si="47">$G285*K285</f>
        <v>2365836</v>
      </c>
      <c r="AS285" s="53">
        <f t="shared" si="47"/>
        <v>0</v>
      </c>
      <c r="AT285" s="53">
        <f t="shared" si="47"/>
        <v>0</v>
      </c>
      <c r="AU285" s="53">
        <f t="shared" si="47"/>
        <v>0</v>
      </c>
      <c r="AV285" s="53">
        <f t="shared" si="47"/>
        <v>0</v>
      </c>
      <c r="AW285" s="53">
        <f t="shared" si="47"/>
        <v>0</v>
      </c>
      <c r="AX285" s="53">
        <f t="shared" si="46"/>
        <v>5376900000</v>
      </c>
      <c r="AY285" s="41" t="s">
        <v>557</v>
      </c>
    </row>
    <row r="286" spans="1:51" x14ac:dyDescent="0.2">
      <c r="A286" s="41" t="s">
        <v>227</v>
      </c>
      <c r="B286" s="41">
        <v>1995</v>
      </c>
      <c r="C286" s="41" t="s">
        <v>87</v>
      </c>
      <c r="D286" s="41" t="s">
        <v>220</v>
      </c>
      <c r="E286" s="41">
        <v>100</v>
      </c>
      <c r="F286" s="41" t="s">
        <v>563</v>
      </c>
      <c r="G286" s="53">
        <v>50986000</v>
      </c>
      <c r="H286" s="41">
        <v>0.65</v>
      </c>
      <c r="I286" s="41">
        <v>0.47</v>
      </c>
      <c r="J286" s="41">
        <v>3.29</v>
      </c>
      <c r="K286" s="41">
        <v>5.0999999999999997E-2</v>
      </c>
      <c r="R286" s="53">
        <v>1020100</v>
      </c>
      <c r="S286" s="53">
        <v>301216.70880000002</v>
      </c>
      <c r="T286" s="53">
        <v>16327.5</v>
      </c>
      <c r="U286" s="53">
        <v>136093.6</v>
      </c>
      <c r="V286" s="53">
        <v>19300</v>
      </c>
      <c r="W286" s="53">
        <v>10802.937599999999</v>
      </c>
      <c r="AM286" s="53">
        <v>51471715.68</v>
      </c>
      <c r="AO286" s="53">
        <f t="shared" ref="AO286:AQ308" si="48">$G286*H286</f>
        <v>33140900</v>
      </c>
      <c r="AP286" s="53">
        <f t="shared" si="48"/>
        <v>23963420</v>
      </c>
      <c r="AQ286" s="53">
        <f t="shared" si="48"/>
        <v>167743940</v>
      </c>
      <c r="AR286" s="53">
        <f t="shared" si="47"/>
        <v>2600286</v>
      </c>
      <c r="AS286" s="53">
        <f t="shared" si="47"/>
        <v>0</v>
      </c>
      <c r="AT286" s="53">
        <f t="shared" si="47"/>
        <v>0</v>
      </c>
      <c r="AU286" s="53">
        <f t="shared" si="47"/>
        <v>0</v>
      </c>
      <c r="AV286" s="53">
        <f t="shared" si="47"/>
        <v>0</v>
      </c>
      <c r="AW286" s="53">
        <f t="shared" si="47"/>
        <v>0</v>
      </c>
      <c r="AX286" s="53">
        <f t="shared" si="46"/>
        <v>5098600000</v>
      </c>
      <c r="AY286" s="41" t="s">
        <v>557</v>
      </c>
    </row>
    <row r="287" spans="1:51" x14ac:dyDescent="0.2">
      <c r="A287" s="41" t="s">
        <v>227</v>
      </c>
      <c r="B287" s="41">
        <v>1996</v>
      </c>
      <c r="C287" s="41" t="s">
        <v>87</v>
      </c>
      <c r="D287" s="41" t="s">
        <v>220</v>
      </c>
      <c r="E287" s="41">
        <v>100</v>
      </c>
      <c r="F287" s="41" t="s">
        <v>563</v>
      </c>
      <c r="G287" s="53">
        <v>51102000</v>
      </c>
      <c r="H287" s="41">
        <v>0.61</v>
      </c>
      <c r="I287" s="41">
        <v>0.56000000000000005</v>
      </c>
      <c r="J287" s="46">
        <v>3.5</v>
      </c>
      <c r="K287" s="42">
        <v>0.05</v>
      </c>
      <c r="R287" s="53">
        <v>1003900</v>
      </c>
      <c r="S287" s="53">
        <v>292256.29440000001</v>
      </c>
      <c r="T287" s="53">
        <v>19126.5</v>
      </c>
      <c r="U287" s="53">
        <v>147382.9</v>
      </c>
      <c r="V287" s="53">
        <v>20000</v>
      </c>
      <c r="W287" s="53">
        <v>11165.8176</v>
      </c>
      <c r="AM287" s="53">
        <v>53582316.479999997</v>
      </c>
      <c r="AO287" s="53">
        <f t="shared" si="48"/>
        <v>31172220</v>
      </c>
      <c r="AP287" s="53">
        <f t="shared" si="48"/>
        <v>28617120.000000004</v>
      </c>
      <c r="AQ287" s="53">
        <f t="shared" si="48"/>
        <v>178857000</v>
      </c>
      <c r="AR287" s="53">
        <f t="shared" si="47"/>
        <v>2555100</v>
      </c>
      <c r="AS287" s="53">
        <f t="shared" si="47"/>
        <v>0</v>
      </c>
      <c r="AT287" s="53">
        <f t="shared" si="47"/>
        <v>0</v>
      </c>
      <c r="AU287" s="53">
        <f t="shared" si="47"/>
        <v>0</v>
      </c>
      <c r="AV287" s="53">
        <f t="shared" si="47"/>
        <v>0</v>
      </c>
      <c r="AW287" s="53">
        <f t="shared" si="47"/>
        <v>0</v>
      </c>
      <c r="AX287" s="53">
        <f t="shared" si="46"/>
        <v>5110200000</v>
      </c>
      <c r="AY287" s="41" t="s">
        <v>557</v>
      </c>
    </row>
    <row r="288" spans="1:51" x14ac:dyDescent="0.2">
      <c r="A288" s="41" t="s">
        <v>227</v>
      </c>
      <c r="B288" s="41">
        <v>1997</v>
      </c>
      <c r="C288" s="41" t="s">
        <v>87</v>
      </c>
      <c r="D288" s="41" t="s">
        <v>220</v>
      </c>
      <c r="E288" s="41">
        <v>100</v>
      </c>
      <c r="F288" s="41" t="s">
        <v>563</v>
      </c>
      <c r="G288" s="53">
        <v>53373000</v>
      </c>
      <c r="H288" s="62">
        <v>0.61</v>
      </c>
      <c r="I288" s="62">
        <v>0.53</v>
      </c>
      <c r="J288" s="62">
        <v>3.45</v>
      </c>
      <c r="K288" s="96">
        <v>4.9000000000000002E-2</v>
      </c>
      <c r="R288" s="53">
        <v>1048000</v>
      </c>
      <c r="S288" s="53">
        <v>305102.2464</v>
      </c>
      <c r="T288" s="53">
        <v>18753.3</v>
      </c>
      <c r="U288" s="53">
        <v>152887.6</v>
      </c>
      <c r="V288" s="53">
        <v>19900</v>
      </c>
      <c r="W288" s="53">
        <v>11075.097600000001</v>
      </c>
      <c r="AM288" s="53">
        <v>64272035.520000003</v>
      </c>
      <c r="AO288" s="53">
        <f t="shared" si="48"/>
        <v>32557530</v>
      </c>
      <c r="AP288" s="53">
        <f t="shared" si="48"/>
        <v>28287690</v>
      </c>
      <c r="AQ288" s="53">
        <f t="shared" si="48"/>
        <v>184136850</v>
      </c>
      <c r="AR288" s="53">
        <f t="shared" si="47"/>
        <v>2615277</v>
      </c>
      <c r="AS288" s="53">
        <f t="shared" si="47"/>
        <v>0</v>
      </c>
      <c r="AT288" s="53">
        <f t="shared" si="47"/>
        <v>0</v>
      </c>
      <c r="AU288" s="53">
        <f t="shared" si="47"/>
        <v>0</v>
      </c>
      <c r="AV288" s="53">
        <f t="shared" si="47"/>
        <v>0</v>
      </c>
      <c r="AW288" s="53">
        <f t="shared" si="47"/>
        <v>0</v>
      </c>
      <c r="AX288" s="53">
        <f t="shared" si="46"/>
        <v>5337300000</v>
      </c>
      <c r="AY288" s="41" t="s">
        <v>557</v>
      </c>
    </row>
    <row r="289" spans="1:51" x14ac:dyDescent="0.2">
      <c r="A289" s="41" t="s">
        <v>227</v>
      </c>
      <c r="B289" s="41">
        <v>1998</v>
      </c>
      <c r="C289" s="41" t="s">
        <v>87</v>
      </c>
      <c r="D289" s="41" t="s">
        <v>220</v>
      </c>
      <c r="E289" s="41">
        <v>100</v>
      </c>
      <c r="F289" s="41" t="s">
        <v>563</v>
      </c>
      <c r="G289" s="53">
        <v>52297000</v>
      </c>
      <c r="H289" s="62">
        <v>0.62</v>
      </c>
      <c r="I289" s="62">
        <v>0.33</v>
      </c>
      <c r="J289" s="62">
        <v>3.29</v>
      </c>
      <c r="K289" s="96">
        <v>3.4000000000000002E-2</v>
      </c>
      <c r="R289" s="53">
        <v>1101000</v>
      </c>
      <c r="S289" s="53">
        <v>298202.08319999999</v>
      </c>
      <c r="T289" s="53">
        <v>11382.6</v>
      </c>
      <c r="U289" s="53">
        <v>132081.70000000001</v>
      </c>
      <c r="V289" s="53">
        <v>11900</v>
      </c>
      <c r="W289" s="53">
        <v>6333.1632</v>
      </c>
      <c r="AM289" s="53">
        <v>75884497.617599994</v>
      </c>
      <c r="AO289" s="53">
        <f t="shared" si="48"/>
        <v>32424140</v>
      </c>
      <c r="AP289" s="53">
        <f t="shared" si="48"/>
        <v>17258010</v>
      </c>
      <c r="AQ289" s="53">
        <f t="shared" si="48"/>
        <v>172057130</v>
      </c>
      <c r="AR289" s="53">
        <f t="shared" si="47"/>
        <v>1778098.0000000002</v>
      </c>
      <c r="AS289" s="53">
        <f t="shared" si="47"/>
        <v>0</v>
      </c>
      <c r="AT289" s="53">
        <f t="shared" si="47"/>
        <v>0</v>
      </c>
      <c r="AU289" s="53">
        <f t="shared" si="47"/>
        <v>0</v>
      </c>
      <c r="AV289" s="53">
        <f t="shared" si="47"/>
        <v>0</v>
      </c>
      <c r="AW289" s="53">
        <f t="shared" si="47"/>
        <v>0</v>
      </c>
      <c r="AX289" s="53">
        <f t="shared" si="46"/>
        <v>5229700000</v>
      </c>
      <c r="AY289" s="41" t="s">
        <v>557</v>
      </c>
    </row>
    <row r="290" spans="1:51" x14ac:dyDescent="0.2">
      <c r="A290" s="41" t="s">
        <v>227</v>
      </c>
      <c r="B290" s="41">
        <v>1999</v>
      </c>
      <c r="C290" s="41" t="s">
        <v>87</v>
      </c>
      <c r="D290" s="41" t="s">
        <v>220</v>
      </c>
      <c r="E290" s="41">
        <v>100</v>
      </c>
      <c r="F290" s="41" t="s">
        <v>563</v>
      </c>
      <c r="G290" s="53">
        <v>56595000</v>
      </c>
      <c r="H290" s="62">
        <v>0.55000000000000004</v>
      </c>
      <c r="I290" s="88">
        <v>0.3</v>
      </c>
      <c r="J290" s="62">
        <v>2.85</v>
      </c>
      <c r="K290" s="96">
        <v>3.3000000000000002E-2</v>
      </c>
      <c r="R290" s="53">
        <v>1051000</v>
      </c>
      <c r="S290" s="53">
        <v>279301.47840000002</v>
      </c>
      <c r="T290" s="53">
        <v>11413.7</v>
      </c>
      <c r="U290" s="53">
        <v>120014.90000000001</v>
      </c>
      <c r="V290" s="53">
        <v>11800</v>
      </c>
      <c r="W290" s="53">
        <v>6333.1632</v>
      </c>
      <c r="AM290" s="53">
        <v>94285618.055999994</v>
      </c>
      <c r="AO290" s="53">
        <f t="shared" si="48"/>
        <v>31127250.000000004</v>
      </c>
      <c r="AP290" s="53">
        <f t="shared" si="48"/>
        <v>16978500</v>
      </c>
      <c r="AQ290" s="53">
        <f t="shared" si="48"/>
        <v>161295750</v>
      </c>
      <c r="AR290" s="53">
        <f t="shared" si="47"/>
        <v>1867635</v>
      </c>
      <c r="AS290" s="53">
        <f t="shared" si="47"/>
        <v>0</v>
      </c>
      <c r="AT290" s="53">
        <f t="shared" si="47"/>
        <v>0</v>
      </c>
      <c r="AU290" s="53">
        <f t="shared" si="47"/>
        <v>0</v>
      </c>
      <c r="AV290" s="53">
        <f t="shared" si="47"/>
        <v>0</v>
      </c>
      <c r="AW290" s="53">
        <f t="shared" si="47"/>
        <v>0</v>
      </c>
      <c r="AX290" s="53">
        <f t="shared" si="46"/>
        <v>5659500000</v>
      </c>
      <c r="AY290" s="41" t="s">
        <v>557</v>
      </c>
    </row>
    <row r="291" spans="1:51" x14ac:dyDescent="0.2">
      <c r="A291" s="41" t="s">
        <v>227</v>
      </c>
      <c r="B291" s="41">
        <v>2000</v>
      </c>
      <c r="C291" s="41" t="s">
        <v>87</v>
      </c>
      <c r="D291" s="41" t="s">
        <v>220</v>
      </c>
      <c r="E291" s="41">
        <v>100</v>
      </c>
      <c r="F291" s="41" t="s">
        <v>563</v>
      </c>
      <c r="G291" s="53">
        <v>58662000</v>
      </c>
      <c r="H291" s="62">
        <v>0.56999999999999995</v>
      </c>
      <c r="I291" s="62">
        <v>0.42</v>
      </c>
      <c r="J291" s="62">
        <v>2.77</v>
      </c>
      <c r="K291" s="96">
        <v>4.2000000000000003E-2</v>
      </c>
      <c r="R291" s="53">
        <v>1137000</v>
      </c>
      <c r="S291" s="53">
        <v>295701.84000000003</v>
      </c>
      <c r="T291" s="53">
        <v>16451.900000000001</v>
      </c>
      <c r="U291" s="53">
        <v>122502.90000000001</v>
      </c>
      <c r="V291" s="53">
        <v>18400</v>
      </c>
      <c r="W291" s="53">
        <v>10089.8784</v>
      </c>
      <c r="AM291" s="53">
        <v>95390625.758400008</v>
      </c>
      <c r="AO291" s="53">
        <f t="shared" si="48"/>
        <v>33437339.999999996</v>
      </c>
      <c r="AP291" s="53">
        <f t="shared" si="48"/>
        <v>24638040</v>
      </c>
      <c r="AQ291" s="53">
        <f t="shared" si="48"/>
        <v>162493740</v>
      </c>
      <c r="AR291" s="53">
        <f t="shared" si="47"/>
        <v>2463804</v>
      </c>
      <c r="AS291" s="53">
        <f t="shared" si="47"/>
        <v>0</v>
      </c>
      <c r="AT291" s="53">
        <f t="shared" si="47"/>
        <v>0</v>
      </c>
      <c r="AU291" s="53">
        <f t="shared" si="47"/>
        <v>0</v>
      </c>
      <c r="AV291" s="53">
        <f t="shared" si="47"/>
        <v>0</v>
      </c>
      <c r="AW291" s="53">
        <f t="shared" si="47"/>
        <v>0</v>
      </c>
      <c r="AX291" s="53">
        <f t="shared" si="46"/>
        <v>5866200000</v>
      </c>
      <c r="AY291" s="41" t="s">
        <v>557</v>
      </c>
    </row>
    <row r="292" spans="1:51" x14ac:dyDescent="0.2">
      <c r="A292" s="41" t="s">
        <v>227</v>
      </c>
      <c r="B292" s="41">
        <v>2001</v>
      </c>
      <c r="C292" s="41" t="s">
        <v>87</v>
      </c>
      <c r="D292" s="41" t="s">
        <v>220</v>
      </c>
      <c r="E292" s="41">
        <v>100</v>
      </c>
      <c r="F292" s="41" t="s">
        <v>563</v>
      </c>
      <c r="G292" s="53">
        <v>48566000</v>
      </c>
      <c r="H292" s="62">
        <v>0.73</v>
      </c>
      <c r="I292" s="62">
        <v>0.54</v>
      </c>
      <c r="J292" s="62">
        <v>3.67</v>
      </c>
      <c r="K292" s="96">
        <v>4.2000000000000003E-2</v>
      </c>
      <c r="R292" s="53">
        <v>1108000</v>
      </c>
      <c r="S292" s="53">
        <v>311929.83360000001</v>
      </c>
      <c r="T292" s="53">
        <v>18411.2</v>
      </c>
      <c r="U292" s="53">
        <v>139172.5</v>
      </c>
      <c r="V292" s="53">
        <v>14500</v>
      </c>
      <c r="W292" s="53">
        <v>8107.6463999999996</v>
      </c>
      <c r="AM292" s="53">
        <v>111312427.56479999</v>
      </c>
      <c r="AO292" s="53">
        <f t="shared" si="48"/>
        <v>35453180</v>
      </c>
      <c r="AP292" s="53">
        <f t="shared" si="48"/>
        <v>26225640</v>
      </c>
      <c r="AQ292" s="53">
        <f t="shared" si="48"/>
        <v>178237220</v>
      </c>
      <c r="AR292" s="53">
        <f t="shared" si="47"/>
        <v>2039772.0000000002</v>
      </c>
      <c r="AS292" s="53">
        <f t="shared" si="47"/>
        <v>0</v>
      </c>
      <c r="AT292" s="53">
        <f t="shared" si="47"/>
        <v>0</v>
      </c>
      <c r="AU292" s="53">
        <f t="shared" si="47"/>
        <v>0</v>
      </c>
      <c r="AV292" s="53">
        <f t="shared" si="47"/>
        <v>0</v>
      </c>
      <c r="AW292" s="53">
        <f t="shared" si="47"/>
        <v>0</v>
      </c>
      <c r="AX292" s="53">
        <f t="shared" si="46"/>
        <v>4856600000</v>
      </c>
      <c r="AY292" s="41" t="s">
        <v>557</v>
      </c>
    </row>
    <row r="293" spans="1:51" x14ac:dyDescent="0.2">
      <c r="A293" s="41" t="s">
        <v>227</v>
      </c>
      <c r="B293" s="41">
        <v>2002</v>
      </c>
      <c r="C293" s="41" t="s">
        <v>87</v>
      </c>
      <c r="D293" s="41" t="s">
        <v>220</v>
      </c>
      <c r="E293" s="41">
        <v>100</v>
      </c>
      <c r="F293" s="41" t="s">
        <v>563</v>
      </c>
      <c r="G293" s="53">
        <v>40720000</v>
      </c>
      <c r="H293" s="62">
        <v>0.69</v>
      </c>
      <c r="I293" s="62">
        <v>0.44</v>
      </c>
      <c r="J293" s="62">
        <v>3.42</v>
      </c>
      <c r="K293" s="96">
        <v>3.4000000000000002E-2</v>
      </c>
      <c r="R293" s="53">
        <v>992000</v>
      </c>
      <c r="S293" s="53">
        <v>259692.3504</v>
      </c>
      <c r="T293" s="53">
        <v>12813.2</v>
      </c>
      <c r="U293" s="53">
        <v>113919.3</v>
      </c>
      <c r="V293" s="53">
        <v>11200</v>
      </c>
      <c r="W293" s="53">
        <v>6051.9312</v>
      </c>
      <c r="AM293" s="53">
        <v>108833245.01280001</v>
      </c>
      <c r="AO293" s="53">
        <f t="shared" si="48"/>
        <v>28096799.999999996</v>
      </c>
      <c r="AP293" s="53">
        <f t="shared" si="48"/>
        <v>17916800</v>
      </c>
      <c r="AQ293" s="53">
        <f t="shared" si="48"/>
        <v>139262400</v>
      </c>
      <c r="AR293" s="53">
        <f t="shared" si="47"/>
        <v>1384480</v>
      </c>
      <c r="AS293" s="53">
        <f t="shared" si="47"/>
        <v>0</v>
      </c>
      <c r="AT293" s="53">
        <f t="shared" si="47"/>
        <v>0</v>
      </c>
      <c r="AU293" s="53">
        <f t="shared" si="47"/>
        <v>0</v>
      </c>
      <c r="AV293" s="53">
        <f t="shared" si="47"/>
        <v>0</v>
      </c>
      <c r="AW293" s="53">
        <f t="shared" si="47"/>
        <v>0</v>
      </c>
      <c r="AX293" s="53">
        <f t="shared" si="46"/>
        <v>4072000000</v>
      </c>
      <c r="AY293" s="41" t="s">
        <v>557</v>
      </c>
    </row>
    <row r="294" spans="1:51" x14ac:dyDescent="0.2">
      <c r="A294" s="41" t="s">
        <v>227</v>
      </c>
      <c r="B294" s="41">
        <v>2003</v>
      </c>
      <c r="C294" s="41" t="s">
        <v>87</v>
      </c>
      <c r="D294" s="41" t="s">
        <v>220</v>
      </c>
      <c r="E294" s="41">
        <v>100</v>
      </c>
      <c r="F294" s="41" t="s">
        <v>563</v>
      </c>
      <c r="G294" s="53">
        <v>46105000</v>
      </c>
      <c r="H294" s="62">
        <v>0.67</v>
      </c>
      <c r="I294" s="62">
        <v>0.28999999999999998</v>
      </c>
      <c r="J294" s="62">
        <v>3.02</v>
      </c>
      <c r="K294" s="96">
        <v>2.7E-2</v>
      </c>
      <c r="R294" s="53">
        <v>1147000</v>
      </c>
      <c r="S294" s="53">
        <v>281152.16639999999</v>
      </c>
      <c r="T294" s="53">
        <v>9485.5</v>
      </c>
      <c r="U294" s="53">
        <v>110342.8</v>
      </c>
      <c r="V294" s="53">
        <v>8800</v>
      </c>
      <c r="W294" s="53">
        <v>4618.5551999999998</v>
      </c>
      <c r="AM294" s="53">
        <v>85563340.027199998</v>
      </c>
      <c r="AO294" s="53">
        <f t="shared" si="48"/>
        <v>30890350</v>
      </c>
      <c r="AP294" s="53">
        <f t="shared" si="48"/>
        <v>13370450</v>
      </c>
      <c r="AQ294" s="53">
        <f t="shared" si="48"/>
        <v>139237100</v>
      </c>
      <c r="AR294" s="53">
        <f t="shared" si="47"/>
        <v>1244835</v>
      </c>
      <c r="AS294" s="53">
        <f t="shared" si="47"/>
        <v>0</v>
      </c>
      <c r="AT294" s="53">
        <f t="shared" si="47"/>
        <v>0</v>
      </c>
      <c r="AU294" s="53">
        <f t="shared" si="47"/>
        <v>0</v>
      </c>
      <c r="AV294" s="53">
        <f t="shared" si="47"/>
        <v>0</v>
      </c>
      <c r="AW294" s="53">
        <f t="shared" si="47"/>
        <v>0</v>
      </c>
      <c r="AX294" s="53">
        <f t="shared" si="46"/>
        <v>4610500000</v>
      </c>
      <c r="AY294" s="41" t="s">
        <v>557</v>
      </c>
    </row>
    <row r="295" spans="1:51" x14ac:dyDescent="0.2">
      <c r="A295" s="41" t="s">
        <v>227</v>
      </c>
      <c r="B295" s="41">
        <v>2004</v>
      </c>
      <c r="C295" s="41" t="s">
        <v>87</v>
      </c>
      <c r="D295" s="41" t="s">
        <v>220</v>
      </c>
      <c r="E295" s="41">
        <v>100</v>
      </c>
      <c r="F295" s="41" t="s">
        <v>563</v>
      </c>
      <c r="G295" s="53">
        <v>45712000</v>
      </c>
      <c r="H295" s="62">
        <v>0.63</v>
      </c>
      <c r="I295" s="62">
        <v>0.28999999999999998</v>
      </c>
      <c r="J295" s="62">
        <v>3.04</v>
      </c>
      <c r="K295" s="96">
        <v>3.3000000000000002E-2</v>
      </c>
      <c r="R295" s="53">
        <v>1106000</v>
      </c>
      <c r="S295" s="53">
        <v>263749.34879999998</v>
      </c>
      <c r="T295" s="53">
        <v>9578.8000000000011</v>
      </c>
      <c r="U295" s="53">
        <v>111462.40000000001</v>
      </c>
      <c r="V295" s="53">
        <v>12900</v>
      </c>
      <c r="W295" s="53">
        <v>6794.9279999999999</v>
      </c>
      <c r="AM295" s="53">
        <v>83499694.991999999</v>
      </c>
      <c r="AO295" s="53">
        <f t="shared" si="48"/>
        <v>28798560</v>
      </c>
      <c r="AP295" s="53">
        <f t="shared" si="48"/>
        <v>13256480</v>
      </c>
      <c r="AQ295" s="53">
        <f t="shared" si="48"/>
        <v>138964480</v>
      </c>
      <c r="AR295" s="53">
        <f t="shared" si="47"/>
        <v>1508496</v>
      </c>
      <c r="AS295" s="53">
        <f t="shared" si="47"/>
        <v>0</v>
      </c>
      <c r="AT295" s="53">
        <f t="shared" si="47"/>
        <v>0</v>
      </c>
      <c r="AU295" s="53">
        <f t="shared" si="47"/>
        <v>0</v>
      </c>
      <c r="AV295" s="53">
        <f t="shared" si="47"/>
        <v>0</v>
      </c>
      <c r="AW295" s="53">
        <f t="shared" si="47"/>
        <v>0</v>
      </c>
      <c r="AX295" s="53">
        <f t="shared" si="46"/>
        <v>4571200000</v>
      </c>
      <c r="AY295" s="41" t="s">
        <v>557</v>
      </c>
    </row>
    <row r="296" spans="1:51" x14ac:dyDescent="0.2">
      <c r="A296" s="41" t="s">
        <v>227</v>
      </c>
      <c r="B296" s="41">
        <v>2005</v>
      </c>
      <c r="C296" s="41" t="s">
        <v>87</v>
      </c>
      <c r="D296" s="41" t="s">
        <v>220</v>
      </c>
      <c r="E296" s="41">
        <v>100</v>
      </c>
      <c r="F296" s="41" t="s">
        <v>563</v>
      </c>
      <c r="G296" s="53">
        <v>46664000</v>
      </c>
      <c r="H296" s="62">
        <v>0.53</v>
      </c>
      <c r="I296" s="62">
        <v>0.37</v>
      </c>
      <c r="J296" s="62">
        <v>3.23</v>
      </c>
      <c r="K296" s="96">
        <v>5.8000000000000003E-2</v>
      </c>
      <c r="R296" s="53">
        <v>881000</v>
      </c>
      <c r="S296" s="53">
        <v>220741.71840000001</v>
      </c>
      <c r="T296" s="53">
        <v>12471.1</v>
      </c>
      <c r="U296" s="53">
        <v>123093.8</v>
      </c>
      <c r="V296" s="53">
        <v>29500</v>
      </c>
      <c r="W296" s="53">
        <v>15602.9328</v>
      </c>
      <c r="AM296" s="53">
        <v>94258080</v>
      </c>
      <c r="AO296" s="53">
        <f t="shared" si="48"/>
        <v>24731920</v>
      </c>
      <c r="AP296" s="53">
        <f t="shared" si="48"/>
        <v>17265680</v>
      </c>
      <c r="AQ296" s="53">
        <f t="shared" si="48"/>
        <v>150724720</v>
      </c>
      <c r="AR296" s="53">
        <f t="shared" si="47"/>
        <v>2706512</v>
      </c>
      <c r="AS296" s="53">
        <f t="shared" si="47"/>
        <v>0</v>
      </c>
      <c r="AT296" s="53">
        <f t="shared" si="47"/>
        <v>0</v>
      </c>
      <c r="AU296" s="53">
        <f t="shared" si="47"/>
        <v>0</v>
      </c>
      <c r="AV296" s="53">
        <f t="shared" si="47"/>
        <v>0</v>
      </c>
      <c r="AW296" s="53">
        <f t="shared" si="47"/>
        <v>0</v>
      </c>
      <c r="AX296" s="53">
        <f t="shared" si="46"/>
        <v>4666400000</v>
      </c>
      <c r="AY296" s="41" t="s">
        <v>557</v>
      </c>
    </row>
    <row r="297" spans="1:51" x14ac:dyDescent="0.2">
      <c r="A297" s="41" t="s">
        <v>227</v>
      </c>
      <c r="B297" s="41">
        <v>2006</v>
      </c>
      <c r="C297" s="41" t="s">
        <v>87</v>
      </c>
      <c r="D297" s="41" t="s">
        <v>220</v>
      </c>
      <c r="E297" s="41">
        <v>100</v>
      </c>
      <c r="F297" s="41" t="s">
        <v>563</v>
      </c>
      <c r="G297" s="53">
        <v>47857000</v>
      </c>
      <c r="H297" s="62">
        <v>0.63</v>
      </c>
      <c r="I297" s="62">
        <v>0.49</v>
      </c>
      <c r="J297" s="88">
        <v>3.5</v>
      </c>
      <c r="K297" s="96">
        <v>5.7000000000000002E-2</v>
      </c>
      <c r="R297" s="53">
        <v>1019000</v>
      </c>
      <c r="S297" s="53">
        <v>265649.93280000001</v>
      </c>
      <c r="T297" s="53">
        <v>16265.300000000001</v>
      </c>
      <c r="U297" s="53">
        <v>131055.40000000001</v>
      </c>
      <c r="V297" s="53">
        <v>30200</v>
      </c>
      <c r="W297" s="53">
        <v>16803.1584</v>
      </c>
      <c r="AM297" s="53">
        <v>92897280</v>
      </c>
      <c r="AO297" s="53">
        <f t="shared" si="48"/>
        <v>30149910</v>
      </c>
      <c r="AP297" s="53">
        <f t="shared" si="48"/>
        <v>23449930</v>
      </c>
      <c r="AQ297" s="53">
        <f t="shared" si="48"/>
        <v>167499500</v>
      </c>
      <c r="AR297" s="53">
        <f t="shared" si="47"/>
        <v>2727849</v>
      </c>
      <c r="AS297" s="53">
        <f t="shared" si="47"/>
        <v>0</v>
      </c>
      <c r="AT297" s="53">
        <f t="shared" si="47"/>
        <v>0</v>
      </c>
      <c r="AU297" s="53">
        <f t="shared" si="47"/>
        <v>0</v>
      </c>
      <c r="AV297" s="53">
        <f t="shared" si="47"/>
        <v>0</v>
      </c>
      <c r="AW297" s="53">
        <f t="shared" si="47"/>
        <v>0</v>
      </c>
      <c r="AX297" s="53">
        <f t="shared" si="46"/>
        <v>4785700000</v>
      </c>
      <c r="AY297" s="41" t="s">
        <v>557</v>
      </c>
    </row>
    <row r="298" spans="1:51" x14ac:dyDescent="0.2">
      <c r="A298" s="41" t="s">
        <v>227</v>
      </c>
      <c r="B298" s="41">
        <v>2007</v>
      </c>
      <c r="C298" s="41" t="s">
        <v>87</v>
      </c>
      <c r="D298" s="41" t="s">
        <v>220</v>
      </c>
      <c r="E298" s="41">
        <v>100</v>
      </c>
      <c r="F298" s="41" t="s">
        <v>563</v>
      </c>
      <c r="G298" s="53">
        <v>47525000</v>
      </c>
      <c r="H298" s="62">
        <v>0.53</v>
      </c>
      <c r="I298" s="62">
        <v>0.38</v>
      </c>
      <c r="J298" s="88">
        <v>3</v>
      </c>
      <c r="K298" s="97">
        <v>0.05</v>
      </c>
      <c r="R298" s="53">
        <v>889000</v>
      </c>
      <c r="S298" s="53">
        <v>212240.34719999999</v>
      </c>
      <c r="T298" s="53">
        <v>12346.7</v>
      </c>
      <c r="U298" s="53">
        <v>108445.70000000001</v>
      </c>
      <c r="V298" s="53">
        <v>26600</v>
      </c>
      <c r="W298" s="53">
        <v>14902.5744</v>
      </c>
      <c r="AM298" s="53">
        <v>94802400</v>
      </c>
      <c r="AO298" s="53">
        <f t="shared" si="48"/>
        <v>25188250</v>
      </c>
      <c r="AP298" s="53">
        <f t="shared" si="48"/>
        <v>18059500</v>
      </c>
      <c r="AQ298" s="53">
        <f t="shared" si="48"/>
        <v>142575000</v>
      </c>
      <c r="AR298" s="53">
        <f t="shared" si="47"/>
        <v>2376250</v>
      </c>
      <c r="AS298" s="53">
        <f t="shared" si="47"/>
        <v>0</v>
      </c>
      <c r="AT298" s="53">
        <f t="shared" si="47"/>
        <v>0</v>
      </c>
      <c r="AU298" s="53">
        <f t="shared" si="47"/>
        <v>0</v>
      </c>
      <c r="AV298" s="53">
        <f t="shared" si="47"/>
        <v>0</v>
      </c>
      <c r="AW298" s="53">
        <f t="shared" si="47"/>
        <v>0</v>
      </c>
      <c r="AX298" s="53">
        <f t="shared" si="46"/>
        <v>4752500000</v>
      </c>
      <c r="AY298" s="41" t="s">
        <v>557</v>
      </c>
    </row>
    <row r="299" spans="1:51" x14ac:dyDescent="0.2">
      <c r="A299" s="41" t="s">
        <v>227</v>
      </c>
      <c r="B299" s="41">
        <v>2008</v>
      </c>
      <c r="C299" s="41" t="s">
        <v>87</v>
      </c>
      <c r="D299" s="41" t="s">
        <v>220</v>
      </c>
      <c r="E299" s="41">
        <v>100</v>
      </c>
      <c r="F299" s="41" t="s">
        <v>563</v>
      </c>
      <c r="G299" s="53">
        <v>49134000</v>
      </c>
      <c r="H299" s="62">
        <v>0.57999999999999996</v>
      </c>
      <c r="I299" s="62">
        <v>0.35</v>
      </c>
      <c r="J299" s="96">
        <v>2.97</v>
      </c>
      <c r="K299" s="96">
        <v>4.1000000000000002E-2</v>
      </c>
      <c r="R299" s="53">
        <v>931000</v>
      </c>
      <c r="S299" s="53">
        <v>238044.74400000001</v>
      </c>
      <c r="T299" s="53">
        <v>11444.800000000001</v>
      </c>
      <c r="U299" s="53">
        <v>106175.40000000001</v>
      </c>
      <c r="V299" s="53">
        <v>19400</v>
      </c>
      <c r="W299" s="53">
        <v>11631.2112</v>
      </c>
      <c r="AM299" s="53">
        <v>104646427.2</v>
      </c>
      <c r="AO299" s="53">
        <f t="shared" si="48"/>
        <v>28497719.999999996</v>
      </c>
      <c r="AP299" s="53">
        <f t="shared" si="48"/>
        <v>17196900</v>
      </c>
      <c r="AQ299" s="53">
        <f t="shared" si="48"/>
        <v>145927980</v>
      </c>
      <c r="AR299" s="53">
        <f t="shared" si="47"/>
        <v>2014494</v>
      </c>
      <c r="AS299" s="53">
        <f t="shared" si="47"/>
        <v>0</v>
      </c>
      <c r="AT299" s="53">
        <f t="shared" si="47"/>
        <v>0</v>
      </c>
      <c r="AU299" s="53">
        <f t="shared" si="47"/>
        <v>0</v>
      </c>
      <c r="AV299" s="53">
        <f t="shared" si="47"/>
        <v>0</v>
      </c>
      <c r="AW299" s="53">
        <f t="shared" si="47"/>
        <v>0</v>
      </c>
      <c r="AX299" s="53">
        <f t="shared" si="46"/>
        <v>4913400000</v>
      </c>
      <c r="AY299" s="41" t="s">
        <v>557</v>
      </c>
    </row>
    <row r="300" spans="1:51" x14ac:dyDescent="0.2">
      <c r="A300" s="41" t="s">
        <v>227</v>
      </c>
      <c r="B300" s="41">
        <v>2009</v>
      </c>
      <c r="C300" s="41" t="s">
        <v>87</v>
      </c>
      <c r="D300" s="41" t="s">
        <v>220</v>
      </c>
      <c r="E300" s="41">
        <v>100</v>
      </c>
      <c r="F300" s="41" t="s">
        <v>563</v>
      </c>
      <c r="G300" s="53">
        <v>52856000</v>
      </c>
      <c r="H300" s="62">
        <v>0.64</v>
      </c>
      <c r="I300" s="62">
        <v>0.48</v>
      </c>
      <c r="J300" s="96">
        <v>3.54</v>
      </c>
      <c r="K300" s="96">
        <v>3.7999999999999999E-2</v>
      </c>
      <c r="R300" s="53">
        <v>1028000</v>
      </c>
      <c r="S300" s="53">
        <v>303557.28480000002</v>
      </c>
      <c r="T300" s="53">
        <v>18100.2</v>
      </c>
      <c r="U300" s="53">
        <v>151488.1</v>
      </c>
      <c r="V300" s="53">
        <v>21600</v>
      </c>
      <c r="W300" s="53">
        <v>11291.011200000001</v>
      </c>
      <c r="AM300" s="53">
        <v>112492800</v>
      </c>
      <c r="AO300" s="53">
        <f t="shared" si="48"/>
        <v>33827840</v>
      </c>
      <c r="AP300" s="53">
        <f t="shared" si="48"/>
        <v>25370880</v>
      </c>
      <c r="AQ300" s="53">
        <f t="shared" si="48"/>
        <v>187110240</v>
      </c>
      <c r="AR300" s="53">
        <f t="shared" si="47"/>
        <v>2008528</v>
      </c>
      <c r="AS300" s="53">
        <f t="shared" si="47"/>
        <v>0</v>
      </c>
      <c r="AT300" s="53">
        <f t="shared" si="47"/>
        <v>0</v>
      </c>
      <c r="AU300" s="53">
        <f t="shared" si="47"/>
        <v>0</v>
      </c>
      <c r="AV300" s="53">
        <f t="shared" si="47"/>
        <v>0</v>
      </c>
      <c r="AW300" s="53">
        <f t="shared" si="47"/>
        <v>0</v>
      </c>
      <c r="AX300" s="53">
        <f t="shared" si="46"/>
        <v>5285600000</v>
      </c>
      <c r="AY300" s="41" t="s">
        <v>557</v>
      </c>
    </row>
    <row r="301" spans="1:51" x14ac:dyDescent="0.2">
      <c r="A301" s="41" t="s">
        <v>227</v>
      </c>
      <c r="B301" s="41">
        <v>2010</v>
      </c>
      <c r="C301" s="41" t="s">
        <v>87</v>
      </c>
      <c r="D301" s="41" t="s">
        <v>220</v>
      </c>
      <c r="E301" s="41">
        <v>100</v>
      </c>
      <c r="F301" s="41" t="s">
        <v>563</v>
      </c>
      <c r="G301" s="53">
        <v>53551000</v>
      </c>
      <c r="H301" s="62">
        <v>0.53</v>
      </c>
      <c r="I301" s="62">
        <v>0.38</v>
      </c>
      <c r="J301" s="96">
        <v>2.82</v>
      </c>
      <c r="K301" s="96">
        <v>4.4999999999999998E-2</v>
      </c>
      <c r="R301" s="53">
        <v>968000</v>
      </c>
      <c r="S301" s="53">
        <v>249847.416</v>
      </c>
      <c r="T301" s="53">
        <v>14492.6</v>
      </c>
      <c r="U301" s="53">
        <v>116749.40000000001</v>
      </c>
      <c r="V301" s="53">
        <v>24700</v>
      </c>
      <c r="W301" s="53">
        <v>12902.198399999999</v>
      </c>
      <c r="AM301" s="53">
        <v>129561381.5328</v>
      </c>
      <c r="AO301" s="53">
        <f t="shared" si="48"/>
        <v>28382030</v>
      </c>
      <c r="AP301" s="53">
        <f t="shared" si="48"/>
        <v>20349380</v>
      </c>
      <c r="AQ301" s="53">
        <f t="shared" si="48"/>
        <v>151013820</v>
      </c>
      <c r="AR301" s="53">
        <f t="shared" si="47"/>
        <v>2409795</v>
      </c>
      <c r="AS301" s="53">
        <f t="shared" si="47"/>
        <v>0</v>
      </c>
      <c r="AT301" s="53">
        <f t="shared" si="47"/>
        <v>0</v>
      </c>
      <c r="AU301" s="53">
        <f t="shared" si="47"/>
        <v>0</v>
      </c>
      <c r="AV301" s="53">
        <f t="shared" si="47"/>
        <v>0</v>
      </c>
      <c r="AW301" s="53">
        <f t="shared" si="47"/>
        <v>0</v>
      </c>
      <c r="AX301" s="53">
        <f t="shared" si="46"/>
        <v>5355100000</v>
      </c>
      <c r="AY301" s="41" t="s">
        <v>557</v>
      </c>
    </row>
    <row r="302" spans="1:51" x14ac:dyDescent="0.2">
      <c r="A302" s="41" t="s">
        <v>227</v>
      </c>
      <c r="B302" s="41">
        <v>2011</v>
      </c>
      <c r="C302" s="41" t="s">
        <v>87</v>
      </c>
      <c r="D302" s="41" t="s">
        <v>220</v>
      </c>
      <c r="E302" s="41">
        <v>100</v>
      </c>
      <c r="F302" s="41" t="s">
        <v>563</v>
      </c>
      <c r="G302" s="53">
        <v>53131000</v>
      </c>
      <c r="H302" s="62">
        <v>0.43</v>
      </c>
      <c r="I302" s="62">
        <v>0.32</v>
      </c>
      <c r="J302" s="88">
        <v>2.5</v>
      </c>
      <c r="K302" s="96">
        <v>4.4999999999999998E-2</v>
      </c>
      <c r="R302" s="53">
        <v>802000</v>
      </c>
      <c r="S302" s="53">
        <v>195037.11360000001</v>
      </c>
      <c r="T302" s="53">
        <v>8832.4</v>
      </c>
      <c r="U302" s="53">
        <v>92553.600000000006</v>
      </c>
      <c r="V302" s="53">
        <v>13600</v>
      </c>
      <c r="W302" s="53">
        <v>13602.5568</v>
      </c>
      <c r="AM302" s="53">
        <v>130017536.208</v>
      </c>
      <c r="AO302" s="53">
        <f t="shared" si="48"/>
        <v>22846330</v>
      </c>
      <c r="AP302" s="53">
        <f t="shared" si="48"/>
        <v>17001920</v>
      </c>
      <c r="AQ302" s="53">
        <f t="shared" si="48"/>
        <v>132827500</v>
      </c>
      <c r="AR302" s="53">
        <f t="shared" si="47"/>
        <v>2390895</v>
      </c>
      <c r="AS302" s="53">
        <f t="shared" si="47"/>
        <v>0</v>
      </c>
      <c r="AT302" s="53">
        <f t="shared" si="47"/>
        <v>0</v>
      </c>
      <c r="AU302" s="53">
        <f t="shared" si="47"/>
        <v>0</v>
      </c>
      <c r="AV302" s="53">
        <f t="shared" si="47"/>
        <v>0</v>
      </c>
      <c r="AW302" s="53">
        <f t="shared" si="47"/>
        <v>0</v>
      </c>
      <c r="AX302" s="53">
        <f t="shared" si="46"/>
        <v>5313100000</v>
      </c>
      <c r="AY302" s="41" t="s">
        <v>557</v>
      </c>
    </row>
    <row r="303" spans="1:51" x14ac:dyDescent="0.2">
      <c r="A303" s="41" t="s">
        <v>227</v>
      </c>
      <c r="B303" s="41">
        <v>2012</v>
      </c>
      <c r="C303" s="41" t="s">
        <v>87</v>
      </c>
      <c r="D303" s="41" t="s">
        <v>220</v>
      </c>
      <c r="E303" s="41">
        <v>100</v>
      </c>
      <c r="F303" s="41" t="s">
        <v>563</v>
      </c>
      <c r="G303" s="53">
        <v>44131000</v>
      </c>
      <c r="H303" s="62">
        <v>0.42</v>
      </c>
      <c r="I303" s="88">
        <v>0.2</v>
      </c>
      <c r="J303" s="96">
        <v>2.19</v>
      </c>
      <c r="K303" s="97">
        <v>0.04</v>
      </c>
      <c r="R303" s="53">
        <v>753000</v>
      </c>
      <c r="S303" s="53">
        <v>163227.0528</v>
      </c>
      <c r="T303" s="53">
        <v>6220</v>
      </c>
      <c r="U303" s="53">
        <v>64874.600000000006</v>
      </c>
      <c r="V303" s="53">
        <v>9400</v>
      </c>
      <c r="W303" s="53">
        <v>9364.1183999999994</v>
      </c>
      <c r="AM303" s="53">
        <v>146076945.7392</v>
      </c>
      <c r="AO303" s="53">
        <f t="shared" si="48"/>
        <v>18535020</v>
      </c>
      <c r="AP303" s="53">
        <f t="shared" si="48"/>
        <v>8826200</v>
      </c>
      <c r="AQ303" s="53">
        <f t="shared" si="48"/>
        <v>96646890</v>
      </c>
      <c r="AR303" s="53">
        <f t="shared" si="47"/>
        <v>1765240</v>
      </c>
      <c r="AS303" s="53">
        <f t="shared" si="47"/>
        <v>0</v>
      </c>
      <c r="AT303" s="53">
        <f t="shared" si="47"/>
        <v>0</v>
      </c>
      <c r="AU303" s="53">
        <f t="shared" si="47"/>
        <v>0</v>
      </c>
      <c r="AV303" s="53">
        <f t="shared" si="47"/>
        <v>0</v>
      </c>
      <c r="AW303" s="53">
        <f t="shared" si="47"/>
        <v>0</v>
      </c>
      <c r="AX303" s="53">
        <f t="shared" si="46"/>
        <v>4413100000</v>
      </c>
      <c r="AY303" s="41" t="s">
        <v>557</v>
      </c>
    </row>
    <row r="304" spans="1:51" x14ac:dyDescent="0.2">
      <c r="A304" s="41" t="s">
        <v>227</v>
      </c>
      <c r="B304" s="41">
        <v>2013</v>
      </c>
      <c r="C304" s="41" t="s">
        <v>87</v>
      </c>
      <c r="D304" s="41" t="s">
        <v>220</v>
      </c>
      <c r="E304" s="41">
        <v>100</v>
      </c>
      <c r="F304" s="41" t="s">
        <v>563</v>
      </c>
      <c r="G304" s="53">
        <v>43606000</v>
      </c>
      <c r="H304" s="62">
        <v>0.55000000000000004</v>
      </c>
      <c r="I304" s="62">
        <v>0.21</v>
      </c>
      <c r="J304" s="96">
        <v>3.01</v>
      </c>
      <c r="K304" s="41">
        <v>3.1E-2</v>
      </c>
      <c r="R304" s="53">
        <v>885000</v>
      </c>
      <c r="S304" s="53">
        <v>211001.11199999999</v>
      </c>
      <c r="T304" s="53">
        <v>6437.7000000000007</v>
      </c>
      <c r="U304" s="53">
        <v>89443.6</v>
      </c>
      <c r="V304" s="53">
        <v>11100</v>
      </c>
      <c r="W304" s="53">
        <v>5700.8447999999999</v>
      </c>
      <c r="AM304" s="53">
        <v>174345681.48480001</v>
      </c>
      <c r="AO304" s="53">
        <f t="shared" si="48"/>
        <v>23983300.000000004</v>
      </c>
      <c r="AP304" s="53">
        <f t="shared" si="48"/>
        <v>9157260</v>
      </c>
      <c r="AQ304" s="53">
        <f t="shared" si="48"/>
        <v>131254059.99999999</v>
      </c>
      <c r="AR304" s="53">
        <f t="shared" si="47"/>
        <v>1351786</v>
      </c>
      <c r="AS304" s="53">
        <f t="shared" si="47"/>
        <v>0</v>
      </c>
      <c r="AT304" s="53">
        <f t="shared" si="47"/>
        <v>0</v>
      </c>
      <c r="AU304" s="53">
        <f t="shared" si="47"/>
        <v>0</v>
      </c>
      <c r="AV304" s="53">
        <f t="shared" si="47"/>
        <v>0</v>
      </c>
      <c r="AW304" s="53">
        <f t="shared" si="47"/>
        <v>0</v>
      </c>
      <c r="AX304" s="53">
        <f t="shared" si="46"/>
        <v>4360600000</v>
      </c>
      <c r="AY304" s="41" t="s">
        <v>557</v>
      </c>
    </row>
    <row r="305" spans="1:51" x14ac:dyDescent="0.2">
      <c r="A305" s="41" t="s">
        <v>227</v>
      </c>
      <c r="B305" s="41">
        <v>2014</v>
      </c>
      <c r="C305" s="41" t="s">
        <v>87</v>
      </c>
      <c r="D305" s="41" t="s">
        <v>220</v>
      </c>
      <c r="E305" s="41">
        <v>100</v>
      </c>
      <c r="F305" s="41" t="s">
        <v>563</v>
      </c>
      <c r="G305" s="53">
        <v>40984000</v>
      </c>
      <c r="H305" s="62">
        <v>0.56000000000000005</v>
      </c>
      <c r="I305" s="88">
        <v>0.3</v>
      </c>
      <c r="J305" s="96">
        <v>2.83</v>
      </c>
      <c r="K305" s="97">
        <v>0.05</v>
      </c>
      <c r="R305" s="53">
        <v>799000</v>
      </c>
      <c r="S305" s="53">
        <v>204303.25440000001</v>
      </c>
      <c r="T305" s="53">
        <v>8086</v>
      </c>
      <c r="U305" s="53">
        <v>91278.5</v>
      </c>
      <c r="V305" s="53">
        <v>21900</v>
      </c>
      <c r="W305" s="53">
        <v>11502.388800000001</v>
      </c>
      <c r="AM305" s="53">
        <v>160727595.23519999</v>
      </c>
      <c r="AO305" s="53">
        <f t="shared" si="48"/>
        <v>22951040.000000004</v>
      </c>
      <c r="AP305" s="53">
        <f t="shared" si="48"/>
        <v>12295200</v>
      </c>
      <c r="AQ305" s="53">
        <f t="shared" si="48"/>
        <v>115984720</v>
      </c>
      <c r="AR305" s="53">
        <f t="shared" si="47"/>
        <v>2049200</v>
      </c>
      <c r="AS305" s="53">
        <f t="shared" si="47"/>
        <v>0</v>
      </c>
      <c r="AT305" s="53">
        <f t="shared" si="47"/>
        <v>0</v>
      </c>
      <c r="AU305" s="53">
        <f t="shared" si="47"/>
        <v>0</v>
      </c>
      <c r="AV305" s="53">
        <f t="shared" si="47"/>
        <v>0</v>
      </c>
      <c r="AW305" s="53">
        <f t="shared" si="47"/>
        <v>0</v>
      </c>
      <c r="AX305" s="53">
        <f t="shared" si="46"/>
        <v>4098400000</v>
      </c>
      <c r="AY305" s="41" t="s">
        <v>557</v>
      </c>
    </row>
    <row r="306" spans="1:51" x14ac:dyDescent="0.2">
      <c r="A306" s="41" t="s">
        <v>227</v>
      </c>
      <c r="B306" s="41">
        <v>2015</v>
      </c>
      <c r="C306" s="41" t="s">
        <v>87</v>
      </c>
      <c r="D306" s="41" t="s">
        <v>220</v>
      </c>
      <c r="E306" s="41">
        <v>100</v>
      </c>
      <c r="F306" s="41" t="s">
        <v>563</v>
      </c>
      <c r="G306" s="53">
        <v>34831000</v>
      </c>
      <c r="H306" s="88">
        <v>0.3</v>
      </c>
      <c r="I306" s="88">
        <v>0.18</v>
      </c>
      <c r="J306" s="96">
        <v>1.95</v>
      </c>
      <c r="K306" s="97">
        <v>3.6999999999999998E-2</v>
      </c>
      <c r="R306" s="53">
        <v>470000</v>
      </c>
      <c r="S306" s="53">
        <v>92017.296000000002</v>
      </c>
      <c r="T306" s="53">
        <v>4074.1000000000004</v>
      </c>
      <c r="U306" s="53">
        <v>45343.8</v>
      </c>
      <c r="V306" s="53">
        <v>14900</v>
      </c>
      <c r="W306" s="53">
        <v>7601.4287999999997</v>
      </c>
      <c r="AM306" s="53">
        <v>172154135.76480001</v>
      </c>
      <c r="AO306" s="53">
        <f t="shared" si="48"/>
        <v>10449300</v>
      </c>
      <c r="AP306" s="53">
        <f t="shared" si="48"/>
        <v>6269580</v>
      </c>
      <c r="AQ306" s="53">
        <f t="shared" si="48"/>
        <v>67920450</v>
      </c>
      <c r="AR306" s="53">
        <f t="shared" si="47"/>
        <v>1288747</v>
      </c>
      <c r="AS306" s="53">
        <f t="shared" si="47"/>
        <v>0</v>
      </c>
      <c r="AT306" s="53">
        <f t="shared" si="47"/>
        <v>0</v>
      </c>
      <c r="AU306" s="53">
        <f t="shared" si="47"/>
        <v>0</v>
      </c>
      <c r="AV306" s="53">
        <f t="shared" si="47"/>
        <v>0</v>
      </c>
      <c r="AW306" s="53">
        <f t="shared" si="47"/>
        <v>0</v>
      </c>
      <c r="AX306" s="53">
        <f t="shared" si="46"/>
        <v>3483100000</v>
      </c>
      <c r="AY306" s="41" t="s">
        <v>557</v>
      </c>
    </row>
    <row r="307" spans="1:51" x14ac:dyDescent="0.2">
      <c r="A307" s="41" t="s">
        <v>227</v>
      </c>
      <c r="B307" s="41">
        <v>2016</v>
      </c>
      <c r="C307" s="41" t="s">
        <v>87</v>
      </c>
      <c r="D307" s="41" t="s">
        <v>220</v>
      </c>
      <c r="E307" s="41">
        <v>100</v>
      </c>
      <c r="F307" s="41" t="s">
        <v>563</v>
      </c>
      <c r="G307" s="53">
        <v>33423000</v>
      </c>
      <c r="H307" s="88">
        <v>0.5</v>
      </c>
      <c r="I307" s="41">
        <v>0.24</v>
      </c>
      <c r="J307" s="41">
        <v>2.41</v>
      </c>
      <c r="K307" s="41">
        <v>2.8000000000000001E-2</v>
      </c>
      <c r="R307" s="53">
        <v>648000</v>
      </c>
      <c r="S307" s="53">
        <v>152700</v>
      </c>
      <c r="T307" s="53">
        <v>4758.3</v>
      </c>
      <c r="U307" s="53">
        <v>60427.3</v>
      </c>
      <c r="V307" s="53">
        <v>5600</v>
      </c>
      <c r="W307" s="53">
        <v>2800</v>
      </c>
      <c r="AM307" s="76">
        <v>141960474.35107285</v>
      </c>
      <c r="AO307" s="53">
        <f t="shared" si="48"/>
        <v>16711500</v>
      </c>
      <c r="AP307" s="53">
        <f t="shared" si="48"/>
        <v>8021520</v>
      </c>
      <c r="AQ307" s="53">
        <f t="shared" si="48"/>
        <v>80549430</v>
      </c>
      <c r="AR307" s="53">
        <f t="shared" si="47"/>
        <v>935844</v>
      </c>
      <c r="AS307" s="53">
        <f t="shared" si="47"/>
        <v>0</v>
      </c>
      <c r="AT307" s="53">
        <f t="shared" si="47"/>
        <v>0</v>
      </c>
      <c r="AU307" s="53">
        <f t="shared" si="47"/>
        <v>0</v>
      </c>
      <c r="AV307" s="53">
        <f t="shared" si="47"/>
        <v>0</v>
      </c>
      <c r="AW307" s="53">
        <f t="shared" si="47"/>
        <v>0</v>
      </c>
      <c r="AX307" s="53">
        <f t="shared" si="46"/>
        <v>3342300000</v>
      </c>
      <c r="AY307" s="41" t="s">
        <v>557</v>
      </c>
    </row>
    <row r="308" spans="1:51" x14ac:dyDescent="0.2">
      <c r="A308" s="41" t="s">
        <v>227</v>
      </c>
      <c r="B308" s="41" t="s">
        <v>567</v>
      </c>
      <c r="C308" s="41" t="s">
        <v>87</v>
      </c>
      <c r="D308" s="41" t="s">
        <v>220</v>
      </c>
      <c r="E308" s="41">
        <v>100</v>
      </c>
      <c r="F308" s="41" t="s">
        <v>563</v>
      </c>
      <c r="G308" s="53">
        <v>20216000</v>
      </c>
      <c r="H308" s="41">
        <v>0.49</v>
      </c>
      <c r="I308" s="88">
        <v>0.3</v>
      </c>
      <c r="J308" s="96">
        <v>2.93</v>
      </c>
      <c r="K308" s="41">
        <v>2.5000000000000001E-2</v>
      </c>
      <c r="R308" s="53">
        <v>394000</v>
      </c>
      <c r="S308" s="53">
        <v>88200</v>
      </c>
      <c r="T308" s="53">
        <f>108000*31.1/1000</f>
        <v>3358.8</v>
      </c>
      <c r="U308" s="53">
        <f>1380000*31.1/1000</f>
        <v>42918</v>
      </c>
      <c r="V308" s="53">
        <v>3200</v>
      </c>
      <c r="W308" s="53">
        <v>1600</v>
      </c>
      <c r="AM308" s="76">
        <v>87876105.598576412</v>
      </c>
      <c r="AO308" s="53">
        <f t="shared" si="48"/>
        <v>9905840</v>
      </c>
      <c r="AP308" s="53">
        <f t="shared" si="48"/>
        <v>6064800</v>
      </c>
      <c r="AQ308" s="53">
        <f t="shared" si="48"/>
        <v>59232880</v>
      </c>
      <c r="AR308" s="53">
        <f t="shared" si="47"/>
        <v>505400</v>
      </c>
      <c r="AS308" s="53">
        <f t="shared" si="47"/>
        <v>0</v>
      </c>
      <c r="AT308" s="53">
        <f t="shared" si="47"/>
        <v>0</v>
      </c>
      <c r="AU308" s="53">
        <f t="shared" si="47"/>
        <v>0</v>
      </c>
      <c r="AV308" s="53">
        <f t="shared" si="47"/>
        <v>0</v>
      </c>
      <c r="AW308" s="53">
        <f t="shared" si="47"/>
        <v>0</v>
      </c>
      <c r="AX308" s="53">
        <f t="shared" si="46"/>
        <v>2021600000</v>
      </c>
      <c r="AY308" s="41" t="s">
        <v>557</v>
      </c>
    </row>
    <row r="309" spans="1:51" x14ac:dyDescent="0.2">
      <c r="A309" s="41" t="s">
        <v>227</v>
      </c>
      <c r="B309" s="60" t="s">
        <v>559</v>
      </c>
      <c r="C309" s="60" t="s">
        <v>87</v>
      </c>
      <c r="D309" s="60" t="s">
        <v>220</v>
      </c>
      <c r="E309" s="60">
        <v>100</v>
      </c>
      <c r="F309" s="60" t="s">
        <v>563</v>
      </c>
      <c r="G309" s="79">
        <f>SUM(G196:G308)</f>
        <v>2883058997.224</v>
      </c>
      <c r="H309" s="80">
        <f>AO309/$G309</f>
        <v>0.71028425978260756</v>
      </c>
      <c r="I309" s="80">
        <f>AP309/$G309</f>
        <v>0.42723881172928374</v>
      </c>
      <c r="J309" s="80">
        <f>AQ309/$G309</f>
        <v>3.3109765859570044</v>
      </c>
      <c r="K309" s="89">
        <f>AR309/$G309</f>
        <v>3.5516734815908668E-2</v>
      </c>
      <c r="R309" s="79">
        <f t="shared" ref="R309:W309" si="49">SUM(R196:R308)</f>
        <v>22201700</v>
      </c>
      <c r="S309" s="79">
        <f t="shared" si="49"/>
        <v>18329375.731199998</v>
      </c>
      <c r="T309" s="79">
        <f t="shared" si="49"/>
        <v>838238.3</v>
      </c>
      <c r="U309" s="79">
        <f t="shared" si="49"/>
        <v>7393713.9999999981</v>
      </c>
      <c r="V309" s="79">
        <f t="shared" si="49"/>
        <v>396400</v>
      </c>
      <c r="W309" s="79">
        <f t="shared" si="49"/>
        <v>493677.45440000016</v>
      </c>
      <c r="AM309" s="79">
        <f>SUM(AM196:AM308)</f>
        <v>5716312049.3560495</v>
      </c>
      <c r="AO309" s="79">
        <f t="shared" ref="AO309:AX309" si="50">SUM(AO196:AO308)</f>
        <v>2047791425.7528355</v>
      </c>
      <c r="AP309" s="79">
        <f t="shared" si="50"/>
        <v>1231754700.1194022</v>
      </c>
      <c r="AQ309" s="79">
        <f t="shared" si="50"/>
        <v>9545740835.7413445</v>
      </c>
      <c r="AR309" s="79">
        <f t="shared" si="50"/>
        <v>102396841.86302437</v>
      </c>
      <c r="AS309" s="79">
        <f t="shared" si="50"/>
        <v>0</v>
      </c>
      <c r="AT309" s="79">
        <f t="shared" si="50"/>
        <v>0</v>
      </c>
      <c r="AU309" s="79">
        <f t="shared" si="50"/>
        <v>0</v>
      </c>
      <c r="AV309" s="79">
        <f t="shared" si="50"/>
        <v>0</v>
      </c>
      <c r="AW309" s="79">
        <f t="shared" si="50"/>
        <v>0</v>
      </c>
      <c r="AX309" s="79">
        <f t="shared" si="50"/>
        <v>288305899722.40002</v>
      </c>
      <c r="AY309" s="41" t="s">
        <v>557</v>
      </c>
    </row>
    <row r="310" spans="1:51" x14ac:dyDescent="0.2">
      <c r="A310" s="41" t="s">
        <v>227</v>
      </c>
      <c r="B310" s="43" t="s">
        <v>560</v>
      </c>
      <c r="G310" s="53">
        <f>STDEV(G196:G308)</f>
        <v>16095049.10790983</v>
      </c>
      <c r="H310" s="46">
        <f>STDEV(H196:H308)</f>
        <v>0.22410730857061983</v>
      </c>
      <c r="I310" s="46">
        <f>STDEV(I196:I308)</f>
        <v>0.13307064266697935</v>
      </c>
      <c r="J310" s="46">
        <f>STDEV(J196:J308)</f>
        <v>0.69618911249187954</v>
      </c>
      <c r="K310" s="42">
        <f>STDEV(K196:K308)</f>
        <v>1.2165399229356546E-2</v>
      </c>
      <c r="R310" s="53">
        <f t="shared" ref="R310:W310" si="51">STDEV(R196:R308)</f>
        <v>198235.87066085343</v>
      </c>
      <c r="S310" s="53">
        <f t="shared" si="51"/>
        <v>86065.014630257851</v>
      </c>
      <c r="T310" s="53">
        <f t="shared" si="51"/>
        <v>5173.8322532259563</v>
      </c>
      <c r="U310" s="53">
        <f t="shared" si="51"/>
        <v>42057.302910335209</v>
      </c>
      <c r="V310" s="53">
        <f t="shared" si="51"/>
        <v>7098.2341139350901</v>
      </c>
      <c r="W310" s="53">
        <f t="shared" si="51"/>
        <v>3485.0895153474685</v>
      </c>
      <c r="AM310" s="53">
        <f>STDEV(AM196:AM308)</f>
        <v>43219164.883372702</v>
      </c>
      <c r="AY310" s="41" t="s">
        <v>557</v>
      </c>
    </row>
    <row r="311" spans="1:51" x14ac:dyDescent="0.2">
      <c r="A311" s="41" t="s">
        <v>227</v>
      </c>
      <c r="B311" s="81" t="s">
        <v>249</v>
      </c>
      <c r="G311" s="41">
        <f>COUNT(G196:G308)</f>
        <v>113</v>
      </c>
      <c r="H311" s="41">
        <f>COUNT(H196:H308)</f>
        <v>113</v>
      </c>
      <c r="I311" s="41">
        <f>COUNT(I196:I308)</f>
        <v>113</v>
      </c>
      <c r="J311" s="41">
        <f>COUNT(J196:J308)</f>
        <v>113</v>
      </c>
      <c r="K311" s="41">
        <f>COUNT(K196:K308)</f>
        <v>82</v>
      </c>
      <c r="R311" s="41">
        <f t="shared" ref="R311:W311" si="52">COUNT(R196:R308)</f>
        <v>24</v>
      </c>
      <c r="S311" s="41">
        <f t="shared" si="52"/>
        <v>113</v>
      </c>
      <c r="T311" s="41">
        <f t="shared" si="52"/>
        <v>113</v>
      </c>
      <c r="U311" s="41">
        <f t="shared" si="52"/>
        <v>113</v>
      </c>
      <c r="V311" s="41">
        <f t="shared" si="52"/>
        <v>24</v>
      </c>
      <c r="W311" s="41">
        <f t="shared" si="52"/>
        <v>82</v>
      </c>
      <c r="AM311" s="41">
        <f>COUNT(AM196:AM308)</f>
        <v>111</v>
      </c>
      <c r="AY311" s="41" t="s">
        <v>557</v>
      </c>
    </row>
    <row r="312" spans="1:51" x14ac:dyDescent="0.2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8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41" t="s">
        <v>557</v>
      </c>
    </row>
    <row r="313" spans="1:51" x14ac:dyDescent="0.2">
      <c r="A313" s="86" t="s">
        <v>313</v>
      </c>
      <c r="B313" s="41" t="s">
        <v>571</v>
      </c>
      <c r="C313" s="41" t="s">
        <v>91</v>
      </c>
      <c r="D313" s="41" t="s">
        <v>88</v>
      </c>
      <c r="E313" s="41">
        <v>0</v>
      </c>
      <c r="F313" s="41" t="s">
        <v>572</v>
      </c>
      <c r="G313" s="53">
        <v>1434088</v>
      </c>
      <c r="H313" s="58">
        <v>0.3</v>
      </c>
      <c r="L313" s="41">
        <v>2.83</v>
      </c>
      <c r="M313" s="41">
        <v>2.54</v>
      </c>
      <c r="R313" s="76">
        <f>5*S313</f>
        <v>13509.108959999998</v>
      </c>
      <c r="S313" s="76">
        <f>0.628*G313*H313/100</f>
        <v>2701.8217919999997</v>
      </c>
      <c r="X313" s="53">
        <v>74645</v>
      </c>
      <c r="Y313" s="53">
        <v>53579</v>
      </c>
      <c r="Z313" s="53">
        <v>64682</v>
      </c>
      <c r="AA313" s="53">
        <v>31770</v>
      </c>
      <c r="AO313" s="53">
        <f t="shared" ref="AO313:AW314" si="53">$G313*H313</f>
        <v>430226.39999999997</v>
      </c>
      <c r="AP313" s="53">
        <f t="shared" si="53"/>
        <v>0</v>
      </c>
      <c r="AQ313" s="53">
        <f t="shared" si="53"/>
        <v>0</v>
      </c>
      <c r="AR313" s="53">
        <f t="shared" si="53"/>
        <v>0</v>
      </c>
      <c r="AS313" s="53">
        <f t="shared" si="53"/>
        <v>4058469.04</v>
      </c>
      <c r="AT313" s="53">
        <f t="shared" si="53"/>
        <v>3642583.52</v>
      </c>
      <c r="AU313" s="53">
        <f t="shared" si="53"/>
        <v>0</v>
      </c>
      <c r="AV313" s="53">
        <f t="shared" si="53"/>
        <v>0</v>
      </c>
      <c r="AW313" s="53">
        <f t="shared" si="53"/>
        <v>0</v>
      </c>
      <c r="AX313" s="53">
        <f t="shared" si="46"/>
        <v>0</v>
      </c>
      <c r="AY313" s="41" t="s">
        <v>557</v>
      </c>
    </row>
    <row r="314" spans="1:51" x14ac:dyDescent="0.2">
      <c r="A314" s="86" t="s">
        <v>313</v>
      </c>
      <c r="B314" s="41" t="s">
        <v>573</v>
      </c>
      <c r="C314" s="41" t="s">
        <v>91</v>
      </c>
      <c r="D314" s="41" t="s">
        <v>88</v>
      </c>
      <c r="E314" s="41">
        <v>0</v>
      </c>
      <c r="F314" s="41" t="s">
        <v>572</v>
      </c>
      <c r="G314" s="53">
        <v>1518540</v>
      </c>
      <c r="H314" s="58">
        <v>0.3</v>
      </c>
      <c r="L314" s="41">
        <v>2.98</v>
      </c>
      <c r="M314" s="41">
        <v>2.86</v>
      </c>
      <c r="R314" s="76">
        <f>5*S314</f>
        <v>14304.6468</v>
      </c>
      <c r="S314" s="76">
        <f>0.628*G314*H314/100</f>
        <v>2860.9293600000001</v>
      </c>
      <c r="X314" s="53">
        <v>68986</v>
      </c>
      <c r="Y314" s="53">
        <v>48883</v>
      </c>
      <c r="Z314" s="53">
        <v>78457</v>
      </c>
      <c r="AA314" s="53">
        <v>38577</v>
      </c>
      <c r="AO314" s="53">
        <f t="shared" si="53"/>
        <v>455562</v>
      </c>
      <c r="AP314" s="53">
        <f t="shared" si="53"/>
        <v>0</v>
      </c>
      <c r="AQ314" s="53">
        <f t="shared" si="53"/>
        <v>0</v>
      </c>
      <c r="AR314" s="53">
        <f t="shared" si="53"/>
        <v>0</v>
      </c>
      <c r="AS314" s="53">
        <f t="shared" si="53"/>
        <v>4525249.2</v>
      </c>
      <c r="AT314" s="53">
        <f t="shared" si="53"/>
        <v>4343024.3999999994</v>
      </c>
      <c r="AU314" s="53">
        <f t="shared" si="53"/>
        <v>0</v>
      </c>
      <c r="AV314" s="53">
        <f t="shared" si="53"/>
        <v>0</v>
      </c>
      <c r="AW314" s="53">
        <f t="shared" si="53"/>
        <v>0</v>
      </c>
      <c r="AX314" s="53">
        <f t="shared" si="46"/>
        <v>0</v>
      </c>
      <c r="AY314" s="41" t="s">
        <v>557</v>
      </c>
    </row>
    <row r="315" spans="1:51" x14ac:dyDescent="0.2">
      <c r="A315" s="86" t="s">
        <v>313</v>
      </c>
      <c r="B315" s="60" t="s">
        <v>248</v>
      </c>
      <c r="C315" s="60" t="s">
        <v>91</v>
      </c>
      <c r="D315" s="60" t="s">
        <v>88</v>
      </c>
      <c r="E315" s="60">
        <v>0</v>
      </c>
      <c r="F315" s="60" t="s">
        <v>572</v>
      </c>
      <c r="G315" s="79">
        <f>AVERAGE(G313:G314)</f>
        <v>1476314</v>
      </c>
      <c r="H315" s="80">
        <f>AO315/SUM($G313:$G314)</f>
        <v>0.3</v>
      </c>
      <c r="L315" s="80">
        <f>AS315/SUM($G313:$G314)</f>
        <v>2.9071451737232055</v>
      </c>
      <c r="M315" s="80">
        <f>AT315/SUM($G313:$G314)</f>
        <v>2.7045763706095043</v>
      </c>
      <c r="R315" s="79">
        <f>AVERAGE(R313:R314)</f>
        <v>13906.87788</v>
      </c>
      <c r="S315" s="79">
        <f>AVERAGE(S313:S314)</f>
        <v>2781.3755759999999</v>
      </c>
      <c r="X315" s="79">
        <f>AVERAGE(X313:X314)</f>
        <v>71815.5</v>
      </c>
      <c r="Y315" s="79">
        <f>AVERAGE(Y313:Y314)</f>
        <v>51231</v>
      </c>
      <c r="Z315" s="79">
        <f>AVERAGE(Z313:Z314)</f>
        <v>71569.5</v>
      </c>
      <c r="AA315" s="79">
        <f>AVERAGE(AA313:AA314)</f>
        <v>35173.5</v>
      </c>
      <c r="AO315" s="79">
        <f>SUM(AO313:AO314)</f>
        <v>885788.39999999991</v>
      </c>
      <c r="AP315" s="79">
        <f t="shared" ref="AP315:AX315" si="54">SUM(AP313:AP314)</f>
        <v>0</v>
      </c>
      <c r="AQ315" s="79">
        <f t="shared" si="54"/>
        <v>0</v>
      </c>
      <c r="AR315" s="79">
        <f t="shared" si="54"/>
        <v>0</v>
      </c>
      <c r="AS315" s="79">
        <f t="shared" si="54"/>
        <v>8583718.2400000002</v>
      </c>
      <c r="AT315" s="79">
        <f t="shared" si="54"/>
        <v>7985607.9199999999</v>
      </c>
      <c r="AU315" s="79">
        <f t="shared" si="54"/>
        <v>0</v>
      </c>
      <c r="AV315" s="79">
        <f t="shared" si="54"/>
        <v>0</v>
      </c>
      <c r="AW315" s="79">
        <f t="shared" si="54"/>
        <v>0</v>
      </c>
      <c r="AX315" s="79">
        <f t="shared" si="54"/>
        <v>0</v>
      </c>
      <c r="AY315" s="41" t="s">
        <v>557</v>
      </c>
    </row>
    <row r="316" spans="1:51" x14ac:dyDescent="0.2">
      <c r="A316" s="86" t="s">
        <v>313</v>
      </c>
      <c r="B316" s="43" t="s">
        <v>560</v>
      </c>
      <c r="G316" s="53">
        <f>STDEV(G313:G314)</f>
        <v>59716.58188476631</v>
      </c>
      <c r="H316" s="46">
        <f>STDEV(H313:H314)</f>
        <v>0</v>
      </c>
      <c r="L316" s="46">
        <f>STDEV(L313:L314)</f>
        <v>0.10606601717798206</v>
      </c>
      <c r="M316" s="46">
        <f>STDEV(M313:M314)</f>
        <v>0.2262741699796951</v>
      </c>
      <c r="R316" s="53">
        <f>STDEV(R313:R314)</f>
        <v>562.5302013545006</v>
      </c>
      <c r="S316" s="53">
        <f>STDEV(S313:S314)</f>
        <v>112.50604027089999</v>
      </c>
      <c r="X316" s="53">
        <f>STDEV(X313:X314)</f>
        <v>4001.5172747346724</v>
      </c>
      <c r="Y316" s="53">
        <f>STDEV(Y313:Y314)</f>
        <v>3320.5734444520272</v>
      </c>
      <c r="Z316" s="53">
        <f>STDEV(Z313:Z314)</f>
        <v>9740.3959108446925</v>
      </c>
      <c r="AA316" s="53">
        <f>STDEV(AA313:AA314)</f>
        <v>4813.2758595368286</v>
      </c>
      <c r="AY316" s="41" t="s">
        <v>557</v>
      </c>
    </row>
    <row r="317" spans="1:51" x14ac:dyDescent="0.2">
      <c r="A317" s="86" t="s">
        <v>313</v>
      </c>
      <c r="B317" s="81" t="s">
        <v>249</v>
      </c>
      <c r="G317" s="41">
        <f>COUNT(G313:G314)</f>
        <v>2</v>
      </c>
      <c r="H317" s="41">
        <f>COUNT(H313:H314)</f>
        <v>2</v>
      </c>
      <c r="L317" s="41">
        <f>COUNT(L313:L314)</f>
        <v>2</v>
      </c>
      <c r="M317" s="41">
        <f>COUNT(M313:M314)</f>
        <v>2</v>
      </c>
      <c r="R317" s="41">
        <f>COUNT(R313:R314)</f>
        <v>2</v>
      </c>
      <c r="S317" s="41">
        <f>COUNT(S313:S314)</f>
        <v>2</v>
      </c>
      <c r="X317" s="41">
        <f>COUNT(X313:X314)</f>
        <v>2</v>
      </c>
      <c r="Y317" s="41">
        <f>COUNT(Y313:Y314)</f>
        <v>2</v>
      </c>
      <c r="Z317" s="41">
        <f>COUNT(Z313:Z314)</f>
        <v>2</v>
      </c>
      <c r="AA317" s="41">
        <f>COUNT(AA313:AA314)</f>
        <v>2</v>
      </c>
      <c r="AY317" s="41" t="s">
        <v>557</v>
      </c>
    </row>
    <row r="318" spans="1:51" x14ac:dyDescent="0.2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8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41" t="s">
        <v>557</v>
      </c>
    </row>
    <row r="319" spans="1:51" x14ac:dyDescent="0.2">
      <c r="A319" s="41" t="s">
        <v>106</v>
      </c>
      <c r="B319" s="41">
        <v>1988</v>
      </c>
      <c r="C319" s="41" t="s">
        <v>87</v>
      </c>
      <c r="D319" s="41" t="s">
        <v>401</v>
      </c>
      <c r="E319" s="41">
        <v>100</v>
      </c>
      <c r="F319" s="41" t="s">
        <v>390</v>
      </c>
      <c r="G319" s="53">
        <v>4856434</v>
      </c>
      <c r="H319" s="53"/>
      <c r="I319" s="46">
        <v>2.1699160824588573</v>
      </c>
      <c r="S319" s="46"/>
      <c r="T319" s="53">
        <v>10369.425999999999</v>
      </c>
      <c r="AH319" s="53">
        <f>G319</f>
        <v>4856434</v>
      </c>
      <c r="AM319" s="53">
        <v>8712868</v>
      </c>
      <c r="AO319" s="53">
        <f t="shared" ref="AO319:AW341" si="55">$G319*H319</f>
        <v>0</v>
      </c>
      <c r="AP319" s="53">
        <f t="shared" si="55"/>
        <v>10538054.239999998</v>
      </c>
      <c r="AQ319" s="53">
        <f t="shared" si="55"/>
        <v>0</v>
      </c>
      <c r="AR319" s="53">
        <f t="shared" si="55"/>
        <v>0</v>
      </c>
      <c r="AS319" s="53">
        <f t="shared" si="55"/>
        <v>0</v>
      </c>
      <c r="AT319" s="53">
        <f t="shared" si="55"/>
        <v>0</v>
      </c>
      <c r="AU319" s="53">
        <f t="shared" si="55"/>
        <v>0</v>
      </c>
      <c r="AV319" s="53">
        <f t="shared" si="55"/>
        <v>0</v>
      </c>
      <c r="AW319" s="53">
        <f t="shared" si="55"/>
        <v>0</v>
      </c>
      <c r="AX319" s="53">
        <f t="shared" ref="AX319:AX341" si="56">$G319*E319</f>
        <v>485643400</v>
      </c>
      <c r="AY319" s="41" t="s">
        <v>557</v>
      </c>
    </row>
    <row r="320" spans="1:51" x14ac:dyDescent="0.2">
      <c r="A320" s="41" t="s">
        <v>106</v>
      </c>
      <c r="B320" s="41">
        <v>1989</v>
      </c>
      <c r="C320" s="41" t="s">
        <v>87</v>
      </c>
      <c r="D320" s="41" t="s">
        <v>401</v>
      </c>
      <c r="E320" s="41">
        <v>100</v>
      </c>
      <c r="F320" s="41" t="s">
        <v>390</v>
      </c>
      <c r="G320" s="53">
        <v>7697207</v>
      </c>
      <c r="H320" s="53"/>
      <c r="I320" s="46">
        <v>1.9578509425561765</v>
      </c>
      <c r="S320" s="46"/>
      <c r="T320" s="53">
        <v>14797.379000000001</v>
      </c>
      <c r="AH320" s="53">
        <f t="shared" ref="AH320:AH332" si="57">G320</f>
        <v>7697207</v>
      </c>
      <c r="AM320" s="53">
        <v>10670810.5</v>
      </c>
      <c r="AO320" s="53">
        <f t="shared" si="55"/>
        <v>0</v>
      </c>
      <c r="AP320" s="53">
        <f t="shared" si="55"/>
        <v>15069983.98</v>
      </c>
      <c r="AQ320" s="53">
        <f t="shared" si="55"/>
        <v>0</v>
      </c>
      <c r="AR320" s="53">
        <f t="shared" si="55"/>
        <v>0</v>
      </c>
      <c r="AS320" s="53">
        <f t="shared" si="55"/>
        <v>0</v>
      </c>
      <c r="AT320" s="53">
        <f t="shared" si="55"/>
        <v>0</v>
      </c>
      <c r="AU320" s="53">
        <f t="shared" si="55"/>
        <v>0</v>
      </c>
      <c r="AV320" s="53">
        <f t="shared" si="55"/>
        <v>0</v>
      </c>
      <c r="AW320" s="53">
        <f t="shared" si="55"/>
        <v>0</v>
      </c>
      <c r="AX320" s="53">
        <f t="shared" si="56"/>
        <v>769720700</v>
      </c>
      <c r="AY320" s="41" t="s">
        <v>557</v>
      </c>
    </row>
    <row r="321" spans="1:51" x14ac:dyDescent="0.2">
      <c r="A321" s="41" t="s">
        <v>106</v>
      </c>
      <c r="B321" s="41">
        <v>1990</v>
      </c>
      <c r="C321" s="41" t="s">
        <v>87</v>
      </c>
      <c r="D321" s="41" t="s">
        <v>401</v>
      </c>
      <c r="E321" s="41">
        <v>100</v>
      </c>
      <c r="F321" s="41" t="s">
        <v>390</v>
      </c>
      <c r="G321" s="53">
        <v>8289801.8867924521</v>
      </c>
      <c r="H321" s="53"/>
      <c r="I321" s="46">
        <v>1.9046751919555627</v>
      </c>
      <c r="S321" s="46"/>
      <c r="T321" s="53">
        <v>15548.754999999999</v>
      </c>
      <c r="AH321" s="53">
        <f t="shared" si="57"/>
        <v>8289801.8867924521</v>
      </c>
      <c r="AM321" s="53">
        <v>11559702.830188679</v>
      </c>
      <c r="AO321" s="53">
        <f t="shared" si="55"/>
        <v>0</v>
      </c>
      <c r="AP321" s="53">
        <f t="shared" si="55"/>
        <v>15789380</v>
      </c>
      <c r="AQ321" s="53">
        <f t="shared" si="55"/>
        <v>0</v>
      </c>
      <c r="AR321" s="53">
        <f t="shared" si="55"/>
        <v>0</v>
      </c>
      <c r="AS321" s="53">
        <f t="shared" si="55"/>
        <v>0</v>
      </c>
      <c r="AT321" s="53">
        <f t="shared" si="55"/>
        <v>0</v>
      </c>
      <c r="AU321" s="53">
        <f t="shared" si="55"/>
        <v>0</v>
      </c>
      <c r="AV321" s="53">
        <f t="shared" si="55"/>
        <v>0</v>
      </c>
      <c r="AW321" s="53">
        <f t="shared" si="55"/>
        <v>0</v>
      </c>
      <c r="AX321" s="53">
        <f t="shared" si="56"/>
        <v>828980188.67924523</v>
      </c>
      <c r="AY321" s="41" t="s">
        <v>557</v>
      </c>
    </row>
    <row r="322" spans="1:51" x14ac:dyDescent="0.2">
      <c r="A322" s="41" t="s">
        <v>106</v>
      </c>
      <c r="B322" s="41">
        <v>1991</v>
      </c>
      <c r="C322" s="41" t="s">
        <v>87</v>
      </c>
      <c r="D322" s="41" t="s">
        <v>401</v>
      </c>
      <c r="E322" s="47">
        <v>98.799077133416887</v>
      </c>
      <c r="F322" s="41" t="s">
        <v>390</v>
      </c>
      <c r="G322" s="53">
        <v>8777000</v>
      </c>
      <c r="H322" s="53"/>
      <c r="I322" s="46">
        <v>1.5723629941893587</v>
      </c>
      <c r="S322" s="46"/>
      <c r="T322" s="53">
        <v>12955.077200000002</v>
      </c>
      <c r="AH322" s="53">
        <f t="shared" si="57"/>
        <v>8777000</v>
      </c>
      <c r="AM322" s="53">
        <v>14520000</v>
      </c>
      <c r="AO322" s="53">
        <f t="shared" si="55"/>
        <v>0</v>
      </c>
      <c r="AP322" s="53">
        <f t="shared" si="55"/>
        <v>13800630</v>
      </c>
      <c r="AQ322" s="53">
        <f t="shared" si="55"/>
        <v>0</v>
      </c>
      <c r="AR322" s="53">
        <f t="shared" si="55"/>
        <v>0</v>
      </c>
      <c r="AS322" s="53">
        <f t="shared" si="55"/>
        <v>0</v>
      </c>
      <c r="AT322" s="53">
        <f t="shared" si="55"/>
        <v>0</v>
      </c>
      <c r="AU322" s="53">
        <f t="shared" si="55"/>
        <v>0</v>
      </c>
      <c r="AV322" s="53">
        <f t="shared" si="55"/>
        <v>0</v>
      </c>
      <c r="AW322" s="53">
        <f t="shared" si="55"/>
        <v>0</v>
      </c>
      <c r="AX322" s="53">
        <f t="shared" si="56"/>
        <v>867159500</v>
      </c>
      <c r="AY322" s="41" t="s">
        <v>557</v>
      </c>
    </row>
    <row r="323" spans="1:51" x14ac:dyDescent="0.2">
      <c r="A323" s="41" t="s">
        <v>106</v>
      </c>
      <c r="B323" s="41">
        <v>1992</v>
      </c>
      <c r="C323" s="41" t="s">
        <v>87</v>
      </c>
      <c r="D323" s="41" t="s">
        <v>401</v>
      </c>
      <c r="E323" s="47">
        <v>98.798838797814213</v>
      </c>
      <c r="F323" s="41" t="s">
        <v>390</v>
      </c>
      <c r="G323" s="53">
        <v>8784000</v>
      </c>
      <c r="H323" s="53"/>
      <c r="I323" s="46">
        <v>1.7675658875476896</v>
      </c>
      <c r="S323" s="46"/>
      <c r="T323" s="53">
        <v>12619.819200000002</v>
      </c>
      <c r="AH323" s="53">
        <f t="shared" si="57"/>
        <v>8784000</v>
      </c>
      <c r="AM323" s="53">
        <v>12058000</v>
      </c>
      <c r="AO323" s="53">
        <f t="shared" si="55"/>
        <v>0</v>
      </c>
      <c r="AP323" s="53">
        <f t="shared" si="55"/>
        <v>15526298.756218906</v>
      </c>
      <c r="AQ323" s="53">
        <f t="shared" si="55"/>
        <v>0</v>
      </c>
      <c r="AR323" s="53">
        <f t="shared" si="55"/>
        <v>0</v>
      </c>
      <c r="AS323" s="53">
        <f t="shared" si="55"/>
        <v>0</v>
      </c>
      <c r="AT323" s="53">
        <f t="shared" si="55"/>
        <v>0</v>
      </c>
      <c r="AU323" s="53">
        <f t="shared" si="55"/>
        <v>0</v>
      </c>
      <c r="AV323" s="53">
        <f t="shared" si="55"/>
        <v>0</v>
      </c>
      <c r="AW323" s="53">
        <f t="shared" si="55"/>
        <v>0</v>
      </c>
      <c r="AX323" s="53">
        <f t="shared" si="56"/>
        <v>867849000</v>
      </c>
      <c r="AY323" s="41" t="s">
        <v>557</v>
      </c>
    </row>
    <row r="324" spans="1:51" x14ac:dyDescent="0.2">
      <c r="A324" s="41" t="s">
        <v>106</v>
      </c>
      <c r="B324" s="41">
        <v>1993</v>
      </c>
      <c r="C324" s="41" t="s">
        <v>87</v>
      </c>
      <c r="D324" s="41" t="s">
        <v>401</v>
      </c>
      <c r="E324" s="47">
        <v>98.944312796208536</v>
      </c>
      <c r="F324" s="41" t="s">
        <v>390</v>
      </c>
      <c r="G324" s="53">
        <v>10128000</v>
      </c>
      <c r="H324" s="53"/>
      <c r="I324" s="46">
        <v>1.4963714454976302</v>
      </c>
      <c r="S324" s="46"/>
      <c r="T324" s="53">
        <v>14647.2186</v>
      </c>
      <c r="AH324" s="53">
        <f t="shared" si="57"/>
        <v>10128000</v>
      </c>
      <c r="AM324" s="53">
        <v>13692000</v>
      </c>
      <c r="AO324" s="53">
        <f t="shared" si="55"/>
        <v>0</v>
      </c>
      <c r="AP324" s="53">
        <f t="shared" si="55"/>
        <v>15155249.999999998</v>
      </c>
      <c r="AQ324" s="53">
        <f t="shared" si="55"/>
        <v>0</v>
      </c>
      <c r="AR324" s="53">
        <f t="shared" si="55"/>
        <v>0</v>
      </c>
      <c r="AS324" s="53">
        <f t="shared" si="55"/>
        <v>0</v>
      </c>
      <c r="AT324" s="53">
        <f t="shared" si="55"/>
        <v>0</v>
      </c>
      <c r="AU324" s="53">
        <f t="shared" si="55"/>
        <v>0</v>
      </c>
      <c r="AV324" s="53">
        <f t="shared" si="55"/>
        <v>0</v>
      </c>
      <c r="AW324" s="53">
        <f t="shared" si="55"/>
        <v>0</v>
      </c>
      <c r="AX324" s="53">
        <f t="shared" si="56"/>
        <v>1002108000</v>
      </c>
      <c r="AY324" s="41" t="s">
        <v>557</v>
      </c>
    </row>
    <row r="325" spans="1:51" x14ac:dyDescent="0.2">
      <c r="A325" s="41" t="s">
        <v>106</v>
      </c>
      <c r="B325" s="41">
        <v>1994</v>
      </c>
      <c r="C325" s="41" t="s">
        <v>87</v>
      </c>
      <c r="D325" s="41" t="s">
        <v>401</v>
      </c>
      <c r="E325" s="47">
        <v>99.059395500215487</v>
      </c>
      <c r="F325" s="41" t="s">
        <v>390</v>
      </c>
      <c r="G325" s="53">
        <v>10591000</v>
      </c>
      <c r="H325" s="53"/>
      <c r="I325" s="46">
        <v>1.6410376734963648</v>
      </c>
      <c r="S325" s="46"/>
      <c r="T325" s="53">
        <v>15945.674700000001</v>
      </c>
      <c r="AH325" s="53">
        <f t="shared" si="57"/>
        <v>10591000</v>
      </c>
      <c r="AM325" s="53">
        <v>9710000</v>
      </c>
      <c r="AO325" s="53">
        <f t="shared" si="55"/>
        <v>0</v>
      </c>
      <c r="AP325" s="53">
        <f t="shared" si="55"/>
        <v>17380230</v>
      </c>
      <c r="AQ325" s="53">
        <f t="shared" si="55"/>
        <v>0</v>
      </c>
      <c r="AR325" s="53">
        <f t="shared" si="55"/>
        <v>0</v>
      </c>
      <c r="AS325" s="53">
        <f t="shared" si="55"/>
        <v>0</v>
      </c>
      <c r="AT325" s="53">
        <f t="shared" si="55"/>
        <v>0</v>
      </c>
      <c r="AU325" s="53">
        <f t="shared" si="55"/>
        <v>0</v>
      </c>
      <c r="AV325" s="53">
        <f t="shared" si="55"/>
        <v>0</v>
      </c>
      <c r="AW325" s="53">
        <f t="shared" si="55"/>
        <v>0</v>
      </c>
      <c r="AX325" s="53">
        <f t="shared" si="56"/>
        <v>1049138057.7427822</v>
      </c>
      <c r="AY325" s="41" t="s">
        <v>557</v>
      </c>
    </row>
    <row r="326" spans="1:51" x14ac:dyDescent="0.2">
      <c r="A326" s="41" t="s">
        <v>106</v>
      </c>
      <c r="B326" s="41">
        <v>1995</v>
      </c>
      <c r="C326" s="41" t="s">
        <v>87</v>
      </c>
      <c r="D326" s="41" t="s">
        <v>401</v>
      </c>
      <c r="E326" s="47">
        <v>99.250435988015923</v>
      </c>
      <c r="F326" s="41" t="s">
        <v>390</v>
      </c>
      <c r="G326" s="53">
        <v>10450000</v>
      </c>
      <c r="H326" s="53"/>
      <c r="I326" s="46">
        <v>1.5590086124401912</v>
      </c>
      <c r="S326" s="46"/>
      <c r="T326" s="53">
        <v>14981.916800000001</v>
      </c>
      <c r="AH326" s="53">
        <f t="shared" si="57"/>
        <v>10450000</v>
      </c>
      <c r="AM326" s="53">
        <v>9340000</v>
      </c>
      <c r="AO326" s="53">
        <f t="shared" si="55"/>
        <v>0</v>
      </c>
      <c r="AP326" s="53">
        <f t="shared" si="55"/>
        <v>16291639.999999998</v>
      </c>
      <c r="AQ326" s="53">
        <f t="shared" si="55"/>
        <v>0</v>
      </c>
      <c r="AR326" s="53">
        <f t="shared" si="55"/>
        <v>0</v>
      </c>
      <c r="AS326" s="53">
        <f t="shared" si="55"/>
        <v>0</v>
      </c>
      <c r="AT326" s="53">
        <f t="shared" si="55"/>
        <v>0</v>
      </c>
      <c r="AU326" s="53">
        <f t="shared" si="55"/>
        <v>0</v>
      </c>
      <c r="AV326" s="53">
        <f t="shared" si="55"/>
        <v>0</v>
      </c>
      <c r="AW326" s="53">
        <f t="shared" si="55"/>
        <v>0</v>
      </c>
      <c r="AX326" s="53">
        <f t="shared" si="56"/>
        <v>1037167056.0747664</v>
      </c>
      <c r="AY326" s="41" t="s">
        <v>557</v>
      </c>
    </row>
    <row r="327" spans="1:51" x14ac:dyDescent="0.2">
      <c r="A327" s="41" t="s">
        <v>106</v>
      </c>
      <c r="B327" s="41">
        <v>1996</v>
      </c>
      <c r="C327" s="41" t="s">
        <v>87</v>
      </c>
      <c r="D327" s="41" t="s">
        <v>401</v>
      </c>
      <c r="E327" s="47">
        <v>99.463841394668819</v>
      </c>
      <c r="F327" s="41" t="s">
        <v>390</v>
      </c>
      <c r="G327" s="53">
        <v>11887000</v>
      </c>
      <c r="H327" s="53"/>
      <c r="I327" s="46">
        <v>1.2304259154658752</v>
      </c>
      <c r="S327" s="46"/>
      <c r="T327" s="53">
        <v>13232.832300000002</v>
      </c>
      <c r="AH327" s="53">
        <f t="shared" si="57"/>
        <v>11887000</v>
      </c>
      <c r="AM327" s="53">
        <v>8049000</v>
      </c>
      <c r="AO327" s="53">
        <f t="shared" si="55"/>
        <v>0</v>
      </c>
      <c r="AP327" s="53">
        <f t="shared" si="55"/>
        <v>14626072.857142858</v>
      </c>
      <c r="AQ327" s="53">
        <f t="shared" si="55"/>
        <v>0</v>
      </c>
      <c r="AR327" s="53">
        <f t="shared" si="55"/>
        <v>0</v>
      </c>
      <c r="AS327" s="53">
        <f t="shared" si="55"/>
        <v>0</v>
      </c>
      <c r="AT327" s="53">
        <f t="shared" si="55"/>
        <v>0</v>
      </c>
      <c r="AU327" s="53">
        <f t="shared" si="55"/>
        <v>0</v>
      </c>
      <c r="AV327" s="53">
        <f t="shared" si="55"/>
        <v>0</v>
      </c>
      <c r="AW327" s="53">
        <f t="shared" si="55"/>
        <v>0</v>
      </c>
      <c r="AX327" s="53">
        <f t="shared" si="56"/>
        <v>1182326682.6584282</v>
      </c>
      <c r="AY327" s="41" t="s">
        <v>557</v>
      </c>
    </row>
    <row r="328" spans="1:51" x14ac:dyDescent="0.2">
      <c r="A328" s="41" t="s">
        <v>106</v>
      </c>
      <c r="B328" s="41">
        <v>1997</v>
      </c>
      <c r="C328" s="41" t="s">
        <v>87</v>
      </c>
      <c r="D328" s="41" t="s">
        <v>401</v>
      </c>
      <c r="E328" s="41">
        <v>100</v>
      </c>
      <c r="F328" s="41" t="s">
        <v>390</v>
      </c>
      <c r="G328" s="53">
        <v>12182005</v>
      </c>
      <c r="H328" s="53"/>
      <c r="I328" s="46">
        <v>1.1725198914300232</v>
      </c>
      <c r="S328" s="46"/>
      <c r="T328" s="53">
        <v>12914.8037</v>
      </c>
      <c r="AH328" s="53">
        <f t="shared" si="57"/>
        <v>12182005</v>
      </c>
      <c r="AM328" s="53">
        <v>10252045.699999999</v>
      </c>
      <c r="AO328" s="53">
        <f t="shared" si="55"/>
        <v>0</v>
      </c>
      <c r="AP328" s="53">
        <f t="shared" si="55"/>
        <v>14283643.18</v>
      </c>
      <c r="AQ328" s="53">
        <f t="shared" si="55"/>
        <v>0</v>
      </c>
      <c r="AR328" s="53">
        <f t="shared" si="55"/>
        <v>0</v>
      </c>
      <c r="AS328" s="53">
        <f t="shared" si="55"/>
        <v>0</v>
      </c>
      <c r="AT328" s="53">
        <f t="shared" si="55"/>
        <v>0</v>
      </c>
      <c r="AU328" s="53">
        <f t="shared" si="55"/>
        <v>0</v>
      </c>
      <c r="AV328" s="53">
        <f t="shared" si="55"/>
        <v>0</v>
      </c>
      <c r="AW328" s="53">
        <f t="shared" si="55"/>
        <v>0</v>
      </c>
      <c r="AX328" s="53">
        <f t="shared" si="56"/>
        <v>1218200500</v>
      </c>
      <c r="AY328" s="41" t="s">
        <v>557</v>
      </c>
    </row>
    <row r="329" spans="1:51" x14ac:dyDescent="0.2">
      <c r="A329" s="41" t="s">
        <v>106</v>
      </c>
      <c r="B329" s="41">
        <v>1998</v>
      </c>
      <c r="C329" s="41" t="s">
        <v>87</v>
      </c>
      <c r="D329" s="41" t="s">
        <v>401</v>
      </c>
      <c r="E329" s="41">
        <v>100</v>
      </c>
      <c r="F329" s="41" t="s">
        <v>390</v>
      </c>
      <c r="G329" s="53">
        <v>12612769</v>
      </c>
      <c r="H329" s="53"/>
      <c r="I329" s="46">
        <v>1.0591979881658025</v>
      </c>
      <c r="S329" s="46"/>
      <c r="T329" s="53">
        <v>11758.381300000001</v>
      </c>
      <c r="AH329" s="53">
        <f t="shared" si="57"/>
        <v>12612769</v>
      </c>
      <c r="AM329" s="53">
        <v>13468536.049999999</v>
      </c>
      <c r="AO329" s="53">
        <f t="shared" si="55"/>
        <v>0</v>
      </c>
      <c r="AP329" s="53">
        <f t="shared" si="55"/>
        <v>13359419.550000001</v>
      </c>
      <c r="AQ329" s="53">
        <f t="shared" si="55"/>
        <v>0</v>
      </c>
      <c r="AR329" s="53">
        <f t="shared" si="55"/>
        <v>0</v>
      </c>
      <c r="AS329" s="53">
        <f t="shared" si="55"/>
        <v>0</v>
      </c>
      <c r="AT329" s="53">
        <f t="shared" si="55"/>
        <v>0</v>
      </c>
      <c r="AU329" s="53">
        <f t="shared" si="55"/>
        <v>0</v>
      </c>
      <c r="AV329" s="53">
        <f t="shared" si="55"/>
        <v>0</v>
      </c>
      <c r="AW329" s="53">
        <f t="shared" si="55"/>
        <v>0</v>
      </c>
      <c r="AX329" s="53">
        <f t="shared" si="56"/>
        <v>1261276900</v>
      </c>
      <c r="AY329" s="41" t="s">
        <v>557</v>
      </c>
    </row>
    <row r="330" spans="1:51" x14ac:dyDescent="0.2">
      <c r="A330" s="41" t="s">
        <v>106</v>
      </c>
      <c r="B330" s="41">
        <v>1999</v>
      </c>
      <c r="C330" s="41" t="s">
        <v>87</v>
      </c>
      <c r="D330" s="41" t="s">
        <v>401</v>
      </c>
      <c r="E330" s="41">
        <v>100</v>
      </c>
      <c r="F330" s="41" t="s">
        <v>390</v>
      </c>
      <c r="G330" s="53">
        <v>11871377.137713771</v>
      </c>
      <c r="H330" s="53"/>
      <c r="I330" s="46">
        <v>0.95037558562476876</v>
      </c>
      <c r="S330" s="46"/>
      <c r="T330" s="53">
        <v>10420.431503150316</v>
      </c>
      <c r="AH330" s="53">
        <f t="shared" si="57"/>
        <v>11871377.137713771</v>
      </c>
      <c r="AM330" s="53">
        <v>16257065.706570657</v>
      </c>
      <c r="AO330" s="53">
        <f t="shared" si="55"/>
        <v>0</v>
      </c>
      <c r="AP330" s="53">
        <f t="shared" si="55"/>
        <v>11282266.999427216</v>
      </c>
      <c r="AQ330" s="53">
        <f t="shared" si="55"/>
        <v>0</v>
      </c>
      <c r="AR330" s="53">
        <f t="shared" si="55"/>
        <v>0</v>
      </c>
      <c r="AS330" s="53">
        <f t="shared" si="55"/>
        <v>0</v>
      </c>
      <c r="AT330" s="53">
        <f t="shared" si="55"/>
        <v>0</v>
      </c>
      <c r="AU330" s="53">
        <f t="shared" si="55"/>
        <v>0</v>
      </c>
      <c r="AV330" s="53">
        <f t="shared" si="55"/>
        <v>0</v>
      </c>
      <c r="AW330" s="53">
        <f t="shared" si="55"/>
        <v>0</v>
      </c>
      <c r="AX330" s="53">
        <f t="shared" si="56"/>
        <v>1187137713.7713771</v>
      </c>
      <c r="AY330" s="41" t="s">
        <v>557</v>
      </c>
    </row>
    <row r="331" spans="1:51" x14ac:dyDescent="0.2">
      <c r="A331" s="41" t="s">
        <v>106</v>
      </c>
      <c r="B331" s="41">
        <v>2000</v>
      </c>
      <c r="C331" s="41" t="s">
        <v>87</v>
      </c>
      <c r="D331" s="41" t="s">
        <v>401</v>
      </c>
      <c r="E331" s="41">
        <v>100</v>
      </c>
      <c r="F331" s="41" t="s">
        <v>390</v>
      </c>
      <c r="G331" s="53">
        <v>8802880.2880288027</v>
      </c>
      <c r="H331" s="53"/>
      <c r="I331" s="46">
        <v>0.88824130879345597</v>
      </c>
      <c r="S331" s="46"/>
      <c r="T331" s="53">
        <v>7117.5891089108909</v>
      </c>
      <c r="AH331" s="53">
        <f t="shared" si="57"/>
        <v>8802880.2880288027</v>
      </c>
      <c r="AM331" s="53">
        <v>13204320.432043204</v>
      </c>
      <c r="AO331" s="53">
        <f t="shared" si="55"/>
        <v>0</v>
      </c>
      <c r="AP331" s="53">
        <f t="shared" si="55"/>
        <v>7819081.9081908185</v>
      </c>
      <c r="AQ331" s="53">
        <f t="shared" si="55"/>
        <v>0</v>
      </c>
      <c r="AR331" s="53">
        <f t="shared" si="55"/>
        <v>0</v>
      </c>
      <c r="AS331" s="53">
        <f t="shared" si="55"/>
        <v>0</v>
      </c>
      <c r="AT331" s="53">
        <f t="shared" si="55"/>
        <v>0</v>
      </c>
      <c r="AU331" s="53">
        <f t="shared" si="55"/>
        <v>0</v>
      </c>
      <c r="AV331" s="53">
        <f t="shared" si="55"/>
        <v>0</v>
      </c>
      <c r="AW331" s="53">
        <f t="shared" si="55"/>
        <v>0</v>
      </c>
      <c r="AX331" s="53">
        <f t="shared" si="56"/>
        <v>880288028.80288029</v>
      </c>
      <c r="AY331" s="41" t="s">
        <v>557</v>
      </c>
    </row>
    <row r="332" spans="1:51" x14ac:dyDescent="0.2">
      <c r="A332" s="41" t="s">
        <v>106</v>
      </c>
      <c r="B332" s="41">
        <v>2001</v>
      </c>
      <c r="C332" s="41" t="s">
        <v>87</v>
      </c>
      <c r="D332" s="41" t="s">
        <v>401</v>
      </c>
      <c r="E332" s="41">
        <v>100</v>
      </c>
      <c r="F332" s="41" t="s">
        <v>390</v>
      </c>
      <c r="G332" s="53">
        <v>7920792.0792079205</v>
      </c>
      <c r="H332" s="53"/>
      <c r="I332" s="46">
        <v>0.97032954545454542</v>
      </c>
      <c r="S332" s="46"/>
      <c r="T332" s="53">
        <v>7133.6849684968511</v>
      </c>
      <c r="AH332" s="53">
        <f t="shared" si="57"/>
        <v>7920792.0792079205</v>
      </c>
      <c r="AM332" s="53">
        <v>11881188.118811881</v>
      </c>
      <c r="AO332" s="53">
        <f t="shared" si="55"/>
        <v>0</v>
      </c>
      <c r="AP332" s="53">
        <f t="shared" si="55"/>
        <v>7685778.5778577849</v>
      </c>
      <c r="AQ332" s="53">
        <f t="shared" si="55"/>
        <v>0</v>
      </c>
      <c r="AR332" s="53">
        <f t="shared" si="55"/>
        <v>0</v>
      </c>
      <c r="AS332" s="53">
        <f t="shared" si="55"/>
        <v>0</v>
      </c>
      <c r="AT332" s="53">
        <f t="shared" si="55"/>
        <v>0</v>
      </c>
      <c r="AU332" s="53">
        <f t="shared" si="55"/>
        <v>0</v>
      </c>
      <c r="AV332" s="53">
        <f t="shared" si="55"/>
        <v>0</v>
      </c>
      <c r="AW332" s="53">
        <f t="shared" si="55"/>
        <v>0</v>
      </c>
      <c r="AX332" s="53">
        <f t="shared" si="56"/>
        <v>792079207.9207921</v>
      </c>
      <c r="AY332" s="41" t="s">
        <v>557</v>
      </c>
    </row>
    <row r="333" spans="1:51" x14ac:dyDescent="0.2">
      <c r="A333" s="41" t="s">
        <v>574</v>
      </c>
      <c r="B333" s="41">
        <v>2009</v>
      </c>
      <c r="C333" s="41" t="s">
        <v>87</v>
      </c>
      <c r="D333" s="41" t="s">
        <v>398</v>
      </c>
      <c r="E333" s="41">
        <v>100</v>
      </c>
      <c r="F333" s="41" t="s">
        <v>575</v>
      </c>
      <c r="G333" s="53">
        <v>2250763.2000000002</v>
      </c>
      <c r="H333" s="41">
        <v>0.14000000000000001</v>
      </c>
      <c r="I333" s="46">
        <v>1.0970017636684304</v>
      </c>
      <c r="R333" s="76">
        <f>5*S333</f>
        <v>12194.635017600003</v>
      </c>
      <c r="S333" s="53">
        <v>2438.9270035200007</v>
      </c>
      <c r="T333" s="53">
        <v>3794.2</v>
      </c>
      <c r="AH333" s="53">
        <f>G333-R333</f>
        <v>2238568.5649824003</v>
      </c>
      <c r="AM333" s="53">
        <v>6412996.7999999998</v>
      </c>
      <c r="AO333" s="53">
        <f t="shared" si="55"/>
        <v>315106.84800000006</v>
      </c>
      <c r="AP333" s="53">
        <f t="shared" si="55"/>
        <v>2469091.2000000002</v>
      </c>
      <c r="AQ333" s="53">
        <f t="shared" si="55"/>
        <v>0</v>
      </c>
      <c r="AR333" s="53">
        <f t="shared" si="55"/>
        <v>0</v>
      </c>
      <c r="AS333" s="53">
        <f t="shared" si="55"/>
        <v>0</v>
      </c>
      <c r="AT333" s="53">
        <f t="shared" si="55"/>
        <v>0</v>
      </c>
      <c r="AU333" s="53">
        <f t="shared" si="55"/>
        <v>0</v>
      </c>
      <c r="AV333" s="53">
        <f t="shared" si="55"/>
        <v>0</v>
      </c>
      <c r="AW333" s="53">
        <f t="shared" si="55"/>
        <v>0</v>
      </c>
      <c r="AX333" s="53">
        <f t="shared" si="56"/>
        <v>225076320.00000003</v>
      </c>
      <c r="AY333" s="41" t="s">
        <v>557</v>
      </c>
    </row>
    <row r="334" spans="1:51" x14ac:dyDescent="0.2">
      <c r="A334" s="41" t="s">
        <v>574</v>
      </c>
      <c r="B334" s="41">
        <v>2010</v>
      </c>
      <c r="C334" s="41" t="s">
        <v>87</v>
      </c>
      <c r="D334" s="41" t="s">
        <v>398</v>
      </c>
      <c r="E334" s="41">
        <v>100</v>
      </c>
      <c r="F334" s="41" t="s">
        <v>575</v>
      </c>
      <c r="G334" s="53">
        <v>26619062.399999999</v>
      </c>
      <c r="H334" s="41">
        <v>0.12</v>
      </c>
      <c r="I334" s="46">
        <v>1.0284391534391535</v>
      </c>
      <c r="R334" s="76">
        <f t="shared" ref="R334:R341" si="58">5*S334</f>
        <v>132562.93075200001</v>
      </c>
      <c r="S334" s="53">
        <v>26512.586150400002</v>
      </c>
      <c r="T334" s="53">
        <v>22640.799999999999</v>
      </c>
      <c r="AH334" s="53">
        <f t="shared" ref="AH334:AH341" si="59">G334-R334</f>
        <v>26486499.469247997</v>
      </c>
      <c r="AM334" s="53">
        <v>46071244.799999997</v>
      </c>
      <c r="AO334" s="53">
        <f t="shared" si="55"/>
        <v>3194287.4879999999</v>
      </c>
      <c r="AP334" s="53">
        <f t="shared" si="55"/>
        <v>27376086</v>
      </c>
      <c r="AQ334" s="53">
        <f t="shared" si="55"/>
        <v>0</v>
      </c>
      <c r="AR334" s="53">
        <f t="shared" si="55"/>
        <v>0</v>
      </c>
      <c r="AS334" s="53">
        <f t="shared" si="55"/>
        <v>0</v>
      </c>
      <c r="AT334" s="53">
        <f t="shared" si="55"/>
        <v>0</v>
      </c>
      <c r="AU334" s="53">
        <f t="shared" si="55"/>
        <v>0</v>
      </c>
      <c r="AV334" s="53">
        <f t="shared" si="55"/>
        <v>0</v>
      </c>
      <c r="AW334" s="53">
        <f t="shared" si="55"/>
        <v>0</v>
      </c>
      <c r="AX334" s="53">
        <f t="shared" si="56"/>
        <v>2661906240</v>
      </c>
      <c r="AY334" s="41" t="s">
        <v>557</v>
      </c>
    </row>
    <row r="335" spans="1:51" x14ac:dyDescent="0.2">
      <c r="A335" s="41" t="s">
        <v>574</v>
      </c>
      <c r="B335" s="41">
        <v>2011</v>
      </c>
      <c r="C335" s="41" t="s">
        <v>87</v>
      </c>
      <c r="D335" s="41" t="s">
        <v>398</v>
      </c>
      <c r="E335" s="41">
        <v>100</v>
      </c>
      <c r="F335" s="41" t="s">
        <v>575</v>
      </c>
      <c r="G335" s="53">
        <v>31726598.399999999</v>
      </c>
      <c r="H335" s="41">
        <v>0.13</v>
      </c>
      <c r="I335" s="46">
        <v>0.89131393298059958</v>
      </c>
      <c r="R335" s="76">
        <f t="shared" si="58"/>
        <v>162297.41411519999</v>
      </c>
      <c r="S335" s="53">
        <v>32459.482823040002</v>
      </c>
      <c r="T335" s="53">
        <v>23045.1</v>
      </c>
      <c r="AH335" s="53">
        <f t="shared" si="59"/>
        <v>31564300.985884797</v>
      </c>
      <c r="AM335" s="53">
        <v>43213564.799999997</v>
      </c>
      <c r="AO335" s="53">
        <f t="shared" si="55"/>
        <v>4124457.7919999999</v>
      </c>
      <c r="AP335" s="53">
        <f t="shared" si="55"/>
        <v>28278359.199999996</v>
      </c>
      <c r="AQ335" s="53">
        <f t="shared" si="55"/>
        <v>0</v>
      </c>
      <c r="AR335" s="53">
        <f t="shared" si="55"/>
        <v>0</v>
      </c>
      <c r="AS335" s="53">
        <f t="shared" si="55"/>
        <v>0</v>
      </c>
      <c r="AT335" s="53">
        <f t="shared" si="55"/>
        <v>0</v>
      </c>
      <c r="AU335" s="53">
        <f t="shared" si="55"/>
        <v>0</v>
      </c>
      <c r="AV335" s="53">
        <f t="shared" si="55"/>
        <v>0</v>
      </c>
      <c r="AW335" s="53">
        <f t="shared" si="55"/>
        <v>0</v>
      </c>
      <c r="AX335" s="53">
        <f t="shared" si="56"/>
        <v>3172659840</v>
      </c>
      <c r="AY335" s="41" t="s">
        <v>557</v>
      </c>
    </row>
    <row r="336" spans="1:51" x14ac:dyDescent="0.2">
      <c r="A336" s="41" t="s">
        <v>574</v>
      </c>
      <c r="B336" s="41">
        <v>2012</v>
      </c>
      <c r="C336" s="41" t="s">
        <v>87</v>
      </c>
      <c r="D336" s="41" t="s">
        <v>398</v>
      </c>
      <c r="E336" s="41">
        <v>100</v>
      </c>
      <c r="F336" s="41" t="s">
        <v>575</v>
      </c>
      <c r="G336" s="53">
        <v>33395846.399999999</v>
      </c>
      <c r="H336" s="41">
        <v>0.13</v>
      </c>
      <c r="I336" s="46">
        <v>0.85703262786596124</v>
      </c>
      <c r="R336" s="76">
        <f t="shared" si="58"/>
        <v>167580.3572352</v>
      </c>
      <c r="S336" s="53">
        <v>33516.071447039998</v>
      </c>
      <c r="T336" s="53">
        <v>22516.400000000001</v>
      </c>
      <c r="AH336" s="53">
        <f t="shared" si="59"/>
        <v>33228266.042764798</v>
      </c>
      <c r="AM336" s="53">
        <v>43662628.799999997</v>
      </c>
      <c r="AO336" s="53">
        <f t="shared" si="55"/>
        <v>4341460.0319999997</v>
      </c>
      <c r="AP336" s="53">
        <f t="shared" si="55"/>
        <v>28621330</v>
      </c>
      <c r="AQ336" s="53">
        <f t="shared" si="55"/>
        <v>0</v>
      </c>
      <c r="AR336" s="53">
        <f t="shared" si="55"/>
        <v>0</v>
      </c>
      <c r="AS336" s="53">
        <f t="shared" si="55"/>
        <v>0</v>
      </c>
      <c r="AT336" s="53">
        <f t="shared" si="55"/>
        <v>0</v>
      </c>
      <c r="AU336" s="53">
        <f t="shared" si="55"/>
        <v>0</v>
      </c>
      <c r="AV336" s="53">
        <f t="shared" si="55"/>
        <v>0</v>
      </c>
      <c r="AW336" s="53">
        <f t="shared" si="55"/>
        <v>0</v>
      </c>
      <c r="AX336" s="53">
        <f t="shared" si="56"/>
        <v>3339584640</v>
      </c>
      <c r="AY336" s="41" t="s">
        <v>557</v>
      </c>
    </row>
    <row r="337" spans="1:51" x14ac:dyDescent="0.2">
      <c r="A337" s="41" t="s">
        <v>574</v>
      </c>
      <c r="B337" s="41">
        <v>2013</v>
      </c>
      <c r="C337" s="41" t="s">
        <v>87</v>
      </c>
      <c r="D337" s="41" t="s">
        <v>398</v>
      </c>
      <c r="E337" s="41">
        <v>100</v>
      </c>
      <c r="F337" s="41" t="s">
        <v>575</v>
      </c>
      <c r="G337" s="53">
        <v>32695488</v>
      </c>
      <c r="H337" s="41">
        <v>0.13</v>
      </c>
      <c r="I337" s="46">
        <v>0.82275132275132279</v>
      </c>
      <c r="R337" s="76">
        <f t="shared" si="58"/>
        <v>163003.35542400001</v>
      </c>
      <c r="S337" s="53">
        <v>32600.6710848</v>
      </c>
      <c r="T337" s="53">
        <v>21894.400000000001</v>
      </c>
      <c r="AH337" s="53">
        <f t="shared" si="59"/>
        <v>32532484.644575998</v>
      </c>
      <c r="AM337" s="53">
        <v>53713497.600000001</v>
      </c>
      <c r="AO337" s="53">
        <f t="shared" si="55"/>
        <v>4250413.4400000004</v>
      </c>
      <c r="AP337" s="53">
        <f t="shared" si="55"/>
        <v>26900256</v>
      </c>
      <c r="AQ337" s="53">
        <f t="shared" si="55"/>
        <v>0</v>
      </c>
      <c r="AR337" s="53">
        <f t="shared" si="55"/>
        <v>0</v>
      </c>
      <c r="AS337" s="53">
        <f t="shared" si="55"/>
        <v>0</v>
      </c>
      <c r="AT337" s="53">
        <f t="shared" si="55"/>
        <v>0</v>
      </c>
      <c r="AU337" s="53">
        <f t="shared" si="55"/>
        <v>0</v>
      </c>
      <c r="AV337" s="53">
        <f t="shared" si="55"/>
        <v>0</v>
      </c>
      <c r="AW337" s="53">
        <f t="shared" si="55"/>
        <v>0</v>
      </c>
      <c r="AX337" s="53">
        <f t="shared" si="56"/>
        <v>3269548800</v>
      </c>
      <c r="AY337" s="41" t="s">
        <v>557</v>
      </c>
    </row>
    <row r="338" spans="1:51" x14ac:dyDescent="0.2">
      <c r="A338" s="41" t="s">
        <v>574</v>
      </c>
      <c r="B338" s="41">
        <v>2014</v>
      </c>
      <c r="C338" s="41" t="s">
        <v>87</v>
      </c>
      <c r="D338" s="41" t="s">
        <v>398</v>
      </c>
      <c r="E338" s="41">
        <v>100</v>
      </c>
      <c r="F338" s="41" t="s">
        <v>575</v>
      </c>
      <c r="G338" s="53">
        <v>35462448</v>
      </c>
      <c r="H338" s="41">
        <v>0.12</v>
      </c>
      <c r="I338" s="46">
        <v>0.75418871252204589</v>
      </c>
      <c r="R338" s="76">
        <f t="shared" si="58"/>
        <v>164262.05913600003</v>
      </c>
      <c r="S338" s="53">
        <v>32852.411827200005</v>
      </c>
      <c r="T338" s="53">
        <v>21645.599999999999</v>
      </c>
      <c r="AH338" s="53">
        <f t="shared" si="59"/>
        <v>35298185.940863997</v>
      </c>
      <c r="AM338" s="53">
        <v>46836921.600000001</v>
      </c>
      <c r="AO338" s="53">
        <f t="shared" si="55"/>
        <v>4255493.76</v>
      </c>
      <c r="AP338" s="53">
        <f t="shared" si="55"/>
        <v>26745378</v>
      </c>
      <c r="AQ338" s="53">
        <f t="shared" si="55"/>
        <v>0</v>
      </c>
      <c r="AR338" s="53">
        <f t="shared" si="55"/>
        <v>0</v>
      </c>
      <c r="AS338" s="53">
        <f t="shared" si="55"/>
        <v>0</v>
      </c>
      <c r="AT338" s="53">
        <f t="shared" si="55"/>
        <v>0</v>
      </c>
      <c r="AU338" s="53">
        <f t="shared" si="55"/>
        <v>0</v>
      </c>
      <c r="AV338" s="53">
        <f t="shared" si="55"/>
        <v>0</v>
      </c>
      <c r="AW338" s="53">
        <f t="shared" si="55"/>
        <v>0</v>
      </c>
      <c r="AX338" s="53">
        <f t="shared" si="56"/>
        <v>3546244800</v>
      </c>
      <c r="AY338" s="41" t="s">
        <v>557</v>
      </c>
    </row>
    <row r="339" spans="1:51" x14ac:dyDescent="0.2">
      <c r="A339" s="41" t="s">
        <v>574</v>
      </c>
      <c r="B339" s="41">
        <v>2015</v>
      </c>
      <c r="C339" s="41" t="s">
        <v>87</v>
      </c>
      <c r="D339" s="41" t="s">
        <v>398</v>
      </c>
      <c r="E339" s="41">
        <v>100</v>
      </c>
      <c r="F339" s="41" t="s">
        <v>575</v>
      </c>
      <c r="G339" s="53">
        <v>37221508.799999997</v>
      </c>
      <c r="H339" s="41">
        <v>0.13</v>
      </c>
      <c r="I339" s="46">
        <v>0.82275132275132279</v>
      </c>
      <c r="R339" s="76">
        <f t="shared" si="58"/>
        <v>189922.74865200001</v>
      </c>
      <c r="S339" s="53">
        <v>37984.549730400002</v>
      </c>
      <c r="T339" s="53">
        <v>24693.4</v>
      </c>
      <c r="AH339" s="53">
        <f t="shared" si="59"/>
        <v>37031586.051347993</v>
      </c>
      <c r="AM339" s="53">
        <v>33808622.399999999</v>
      </c>
      <c r="AO339" s="53">
        <f t="shared" si="55"/>
        <v>4838796.1439999994</v>
      </c>
      <c r="AP339" s="53">
        <f t="shared" si="55"/>
        <v>30624045.599999998</v>
      </c>
      <c r="AQ339" s="53">
        <f t="shared" si="55"/>
        <v>0</v>
      </c>
      <c r="AR339" s="53">
        <f t="shared" si="55"/>
        <v>0</v>
      </c>
      <c r="AS339" s="53">
        <f t="shared" si="55"/>
        <v>0</v>
      </c>
      <c r="AT339" s="53">
        <f t="shared" si="55"/>
        <v>0</v>
      </c>
      <c r="AU339" s="53">
        <f t="shared" si="55"/>
        <v>0</v>
      </c>
      <c r="AV339" s="53">
        <f t="shared" si="55"/>
        <v>0</v>
      </c>
      <c r="AW339" s="53">
        <f t="shared" si="55"/>
        <v>0</v>
      </c>
      <c r="AX339" s="53">
        <f t="shared" si="56"/>
        <v>3722150879.9999995</v>
      </c>
      <c r="AY339" s="41" t="s">
        <v>557</v>
      </c>
    </row>
    <row r="340" spans="1:51" x14ac:dyDescent="0.2">
      <c r="A340" s="41" t="s">
        <v>574</v>
      </c>
      <c r="B340" s="41">
        <v>2016</v>
      </c>
      <c r="C340" s="41" t="s">
        <v>87</v>
      </c>
      <c r="D340" s="41" t="s">
        <v>398</v>
      </c>
      <c r="E340" s="41">
        <v>100</v>
      </c>
      <c r="F340" s="41" t="s">
        <v>575</v>
      </c>
      <c r="G340" s="53">
        <v>37932753.600000001</v>
      </c>
      <c r="H340" s="41">
        <v>0.13</v>
      </c>
      <c r="I340" s="46">
        <v>0.78847001763668434</v>
      </c>
      <c r="R340" s="76">
        <f t="shared" si="58"/>
        <v>195770.94132960003</v>
      </c>
      <c r="S340" s="53">
        <v>39154.188265920006</v>
      </c>
      <c r="T340" s="53">
        <v>24880</v>
      </c>
      <c r="AH340" s="53">
        <f t="shared" si="59"/>
        <v>37736982.658670403</v>
      </c>
      <c r="AM340" s="53">
        <v>38446228.799999997</v>
      </c>
      <c r="AO340" s="53">
        <f t="shared" si="55"/>
        <v>4931257.9680000003</v>
      </c>
      <c r="AP340" s="53">
        <f t="shared" si="55"/>
        <v>29908838.900000002</v>
      </c>
      <c r="AQ340" s="53">
        <f t="shared" si="55"/>
        <v>0</v>
      </c>
      <c r="AR340" s="53">
        <f t="shared" si="55"/>
        <v>0</v>
      </c>
      <c r="AS340" s="53">
        <f t="shared" si="55"/>
        <v>0</v>
      </c>
      <c r="AT340" s="53">
        <f t="shared" si="55"/>
        <v>0</v>
      </c>
      <c r="AU340" s="53">
        <f t="shared" si="55"/>
        <v>0</v>
      </c>
      <c r="AV340" s="53">
        <f t="shared" si="55"/>
        <v>0</v>
      </c>
      <c r="AW340" s="53">
        <f t="shared" si="55"/>
        <v>0</v>
      </c>
      <c r="AX340" s="53">
        <f t="shared" si="56"/>
        <v>3793275360</v>
      </c>
      <c r="AY340" s="41" t="s">
        <v>557</v>
      </c>
    </row>
    <row r="341" spans="1:51" x14ac:dyDescent="0.2">
      <c r="A341" s="41" t="s">
        <v>574</v>
      </c>
      <c r="B341" s="41" t="s">
        <v>567</v>
      </c>
      <c r="C341" s="41" t="s">
        <v>87</v>
      </c>
      <c r="D341" s="41" t="s">
        <v>398</v>
      </c>
      <c r="E341" s="41">
        <v>100</v>
      </c>
      <c r="F341" s="41" t="s">
        <v>575</v>
      </c>
      <c r="G341" s="53">
        <f>21260000*0.9072</f>
        <v>19287072</v>
      </c>
      <c r="H341" s="41">
        <v>0.13</v>
      </c>
      <c r="I341" s="46">
        <f>0.024*31.1/0.9072</f>
        <v>0.82275132275132279</v>
      </c>
      <c r="R341" s="76">
        <f t="shared" si="58"/>
        <v>92987.390002721586</v>
      </c>
      <c r="S341" s="53">
        <f>41000000/2204.6</f>
        <v>18597.478000544317</v>
      </c>
      <c r="T341" s="53">
        <f>414000*31.1/1000</f>
        <v>12875.4</v>
      </c>
      <c r="AH341" s="53">
        <f t="shared" si="59"/>
        <v>19194084.60999728</v>
      </c>
      <c r="AM341" s="53">
        <f>20881000*0.9072</f>
        <v>18943243.199999999</v>
      </c>
      <c r="AO341" s="53">
        <f t="shared" si="55"/>
        <v>2507319.36</v>
      </c>
      <c r="AP341" s="53">
        <f t="shared" si="55"/>
        <v>15868464</v>
      </c>
      <c r="AQ341" s="53">
        <f t="shared" si="55"/>
        <v>0</v>
      </c>
      <c r="AR341" s="53">
        <f t="shared" si="55"/>
        <v>0</v>
      </c>
      <c r="AS341" s="53">
        <f t="shared" si="55"/>
        <v>0</v>
      </c>
      <c r="AT341" s="53">
        <f t="shared" si="55"/>
        <v>0</v>
      </c>
      <c r="AU341" s="53">
        <f t="shared" si="55"/>
        <v>0</v>
      </c>
      <c r="AV341" s="53">
        <f t="shared" si="55"/>
        <v>0</v>
      </c>
      <c r="AW341" s="53">
        <f t="shared" si="55"/>
        <v>0</v>
      </c>
      <c r="AX341" s="53">
        <f t="shared" si="56"/>
        <v>1928707200</v>
      </c>
      <c r="AY341" s="41" t="s">
        <v>557</v>
      </c>
    </row>
    <row r="342" spans="1:51" x14ac:dyDescent="0.2">
      <c r="A342" s="41" t="s">
        <v>574</v>
      </c>
      <c r="B342" s="60" t="s">
        <v>559</v>
      </c>
      <c r="C342" s="60" t="s">
        <v>87</v>
      </c>
      <c r="D342" s="60" t="s">
        <v>398</v>
      </c>
      <c r="E342" s="78">
        <f>AX342/G342</f>
        <v>99.857062525013788</v>
      </c>
      <c r="F342" s="60" t="s">
        <v>575</v>
      </c>
      <c r="G342" s="79">
        <f>SUM(G319:G341)</f>
        <v>391441807.19174296</v>
      </c>
      <c r="H342" s="80">
        <f>AO342/G342</f>
        <v>8.3687005910315568E-2</v>
      </c>
      <c r="I342" s="80">
        <f>AP342/G342</f>
        <v>1.0356573352683753</v>
      </c>
      <c r="R342" s="79">
        <f>SUM(R319:R341)</f>
        <v>1280581.8316643217</v>
      </c>
      <c r="S342" s="79">
        <f>SUM(S319:S341)</f>
        <v>256116.36633286433</v>
      </c>
      <c r="T342" s="79">
        <f>SUM(T319:T341)</f>
        <v>352428.28938055807</v>
      </c>
      <c r="AH342" s="79">
        <f>SUM(AH319:AH341)</f>
        <v>390161225.36007857</v>
      </c>
      <c r="AM342" s="79">
        <f>SUM(AM319:AM341)</f>
        <v>494484486.13761449</v>
      </c>
      <c r="AO342" s="79">
        <f t="shared" ref="AO342:AX342" si="60">SUM(AO319:AO341)</f>
        <v>32758592.832000002</v>
      </c>
      <c r="AP342" s="79">
        <f t="shared" si="60"/>
        <v>405399578.94883764</v>
      </c>
      <c r="AQ342" s="79">
        <f t="shared" si="60"/>
        <v>0</v>
      </c>
      <c r="AR342" s="79">
        <f t="shared" si="60"/>
        <v>0</v>
      </c>
      <c r="AS342" s="79">
        <f t="shared" si="60"/>
        <v>0</v>
      </c>
      <c r="AT342" s="79">
        <f t="shared" si="60"/>
        <v>0</v>
      </c>
      <c r="AU342" s="79">
        <f t="shared" si="60"/>
        <v>0</v>
      </c>
      <c r="AV342" s="79">
        <f t="shared" si="60"/>
        <v>0</v>
      </c>
      <c r="AW342" s="79">
        <f t="shared" si="60"/>
        <v>0</v>
      </c>
      <c r="AX342" s="79">
        <f t="shared" si="60"/>
        <v>39088229015.650269</v>
      </c>
      <c r="AY342" s="41" t="s">
        <v>557</v>
      </c>
    </row>
    <row r="343" spans="1:51" x14ac:dyDescent="0.2">
      <c r="A343" s="41" t="s">
        <v>574</v>
      </c>
      <c r="B343" s="43" t="s">
        <v>560</v>
      </c>
      <c r="G343" s="53">
        <f>STDEV(G319:G341)</f>
        <v>11785997.884968255</v>
      </c>
      <c r="H343" s="46">
        <f>STDEV(H319:H341)</f>
        <v>6.0092521257733211E-3</v>
      </c>
      <c r="I343" s="46">
        <f>STDEV(I319:I341)</f>
        <v>0.4342430440672933</v>
      </c>
      <c r="R343" s="53">
        <f>STDEV(R319:R341)</f>
        <v>57587.943860177882</v>
      </c>
      <c r="S343" s="53">
        <f>STDEV(S319:S341)</f>
        <v>11517.58877203558</v>
      </c>
      <c r="T343" s="53">
        <f>STDEV(T319:T341)</f>
        <v>5977.8868499827222</v>
      </c>
      <c r="AH343" s="53">
        <f>STDEV(AH319:AH341)</f>
        <v>11709068.869173434</v>
      </c>
      <c r="AM343" s="53">
        <f>STDEV(AM319:AM341)</f>
        <v>15586975.973947052</v>
      </c>
      <c r="AY343" s="41" t="s">
        <v>557</v>
      </c>
    </row>
    <row r="344" spans="1:51" x14ac:dyDescent="0.2">
      <c r="A344" s="41" t="s">
        <v>574</v>
      </c>
      <c r="B344" s="81" t="s">
        <v>249</v>
      </c>
      <c r="G344" s="41">
        <f>COUNT(G319:G341)</f>
        <v>23</v>
      </c>
      <c r="H344" s="41">
        <f>COUNT(H319:H341)</f>
        <v>9</v>
      </c>
      <c r="I344" s="41">
        <f>COUNT(I319:I341)</f>
        <v>23</v>
      </c>
      <c r="R344" s="41">
        <f>COUNT(R319:R341)</f>
        <v>9</v>
      </c>
      <c r="S344" s="41">
        <f>COUNT(S319:S341)</f>
        <v>9</v>
      </c>
      <c r="T344" s="41">
        <f>COUNT(T319:T341)</f>
        <v>23</v>
      </c>
      <c r="AH344" s="41">
        <f>COUNT(AH319:AH341)</f>
        <v>23</v>
      </c>
      <c r="AM344" s="41">
        <f>COUNT(AM319:AM341)</f>
        <v>23</v>
      </c>
      <c r="AY344" s="41" t="s">
        <v>557</v>
      </c>
    </row>
    <row r="345" spans="1:51" x14ac:dyDescent="0.2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8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41" t="s">
        <v>557</v>
      </c>
    </row>
    <row r="346" spans="1:51" x14ac:dyDescent="0.2">
      <c r="A346" s="41" t="s">
        <v>426</v>
      </c>
      <c r="B346" s="41" t="s">
        <v>576</v>
      </c>
      <c r="C346" s="41" t="s">
        <v>87</v>
      </c>
      <c r="D346" s="41" t="s">
        <v>401</v>
      </c>
      <c r="E346" s="41">
        <v>100</v>
      </c>
      <c r="F346" s="41" t="s">
        <v>577</v>
      </c>
      <c r="G346" s="53">
        <f>635000+534000+570000</f>
        <v>1739000</v>
      </c>
      <c r="I346" s="46">
        <f>(2.19*635000+2.37*534000+2.42*570000)/G346</f>
        <v>2.3206612995974698</v>
      </c>
      <c r="T346" s="53">
        <f>(36735+40100+43607)*31.1/1000</f>
        <v>3745.7462</v>
      </c>
      <c r="AM346" s="53">
        <f>(3020000-996000)+(3014000-695000)+(3152000-594000)+(3877000-878000)</f>
        <v>9900000</v>
      </c>
      <c r="AO346" s="53">
        <f t="shared" ref="AO346:AW353" si="61">$G346*H346</f>
        <v>0</v>
      </c>
      <c r="AP346" s="53">
        <f t="shared" si="61"/>
        <v>4035630</v>
      </c>
      <c r="AQ346" s="53">
        <f t="shared" si="61"/>
        <v>0</v>
      </c>
      <c r="AR346" s="53">
        <f t="shared" si="61"/>
        <v>0</v>
      </c>
      <c r="AS346" s="53">
        <f t="shared" si="61"/>
        <v>0</v>
      </c>
      <c r="AT346" s="53">
        <f t="shared" si="61"/>
        <v>0</v>
      </c>
      <c r="AU346" s="53">
        <f t="shared" si="61"/>
        <v>0</v>
      </c>
      <c r="AV346" s="53">
        <f t="shared" si="61"/>
        <v>0</v>
      </c>
      <c r="AW346" s="53">
        <f t="shared" si="61"/>
        <v>0</v>
      </c>
      <c r="AX346" s="53">
        <f t="shared" si="46"/>
        <v>173900000</v>
      </c>
      <c r="AY346" s="41" t="s">
        <v>557</v>
      </c>
    </row>
    <row r="347" spans="1:51" x14ac:dyDescent="0.2">
      <c r="A347" s="41" t="s">
        <v>426</v>
      </c>
      <c r="B347" s="41" t="s">
        <v>578</v>
      </c>
      <c r="C347" s="41" t="s">
        <v>87</v>
      </c>
      <c r="D347" s="41" t="s">
        <v>401</v>
      </c>
      <c r="E347" s="41">
        <v>100</v>
      </c>
      <c r="F347" s="41" t="s">
        <v>577</v>
      </c>
      <c r="G347" s="53">
        <f>426000+518000+481000+446000</f>
        <v>1871000</v>
      </c>
      <c r="I347" s="46">
        <f>(2.39*426000+2.42*518000+1.83*481000+1.62*446000)/G347</f>
        <v>2.0707910208444682</v>
      </c>
      <c r="T347" s="53">
        <f>(31896+34420+26628+22510)*31.1/1000</f>
        <v>3590.6194000000005</v>
      </c>
      <c r="AM347" s="53">
        <f>(3020000-996000)+(3014000-695000)+(3152000-594000)+(3877000-878000)</f>
        <v>9900000</v>
      </c>
      <c r="AO347" s="53">
        <f t="shared" si="61"/>
        <v>0</v>
      </c>
      <c r="AP347" s="53">
        <f t="shared" si="61"/>
        <v>3874450</v>
      </c>
      <c r="AQ347" s="53">
        <f t="shared" si="61"/>
        <v>0</v>
      </c>
      <c r="AR347" s="53">
        <f t="shared" si="61"/>
        <v>0</v>
      </c>
      <c r="AS347" s="53">
        <f t="shared" si="61"/>
        <v>0</v>
      </c>
      <c r="AT347" s="53">
        <f t="shared" si="61"/>
        <v>0</v>
      </c>
      <c r="AU347" s="53">
        <f t="shared" si="61"/>
        <v>0</v>
      </c>
      <c r="AV347" s="53">
        <f t="shared" si="61"/>
        <v>0</v>
      </c>
      <c r="AW347" s="53">
        <f t="shared" si="61"/>
        <v>0</v>
      </c>
      <c r="AX347" s="53">
        <f t="shared" si="46"/>
        <v>187100000</v>
      </c>
      <c r="AY347" s="41" t="s">
        <v>557</v>
      </c>
    </row>
    <row r="348" spans="1:51" x14ac:dyDescent="0.2">
      <c r="A348" s="41" t="s">
        <v>426</v>
      </c>
      <c r="B348" s="41" t="s">
        <v>579</v>
      </c>
      <c r="C348" s="41" t="s">
        <v>87</v>
      </c>
      <c r="D348" s="41" t="s">
        <v>401</v>
      </c>
      <c r="E348" s="41">
        <v>100</v>
      </c>
      <c r="F348" s="41" t="s">
        <v>577</v>
      </c>
      <c r="G348" s="53">
        <v>1047000</v>
      </c>
      <c r="I348" s="41">
        <v>1.59</v>
      </c>
      <c r="J348" s="56">
        <f t="shared" ref="J348:J353" si="62">1000*U348/G348/0.6</f>
        <v>0.26075087551735121</v>
      </c>
      <c r="T348" s="53">
        <f>49940*31.1/1000</f>
        <v>1553.134</v>
      </c>
      <c r="U348" s="53">
        <f>5267*31.1/1000</f>
        <v>163.80370000000002</v>
      </c>
      <c r="AM348" s="53">
        <f>6832000-1047000</f>
        <v>5785000</v>
      </c>
      <c r="AO348" s="53">
        <f t="shared" si="61"/>
        <v>0</v>
      </c>
      <c r="AP348" s="53">
        <f t="shared" si="61"/>
        <v>1664730</v>
      </c>
      <c r="AQ348" s="53">
        <f t="shared" si="61"/>
        <v>273006.16666666674</v>
      </c>
      <c r="AR348" s="53">
        <f t="shared" si="61"/>
        <v>0</v>
      </c>
      <c r="AS348" s="53">
        <f t="shared" si="61"/>
        <v>0</v>
      </c>
      <c r="AT348" s="53">
        <f t="shared" si="61"/>
        <v>0</v>
      </c>
      <c r="AU348" s="53">
        <f t="shared" si="61"/>
        <v>0</v>
      </c>
      <c r="AV348" s="53">
        <f t="shared" si="61"/>
        <v>0</v>
      </c>
      <c r="AW348" s="53">
        <f t="shared" si="61"/>
        <v>0</v>
      </c>
      <c r="AX348" s="53">
        <f t="shared" si="46"/>
        <v>104700000</v>
      </c>
      <c r="AY348" s="41" t="s">
        <v>557</v>
      </c>
    </row>
    <row r="349" spans="1:51" x14ac:dyDescent="0.2">
      <c r="A349" s="41" t="s">
        <v>426</v>
      </c>
      <c r="B349" s="41" t="s">
        <v>571</v>
      </c>
      <c r="C349" s="41" t="s">
        <v>87</v>
      </c>
      <c r="D349" s="41" t="s">
        <v>401</v>
      </c>
      <c r="E349" s="41">
        <v>100</v>
      </c>
      <c r="F349" s="41" t="s">
        <v>577</v>
      </c>
      <c r="G349" s="53">
        <v>1887000</v>
      </c>
      <c r="I349" s="41">
        <v>1.66</v>
      </c>
      <c r="J349" s="56">
        <f t="shared" si="62"/>
        <v>0.36222902314078786</v>
      </c>
      <c r="T349" s="53">
        <f>92102*31.1/1000</f>
        <v>2864.3722000000002</v>
      </c>
      <c r="U349" s="53">
        <f>13187*31.1/1000</f>
        <v>410.1157</v>
      </c>
      <c r="AM349" s="53">
        <f>21791000-1887000</f>
        <v>19904000</v>
      </c>
      <c r="AO349" s="53">
        <f t="shared" si="61"/>
        <v>0</v>
      </c>
      <c r="AP349" s="53">
        <f t="shared" si="61"/>
        <v>3132420</v>
      </c>
      <c r="AQ349" s="53">
        <f t="shared" si="61"/>
        <v>683526.16666666674</v>
      </c>
      <c r="AR349" s="53">
        <f t="shared" si="61"/>
        <v>0</v>
      </c>
      <c r="AS349" s="53">
        <f t="shared" si="61"/>
        <v>0</v>
      </c>
      <c r="AT349" s="53">
        <f t="shared" si="61"/>
        <v>0</v>
      </c>
      <c r="AU349" s="53">
        <f t="shared" si="61"/>
        <v>0</v>
      </c>
      <c r="AV349" s="53">
        <f t="shared" si="61"/>
        <v>0</v>
      </c>
      <c r="AW349" s="53">
        <f t="shared" si="61"/>
        <v>0</v>
      </c>
      <c r="AX349" s="53">
        <f t="shared" si="46"/>
        <v>188700000</v>
      </c>
      <c r="AY349" s="41" t="s">
        <v>557</v>
      </c>
    </row>
    <row r="350" spans="1:51" x14ac:dyDescent="0.2">
      <c r="A350" s="41" t="s">
        <v>426</v>
      </c>
      <c r="B350" s="41" t="s">
        <v>573</v>
      </c>
      <c r="C350" s="41" t="s">
        <v>87</v>
      </c>
      <c r="D350" s="41" t="s">
        <v>401</v>
      </c>
      <c r="E350" s="41">
        <v>100</v>
      </c>
      <c r="F350" s="41" t="s">
        <v>577</v>
      </c>
      <c r="G350" s="53">
        <v>1896000</v>
      </c>
      <c r="I350" s="41">
        <v>1.57</v>
      </c>
      <c r="J350" s="56">
        <f t="shared" si="62"/>
        <v>0.50242246835443038</v>
      </c>
      <c r="T350" s="53">
        <f>90350*31.1/1000</f>
        <v>2809.8850000000002</v>
      </c>
      <c r="U350" s="53">
        <f>18378*31.1/1000</f>
        <v>571.55580000000009</v>
      </c>
      <c r="AM350" s="53">
        <f>22402000-1896000</f>
        <v>20506000</v>
      </c>
      <c r="AO350" s="53">
        <f t="shared" si="61"/>
        <v>0</v>
      </c>
      <c r="AP350" s="53">
        <f t="shared" si="61"/>
        <v>2976720</v>
      </c>
      <c r="AQ350" s="53">
        <f t="shared" si="61"/>
        <v>952593</v>
      </c>
      <c r="AR350" s="53">
        <f t="shared" si="61"/>
        <v>0</v>
      </c>
      <c r="AS350" s="53">
        <f t="shared" si="61"/>
        <v>0</v>
      </c>
      <c r="AT350" s="53">
        <f t="shared" si="61"/>
        <v>0</v>
      </c>
      <c r="AU350" s="53">
        <f t="shared" si="61"/>
        <v>0</v>
      </c>
      <c r="AV350" s="53">
        <f t="shared" si="61"/>
        <v>0</v>
      </c>
      <c r="AW350" s="53">
        <f t="shared" si="61"/>
        <v>0</v>
      </c>
      <c r="AX350" s="53">
        <f t="shared" si="46"/>
        <v>189600000</v>
      </c>
      <c r="AY350" s="41" t="s">
        <v>557</v>
      </c>
    </row>
    <row r="351" spans="1:51" x14ac:dyDescent="0.2">
      <c r="A351" s="41" t="s">
        <v>426</v>
      </c>
      <c r="B351" s="41" t="s">
        <v>580</v>
      </c>
      <c r="C351" s="41" t="s">
        <v>87</v>
      </c>
      <c r="D351" s="41" t="s">
        <v>401</v>
      </c>
      <c r="E351" s="41">
        <v>100</v>
      </c>
      <c r="F351" s="41" t="s">
        <v>577</v>
      </c>
      <c r="G351" s="53">
        <v>1974000</v>
      </c>
      <c r="I351" s="41">
        <v>1.62</v>
      </c>
      <c r="J351" s="56">
        <f t="shared" si="62"/>
        <v>0.49380834177642691</v>
      </c>
      <c r="T351" s="53">
        <f>94994*31.1/1000</f>
        <v>2954.3134</v>
      </c>
      <c r="U351" s="53">
        <f>18806*31.1/1000</f>
        <v>584.86659999999995</v>
      </c>
      <c r="AM351" s="53">
        <f>12059000-1974000</f>
        <v>10085000</v>
      </c>
      <c r="AO351" s="53">
        <f t="shared" si="61"/>
        <v>0</v>
      </c>
      <c r="AP351" s="53">
        <f t="shared" si="61"/>
        <v>3197880</v>
      </c>
      <c r="AQ351" s="53">
        <f t="shared" si="61"/>
        <v>974777.66666666674</v>
      </c>
      <c r="AR351" s="53">
        <f t="shared" si="61"/>
        <v>0</v>
      </c>
      <c r="AS351" s="53">
        <f t="shared" si="61"/>
        <v>0</v>
      </c>
      <c r="AT351" s="53">
        <f t="shared" si="61"/>
        <v>0</v>
      </c>
      <c r="AU351" s="53">
        <f t="shared" si="61"/>
        <v>0</v>
      </c>
      <c r="AV351" s="53">
        <f t="shared" si="61"/>
        <v>0</v>
      </c>
      <c r="AW351" s="53">
        <f t="shared" si="61"/>
        <v>0</v>
      </c>
      <c r="AX351" s="53">
        <f t="shared" si="46"/>
        <v>197400000</v>
      </c>
      <c r="AY351" s="41" t="s">
        <v>557</v>
      </c>
    </row>
    <row r="352" spans="1:51" x14ac:dyDescent="0.2">
      <c r="A352" s="41" t="s">
        <v>426</v>
      </c>
      <c r="B352" s="41" t="s">
        <v>581</v>
      </c>
      <c r="C352" s="41" t="s">
        <v>87</v>
      </c>
      <c r="D352" s="41" t="s">
        <v>401</v>
      </c>
      <c r="E352" s="41">
        <v>100</v>
      </c>
      <c r="F352" s="41" t="s">
        <v>577</v>
      </c>
      <c r="G352" s="53">
        <v>1976000</v>
      </c>
      <c r="I352" s="41">
        <v>1.99</v>
      </c>
      <c r="J352" s="56">
        <f t="shared" si="62"/>
        <v>0.49498734817813772</v>
      </c>
      <c r="T352" s="53">
        <f>119970*31.1/1000</f>
        <v>3731.067</v>
      </c>
      <c r="U352" s="53">
        <f>18870*31.1/1000</f>
        <v>586.85699999999997</v>
      </c>
      <c r="AM352" s="53">
        <f>10631000-1976000</f>
        <v>8655000</v>
      </c>
      <c r="AO352" s="53">
        <f t="shared" si="61"/>
        <v>0</v>
      </c>
      <c r="AP352" s="53">
        <f t="shared" si="61"/>
        <v>3932240</v>
      </c>
      <c r="AQ352" s="53">
        <f t="shared" si="61"/>
        <v>978095.00000000012</v>
      </c>
      <c r="AR352" s="53">
        <f t="shared" si="61"/>
        <v>0</v>
      </c>
      <c r="AS352" s="53">
        <f t="shared" si="61"/>
        <v>0</v>
      </c>
      <c r="AT352" s="53">
        <f t="shared" si="61"/>
        <v>0</v>
      </c>
      <c r="AU352" s="53">
        <f t="shared" si="61"/>
        <v>0</v>
      </c>
      <c r="AV352" s="53">
        <f t="shared" si="61"/>
        <v>0</v>
      </c>
      <c r="AW352" s="53">
        <f t="shared" si="61"/>
        <v>0</v>
      </c>
      <c r="AX352" s="53">
        <f>$G352*E352</f>
        <v>197600000</v>
      </c>
      <c r="AY352" s="41" t="s">
        <v>557</v>
      </c>
    </row>
    <row r="353" spans="1:51" x14ac:dyDescent="0.2">
      <c r="A353" s="41" t="s">
        <v>426</v>
      </c>
      <c r="B353" s="41" t="s">
        <v>582</v>
      </c>
      <c r="C353" s="41" t="s">
        <v>87</v>
      </c>
      <c r="D353" s="41" t="s">
        <v>401</v>
      </c>
      <c r="E353" s="41">
        <v>100</v>
      </c>
      <c r="F353" s="41" t="s">
        <v>577</v>
      </c>
      <c r="G353" s="53">
        <v>1178000</v>
      </c>
      <c r="I353" s="41">
        <v>2.06</v>
      </c>
      <c r="J353" s="56">
        <f t="shared" si="62"/>
        <v>0.4025663554046407</v>
      </c>
      <c r="T353" s="53">
        <f>74186*31.1/1000</f>
        <v>2307.1846</v>
      </c>
      <c r="U353" s="53">
        <f>9149*31.1/1000</f>
        <v>284.53390000000002</v>
      </c>
      <c r="AM353" s="53">
        <f>4075000-1178000</f>
        <v>2897000</v>
      </c>
      <c r="AO353" s="53">
        <f t="shared" si="61"/>
        <v>0</v>
      </c>
      <c r="AP353" s="53">
        <f t="shared" si="61"/>
        <v>2426680</v>
      </c>
      <c r="AQ353" s="53">
        <f t="shared" si="61"/>
        <v>474223.16666666674</v>
      </c>
      <c r="AR353" s="53">
        <f t="shared" si="61"/>
        <v>0</v>
      </c>
      <c r="AS353" s="53">
        <f t="shared" si="61"/>
        <v>0</v>
      </c>
      <c r="AT353" s="53">
        <f t="shared" si="61"/>
        <v>0</v>
      </c>
      <c r="AU353" s="53">
        <f t="shared" si="61"/>
        <v>0</v>
      </c>
      <c r="AV353" s="53">
        <f t="shared" si="61"/>
        <v>0</v>
      </c>
      <c r="AW353" s="53">
        <f t="shared" si="61"/>
        <v>0</v>
      </c>
      <c r="AX353" s="53">
        <f>$G353*E353</f>
        <v>117800000</v>
      </c>
      <c r="AY353" s="41" t="s">
        <v>557</v>
      </c>
    </row>
    <row r="354" spans="1:51" x14ac:dyDescent="0.2">
      <c r="A354" s="41" t="s">
        <v>426</v>
      </c>
      <c r="B354" s="60" t="s">
        <v>559</v>
      </c>
      <c r="C354" s="60" t="s">
        <v>87</v>
      </c>
      <c r="D354" s="60" t="s">
        <v>401</v>
      </c>
      <c r="E354" s="60">
        <v>100</v>
      </c>
      <c r="F354" s="60" t="s">
        <v>577</v>
      </c>
      <c r="G354" s="79">
        <f>SUM(G346:G353)</f>
        <v>13568000</v>
      </c>
      <c r="I354" s="80">
        <f>AP354/G354</f>
        <v>1.8603147110849056</v>
      </c>
      <c r="J354" s="80">
        <f>AQ354/G354</f>
        <v>0.31959177230738994</v>
      </c>
      <c r="T354" s="79">
        <f>SUM(T346:T353)</f>
        <v>23556.321800000002</v>
      </c>
      <c r="U354" s="79">
        <f>SUM(U346:U353)</f>
        <v>2601.7327</v>
      </c>
      <c r="AM354" s="79">
        <f>SUM(AM346:AM353)</f>
        <v>87632000</v>
      </c>
      <c r="AO354" s="79">
        <f t="shared" ref="AO354:AX354" si="63">SUM(AO346:AO353)</f>
        <v>0</v>
      </c>
      <c r="AP354" s="79">
        <f t="shared" si="63"/>
        <v>25240750</v>
      </c>
      <c r="AQ354" s="79">
        <f t="shared" si="63"/>
        <v>4336221.166666667</v>
      </c>
      <c r="AR354" s="79">
        <f t="shared" si="63"/>
        <v>0</v>
      </c>
      <c r="AS354" s="79">
        <f t="shared" si="63"/>
        <v>0</v>
      </c>
      <c r="AT354" s="79">
        <f t="shared" si="63"/>
        <v>0</v>
      </c>
      <c r="AU354" s="79">
        <f t="shared" si="63"/>
        <v>0</v>
      </c>
      <c r="AV354" s="79">
        <f t="shared" si="63"/>
        <v>0</v>
      </c>
      <c r="AW354" s="79">
        <f t="shared" si="63"/>
        <v>0</v>
      </c>
      <c r="AX354" s="79">
        <f t="shared" si="63"/>
        <v>1356800000</v>
      </c>
      <c r="AY354" s="41" t="s">
        <v>557</v>
      </c>
    </row>
    <row r="355" spans="1:51" x14ac:dyDescent="0.2">
      <c r="A355" s="41" t="s">
        <v>426</v>
      </c>
      <c r="B355" s="43" t="s">
        <v>560</v>
      </c>
      <c r="G355" s="53">
        <f>STDEV(G346:G353)</f>
        <v>369200.68100850366</v>
      </c>
      <c r="I355" s="46">
        <f>STDEV(I348:I353)</f>
        <v>0.21756991213554108</v>
      </c>
      <c r="J355" s="46">
        <f>STDEV(J346:J353)</f>
        <v>9.6813422141729888E-2</v>
      </c>
      <c r="T355" s="53">
        <f>STDEV(T346:T353)</f>
        <v>760.15615078425571</v>
      </c>
      <c r="U355" s="53">
        <f>STDEV(U346:U353)</f>
        <v>179.42315912540866</v>
      </c>
      <c r="AM355" s="53">
        <f>STDEV(AM346:AM353)</f>
        <v>6224828.2592488332</v>
      </c>
      <c r="AY355" s="41" t="s">
        <v>557</v>
      </c>
    </row>
    <row r="356" spans="1:51" x14ac:dyDescent="0.2">
      <c r="A356" s="41" t="s">
        <v>426</v>
      </c>
      <c r="B356" s="81" t="s">
        <v>249</v>
      </c>
      <c r="G356" s="41">
        <f>COUNT(G346:G353)</f>
        <v>8</v>
      </c>
      <c r="I356" s="41">
        <f>COUNT(I346:I353)</f>
        <v>8</v>
      </c>
      <c r="J356" s="41">
        <f>COUNT(J346:J353)</f>
        <v>6</v>
      </c>
      <c r="T356" s="41">
        <f>COUNT(T346:T353)</f>
        <v>8</v>
      </c>
      <c r="U356" s="41">
        <f>COUNT(U346:U353)</f>
        <v>6</v>
      </c>
      <c r="AM356" s="41">
        <f>COUNT(AM346:AM353)</f>
        <v>8</v>
      </c>
      <c r="AY356" s="41" t="s">
        <v>557</v>
      </c>
    </row>
    <row r="357" spans="1:51" x14ac:dyDescent="0.2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8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41" t="s">
        <v>557</v>
      </c>
    </row>
    <row r="358" spans="1:51" x14ac:dyDescent="0.2">
      <c r="A358" s="41" t="s">
        <v>583</v>
      </c>
      <c r="B358" s="41">
        <v>1883</v>
      </c>
      <c r="C358" s="41" t="s">
        <v>91</v>
      </c>
      <c r="D358" s="41" t="s">
        <v>88</v>
      </c>
      <c r="E358" s="41">
        <v>0</v>
      </c>
      <c r="F358" s="41" t="s">
        <v>584</v>
      </c>
      <c r="G358" s="45">
        <v>107.54359999999926</v>
      </c>
      <c r="J358" s="53">
        <v>2196.4608152104211</v>
      </c>
      <c r="U358" s="53">
        <v>236.2153033266618</v>
      </c>
      <c r="AO358" s="53">
        <f t="shared" ref="AO358:AW386" si="64">$G358*H358</f>
        <v>0</v>
      </c>
      <c r="AP358" s="53">
        <f t="shared" si="64"/>
        <v>0</v>
      </c>
      <c r="AQ358" s="53">
        <f t="shared" si="64"/>
        <v>236215.30332666181</v>
      </c>
      <c r="AR358" s="53">
        <f t="shared" si="64"/>
        <v>0</v>
      </c>
      <c r="AS358" s="53">
        <f t="shared" si="64"/>
        <v>0</v>
      </c>
      <c r="AT358" s="53">
        <f t="shared" si="64"/>
        <v>0</v>
      </c>
      <c r="AU358" s="53">
        <f t="shared" si="64"/>
        <v>0</v>
      </c>
      <c r="AV358" s="53">
        <f t="shared" si="64"/>
        <v>0</v>
      </c>
      <c r="AW358" s="53">
        <f t="shared" si="64"/>
        <v>0</v>
      </c>
      <c r="AX358" s="53">
        <f t="shared" ref="AX358:AX421" si="65">$G358*E358</f>
        <v>0</v>
      </c>
      <c r="AY358" s="41" t="s">
        <v>557</v>
      </c>
    </row>
    <row r="359" spans="1:51" x14ac:dyDescent="0.2">
      <c r="A359" s="41" t="s">
        <v>583</v>
      </c>
      <c r="B359" s="41">
        <v>1884</v>
      </c>
      <c r="C359" s="41" t="s">
        <v>91</v>
      </c>
      <c r="D359" s="41" t="s">
        <v>88</v>
      </c>
      <c r="E359" s="41">
        <v>0</v>
      </c>
      <c r="F359" s="41" t="s">
        <v>584</v>
      </c>
      <c r="G359" s="53">
        <v>9314.2307999999994</v>
      </c>
      <c r="J359" s="53">
        <v>3825.1643143917863</v>
      </c>
      <c r="U359" s="53">
        <v>35628.463272168861</v>
      </c>
      <c r="AO359" s="53">
        <f t="shared" si="64"/>
        <v>0</v>
      </c>
      <c r="AP359" s="53">
        <f t="shared" si="64"/>
        <v>0</v>
      </c>
      <c r="AQ359" s="53">
        <f t="shared" si="64"/>
        <v>35628463.27216886</v>
      </c>
      <c r="AR359" s="53">
        <f t="shared" si="64"/>
        <v>0</v>
      </c>
      <c r="AS359" s="53">
        <f t="shared" si="64"/>
        <v>0</v>
      </c>
      <c r="AT359" s="53">
        <f t="shared" si="64"/>
        <v>0</v>
      </c>
      <c r="AU359" s="53">
        <f t="shared" si="64"/>
        <v>0</v>
      </c>
      <c r="AV359" s="53">
        <f t="shared" si="64"/>
        <v>0</v>
      </c>
      <c r="AW359" s="53">
        <f t="shared" si="64"/>
        <v>0</v>
      </c>
      <c r="AX359" s="53">
        <f t="shared" si="65"/>
        <v>0</v>
      </c>
      <c r="AY359" s="41" t="s">
        <v>557</v>
      </c>
    </row>
    <row r="360" spans="1:51" x14ac:dyDescent="0.2">
      <c r="A360" s="41" t="s">
        <v>583</v>
      </c>
      <c r="B360" s="41">
        <v>1885</v>
      </c>
      <c r="C360" s="41" t="s">
        <v>91</v>
      </c>
      <c r="D360" s="41" t="s">
        <v>88</v>
      </c>
      <c r="E360" s="41">
        <v>0</v>
      </c>
      <c r="F360" s="41" t="s">
        <v>584</v>
      </c>
      <c r="G360" s="53">
        <v>11504.675999999999</v>
      </c>
      <c r="J360" s="53">
        <v>2334.2514056089553</v>
      </c>
      <c r="L360" s="46">
        <v>21.67266708048831</v>
      </c>
      <c r="U360" s="53">
        <v>26854.806124075618</v>
      </c>
      <c r="AO360" s="53">
        <f t="shared" si="64"/>
        <v>0</v>
      </c>
      <c r="AP360" s="53">
        <f t="shared" si="64"/>
        <v>0</v>
      </c>
      <c r="AQ360" s="53">
        <f t="shared" si="64"/>
        <v>26854806.124075614</v>
      </c>
      <c r="AR360" s="53">
        <f t="shared" si="64"/>
        <v>0</v>
      </c>
      <c r="AS360" s="53">
        <f t="shared" si="64"/>
        <v>249337.01281688391</v>
      </c>
      <c r="AT360" s="53">
        <f t="shared" si="64"/>
        <v>0</v>
      </c>
      <c r="AU360" s="53">
        <f t="shared" si="64"/>
        <v>0</v>
      </c>
      <c r="AV360" s="53">
        <f t="shared" si="64"/>
        <v>0</v>
      </c>
      <c r="AW360" s="53">
        <f t="shared" si="64"/>
        <v>0</v>
      </c>
      <c r="AX360" s="53">
        <f t="shared" si="65"/>
        <v>0</v>
      </c>
      <c r="AY360" s="41" t="s">
        <v>557</v>
      </c>
    </row>
    <row r="361" spans="1:51" x14ac:dyDescent="0.2">
      <c r="A361" s="41" t="s">
        <v>583</v>
      </c>
      <c r="B361" s="41">
        <v>1886</v>
      </c>
      <c r="C361" s="41" t="s">
        <v>91</v>
      </c>
      <c r="D361" s="41" t="s">
        <v>88</v>
      </c>
      <c r="E361" s="41">
        <v>0</v>
      </c>
      <c r="F361" s="41" t="s">
        <v>584</v>
      </c>
      <c r="G361" s="53">
        <v>14986</v>
      </c>
      <c r="J361" s="53">
        <v>2740.9500795129011</v>
      </c>
      <c r="L361" s="46">
        <v>20.755056667168315</v>
      </c>
      <c r="U361" s="53">
        <v>31218.335500000001</v>
      </c>
      <c r="X361" s="76">
        <f>Y361*2</f>
        <v>4045.4071999999996</v>
      </c>
      <c r="Y361" s="53">
        <v>2022.7035999999998</v>
      </c>
      <c r="AO361" s="53">
        <f t="shared" si="64"/>
        <v>0</v>
      </c>
      <c r="AP361" s="53">
        <f t="shared" si="64"/>
        <v>0</v>
      </c>
      <c r="AQ361" s="53">
        <f t="shared" si="64"/>
        <v>41075877.891580336</v>
      </c>
      <c r="AR361" s="53">
        <f t="shared" si="64"/>
        <v>0</v>
      </c>
      <c r="AS361" s="53">
        <f t="shared" si="64"/>
        <v>311035.27921418438</v>
      </c>
      <c r="AT361" s="53">
        <f t="shared" si="64"/>
        <v>0</v>
      </c>
      <c r="AU361" s="53">
        <f t="shared" si="64"/>
        <v>0</v>
      </c>
      <c r="AV361" s="53">
        <f t="shared" si="64"/>
        <v>0</v>
      </c>
      <c r="AW361" s="53">
        <f t="shared" si="64"/>
        <v>0</v>
      </c>
      <c r="AX361" s="53">
        <f t="shared" si="65"/>
        <v>0</v>
      </c>
      <c r="AY361" s="41" t="s">
        <v>557</v>
      </c>
    </row>
    <row r="362" spans="1:51" x14ac:dyDescent="0.2">
      <c r="A362" s="41" t="s">
        <v>583</v>
      </c>
      <c r="B362" s="41">
        <v>1887</v>
      </c>
      <c r="C362" s="41" t="s">
        <v>91</v>
      </c>
      <c r="D362" s="41" t="s">
        <v>88</v>
      </c>
      <c r="E362" s="41">
        <v>0</v>
      </c>
      <c r="F362" s="41" t="s">
        <v>584</v>
      </c>
      <c r="G362" s="53">
        <v>53446.68</v>
      </c>
      <c r="J362" s="53">
        <v>1472.3992042162392</v>
      </c>
      <c r="L362" s="46">
        <v>19.883471152932227</v>
      </c>
      <c r="U362" s="53">
        <v>73453.721600000004</v>
      </c>
      <c r="X362" s="76">
        <f t="shared" ref="X362:X425" si="66">Y362*2</f>
        <v>20145.248</v>
      </c>
      <c r="Y362" s="53">
        <v>10072.624</v>
      </c>
      <c r="AO362" s="53">
        <f t="shared" si="64"/>
        <v>0</v>
      </c>
      <c r="AP362" s="53">
        <f t="shared" si="64"/>
        <v>0</v>
      </c>
      <c r="AQ362" s="53">
        <f t="shared" si="64"/>
        <v>78694849.099999994</v>
      </c>
      <c r="AR362" s="53">
        <f t="shared" si="64"/>
        <v>0</v>
      </c>
      <c r="AS362" s="53">
        <f t="shared" si="64"/>
        <v>1062705.5199999998</v>
      </c>
      <c r="AT362" s="53">
        <f t="shared" si="64"/>
        <v>0</v>
      </c>
      <c r="AU362" s="53">
        <f t="shared" si="64"/>
        <v>0</v>
      </c>
      <c r="AV362" s="53">
        <f t="shared" si="64"/>
        <v>0</v>
      </c>
      <c r="AW362" s="53">
        <f t="shared" si="64"/>
        <v>0</v>
      </c>
      <c r="AX362" s="53">
        <f t="shared" si="65"/>
        <v>0</v>
      </c>
      <c r="AY362" s="41" t="s">
        <v>557</v>
      </c>
    </row>
    <row r="363" spans="1:51" x14ac:dyDescent="0.2">
      <c r="A363" s="41" t="s">
        <v>583</v>
      </c>
      <c r="B363" s="41">
        <v>1888</v>
      </c>
      <c r="C363" s="41" t="s">
        <v>91</v>
      </c>
      <c r="D363" s="41" t="s">
        <v>88</v>
      </c>
      <c r="E363" s="41">
        <v>0</v>
      </c>
      <c r="F363" s="41" t="s">
        <v>584</v>
      </c>
      <c r="G363" s="53">
        <v>127999.74400000001</v>
      </c>
      <c r="J363" s="53">
        <v>1282.4724683392196</v>
      </c>
      <c r="L363" s="46">
        <v>17.55837576905094</v>
      </c>
      <c r="S363" s="53">
        <v>25.4</v>
      </c>
      <c r="U363" s="53">
        <v>136633.56818325934</v>
      </c>
      <c r="X363" s="76">
        <f t="shared" si="66"/>
        <v>36906.33109924374</v>
      </c>
      <c r="Y363" s="53">
        <v>18453.16554962187</v>
      </c>
      <c r="AO363" s="53">
        <f t="shared" si="64"/>
        <v>0</v>
      </c>
      <c r="AP363" s="53">
        <f t="shared" si="64"/>
        <v>0</v>
      </c>
      <c r="AQ363" s="53">
        <f t="shared" si="64"/>
        <v>164156147.63446823</v>
      </c>
      <c r="AR363" s="53">
        <f t="shared" si="64"/>
        <v>0</v>
      </c>
      <c r="AS363" s="53">
        <f t="shared" si="64"/>
        <v>2247467.6034943238</v>
      </c>
      <c r="AT363" s="53">
        <f t="shared" si="64"/>
        <v>0</v>
      </c>
      <c r="AU363" s="53">
        <f t="shared" si="64"/>
        <v>0</v>
      </c>
      <c r="AV363" s="53">
        <f t="shared" si="64"/>
        <v>0</v>
      </c>
      <c r="AW363" s="53">
        <f t="shared" si="64"/>
        <v>0</v>
      </c>
      <c r="AX363" s="53">
        <f t="shared" si="65"/>
        <v>0</v>
      </c>
      <c r="AY363" s="41" t="s">
        <v>557</v>
      </c>
    </row>
    <row r="364" spans="1:51" x14ac:dyDescent="0.2">
      <c r="A364" s="41" t="s">
        <v>583</v>
      </c>
      <c r="B364" s="41">
        <v>1889</v>
      </c>
      <c r="C364" s="41" t="s">
        <v>91</v>
      </c>
      <c r="D364" s="41" t="s">
        <v>88</v>
      </c>
      <c r="E364" s="41">
        <v>0</v>
      </c>
      <c r="F364" s="41" t="s">
        <v>584</v>
      </c>
      <c r="G364" s="53">
        <v>164084</v>
      </c>
      <c r="J364" s="53">
        <v>1261.4582390081919</v>
      </c>
      <c r="L364" s="46">
        <v>17.401776711297178</v>
      </c>
      <c r="S364" s="53">
        <v>32.512</v>
      </c>
      <c r="U364" s="53">
        <v>200825.54430000001</v>
      </c>
      <c r="X364" s="76">
        <f t="shared" si="66"/>
        <v>55407.641280000003</v>
      </c>
      <c r="Y364" s="53">
        <v>27703.820640000002</v>
      </c>
      <c r="AO364" s="53">
        <f t="shared" si="64"/>
        <v>0</v>
      </c>
      <c r="AP364" s="53">
        <f t="shared" si="64"/>
        <v>0</v>
      </c>
      <c r="AQ364" s="53">
        <f t="shared" si="64"/>
        <v>206985113.68942016</v>
      </c>
      <c r="AR364" s="53">
        <f t="shared" si="64"/>
        <v>0</v>
      </c>
      <c r="AS364" s="53">
        <f t="shared" si="64"/>
        <v>2855353.1298964862</v>
      </c>
      <c r="AT364" s="53">
        <f t="shared" si="64"/>
        <v>0</v>
      </c>
      <c r="AU364" s="53">
        <f t="shared" si="64"/>
        <v>0</v>
      </c>
      <c r="AV364" s="53">
        <f t="shared" si="64"/>
        <v>0</v>
      </c>
      <c r="AW364" s="53">
        <f t="shared" si="64"/>
        <v>0</v>
      </c>
      <c r="AX364" s="53">
        <f t="shared" si="65"/>
        <v>0</v>
      </c>
      <c r="AY364" s="41" t="s">
        <v>557</v>
      </c>
    </row>
    <row r="365" spans="1:51" x14ac:dyDescent="0.2">
      <c r="A365" s="41" t="s">
        <v>583</v>
      </c>
      <c r="B365" s="41">
        <v>1890</v>
      </c>
      <c r="C365" s="41" t="s">
        <v>91</v>
      </c>
      <c r="D365" s="41" t="s">
        <v>88</v>
      </c>
      <c r="E365" s="41">
        <v>0</v>
      </c>
      <c r="F365" s="41" t="s">
        <v>584</v>
      </c>
      <c r="G365" s="53">
        <v>195626.736</v>
      </c>
      <c r="J365" s="53">
        <v>1286.7814539208628</v>
      </c>
      <c r="L365" s="46">
        <v>17.437851993348513</v>
      </c>
      <c r="S365" s="53">
        <v>177.8</v>
      </c>
      <c r="U365" s="53">
        <v>246320.397</v>
      </c>
      <c r="X365" s="76">
        <f t="shared" si="66"/>
        <v>66760.343999999997</v>
      </c>
      <c r="Y365" s="53">
        <v>33380.171999999999</v>
      </c>
      <c r="AO365" s="53">
        <f t="shared" si="64"/>
        <v>0</v>
      </c>
      <c r="AP365" s="53">
        <f t="shared" si="64"/>
        <v>0</v>
      </c>
      <c r="AQ365" s="53">
        <f t="shared" si="64"/>
        <v>251728855.7758728</v>
      </c>
      <c r="AR365" s="53">
        <f t="shared" si="64"/>
        <v>0</v>
      </c>
      <c r="AS365" s="53">
        <f t="shared" si="64"/>
        <v>3411310.0683098636</v>
      </c>
      <c r="AT365" s="53">
        <f t="shared" si="64"/>
        <v>0</v>
      </c>
      <c r="AU365" s="53">
        <f t="shared" si="64"/>
        <v>0</v>
      </c>
      <c r="AV365" s="53">
        <f t="shared" si="64"/>
        <v>0</v>
      </c>
      <c r="AW365" s="53">
        <f t="shared" si="64"/>
        <v>0</v>
      </c>
      <c r="AX365" s="53">
        <f t="shared" si="65"/>
        <v>0</v>
      </c>
      <c r="AY365" s="41" t="s">
        <v>557</v>
      </c>
    </row>
    <row r="366" spans="1:51" x14ac:dyDescent="0.2">
      <c r="A366" s="41" t="s">
        <v>583</v>
      </c>
      <c r="B366" s="41">
        <v>1891</v>
      </c>
      <c r="C366" s="41" t="s">
        <v>91</v>
      </c>
      <c r="D366" s="41" t="s">
        <v>88</v>
      </c>
      <c r="E366" s="41">
        <v>0</v>
      </c>
      <c r="F366" s="41" t="s">
        <v>584</v>
      </c>
      <c r="G366" s="53">
        <v>478638.61599999998</v>
      </c>
      <c r="J366" s="53">
        <v>1085.813329225758</v>
      </c>
      <c r="L366" s="46">
        <v>14.685828041355249</v>
      </c>
      <c r="S366" s="53">
        <v>480.56799999999998</v>
      </c>
      <c r="T366" s="45">
        <v>164.1147</v>
      </c>
      <c r="U366" s="53">
        <v>536282.39770000009</v>
      </c>
      <c r="X366" s="76">
        <f t="shared" si="66"/>
        <v>139228.9022957354</v>
      </c>
      <c r="Y366" s="53">
        <v>69614.451147867701</v>
      </c>
      <c r="AA366" s="53"/>
      <c r="AO366" s="53">
        <f t="shared" si="64"/>
        <v>0</v>
      </c>
      <c r="AP366" s="53">
        <f t="shared" si="64"/>
        <v>0</v>
      </c>
      <c r="AQ366" s="53">
        <f t="shared" si="64"/>
        <v>519712189.13496917</v>
      </c>
      <c r="AR366" s="53">
        <f t="shared" si="64"/>
        <v>0</v>
      </c>
      <c r="AS366" s="53">
        <f t="shared" si="64"/>
        <v>7029204.4085282665</v>
      </c>
      <c r="AT366" s="53">
        <f t="shared" si="64"/>
        <v>0</v>
      </c>
      <c r="AU366" s="53">
        <f t="shared" si="64"/>
        <v>0</v>
      </c>
      <c r="AV366" s="53">
        <f t="shared" si="64"/>
        <v>0</v>
      </c>
      <c r="AW366" s="53">
        <f t="shared" si="64"/>
        <v>0</v>
      </c>
      <c r="AX366" s="53">
        <f t="shared" si="65"/>
        <v>0</v>
      </c>
      <c r="AY366" s="41" t="s">
        <v>557</v>
      </c>
    </row>
    <row r="367" spans="1:51" x14ac:dyDescent="0.2">
      <c r="A367" s="41" t="s">
        <v>583</v>
      </c>
      <c r="B367" s="41">
        <v>1892</v>
      </c>
      <c r="C367" s="41" t="s">
        <v>91</v>
      </c>
      <c r="D367" s="41" t="s">
        <v>88</v>
      </c>
      <c r="E367" s="41">
        <v>0</v>
      </c>
      <c r="F367" s="41" t="s">
        <v>584</v>
      </c>
      <c r="G367" s="53">
        <v>409582.11200000002</v>
      </c>
      <c r="J367" s="53">
        <v>1421.5864055030866</v>
      </c>
      <c r="L367" s="46">
        <v>17.159027868300832</v>
      </c>
      <c r="S367" s="53">
        <v>556.76800000000003</v>
      </c>
      <c r="T367" s="45">
        <v>156.99280000000002</v>
      </c>
      <c r="U367" s="53">
        <v>403341.9645</v>
      </c>
      <c r="X367" s="76">
        <f t="shared" si="66"/>
        <v>123677.60773920873</v>
      </c>
      <c r="Y367" s="53">
        <v>61838.803869604366</v>
      </c>
      <c r="AA367" s="53"/>
      <c r="AO367" s="53">
        <f t="shared" si="64"/>
        <v>0</v>
      </c>
      <c r="AP367" s="53">
        <f t="shared" si="64"/>
        <v>0</v>
      </c>
      <c r="AQ367" s="53">
        <f t="shared" si="64"/>
        <v>582256362.35644269</v>
      </c>
      <c r="AR367" s="53">
        <f t="shared" si="64"/>
        <v>0</v>
      </c>
      <c r="AS367" s="53">
        <f t="shared" si="64"/>
        <v>7028030.8741655126</v>
      </c>
      <c r="AT367" s="53">
        <f t="shared" si="64"/>
        <v>0</v>
      </c>
      <c r="AU367" s="53">
        <f t="shared" si="64"/>
        <v>0</v>
      </c>
      <c r="AV367" s="53">
        <f t="shared" si="64"/>
        <v>0</v>
      </c>
      <c r="AW367" s="53">
        <f t="shared" si="64"/>
        <v>0</v>
      </c>
      <c r="AX367" s="53">
        <f t="shared" si="65"/>
        <v>0</v>
      </c>
      <c r="AY367" s="41" t="s">
        <v>557</v>
      </c>
    </row>
    <row r="368" spans="1:51" x14ac:dyDescent="0.2">
      <c r="A368" s="41" t="s">
        <v>583</v>
      </c>
      <c r="B368" s="41">
        <v>1893</v>
      </c>
      <c r="C368" s="41" t="s">
        <v>91</v>
      </c>
      <c r="D368" s="41" t="s">
        <v>88</v>
      </c>
      <c r="E368" s="41">
        <v>0</v>
      </c>
      <c r="F368" s="41" t="s">
        <v>584</v>
      </c>
      <c r="G368" s="53">
        <v>500000</v>
      </c>
      <c r="J368" s="53">
        <v>1071.3582677165355</v>
      </c>
      <c r="L368" s="41">
        <v>17</v>
      </c>
      <c r="S368" s="53">
        <v>186.94400000000002</v>
      </c>
      <c r="T368" s="45">
        <v>115.97190000000001</v>
      </c>
      <c r="U368" s="53">
        <v>487565.42950000003</v>
      </c>
      <c r="X368" s="76">
        <f t="shared" si="66"/>
        <v>146744.59856000001</v>
      </c>
      <c r="Y368" s="53">
        <v>73372.299280000007</v>
      </c>
      <c r="AA368" s="53"/>
      <c r="AO368" s="53">
        <f t="shared" si="64"/>
        <v>0</v>
      </c>
      <c r="AP368" s="53">
        <f t="shared" si="64"/>
        <v>0</v>
      </c>
      <c r="AQ368" s="53">
        <f t="shared" si="64"/>
        <v>535679133.85826772</v>
      </c>
      <c r="AR368" s="53">
        <f t="shared" si="64"/>
        <v>0</v>
      </c>
      <c r="AS368" s="53">
        <f t="shared" si="64"/>
        <v>8500000</v>
      </c>
      <c r="AT368" s="53">
        <f t="shared" si="64"/>
        <v>0</v>
      </c>
      <c r="AU368" s="53">
        <f t="shared" si="64"/>
        <v>0</v>
      </c>
      <c r="AV368" s="53">
        <f t="shared" si="64"/>
        <v>0</v>
      </c>
      <c r="AW368" s="53">
        <f t="shared" si="64"/>
        <v>0</v>
      </c>
      <c r="AX368" s="53">
        <f t="shared" si="65"/>
        <v>0</v>
      </c>
      <c r="AY368" s="41" t="s">
        <v>557</v>
      </c>
    </row>
    <row r="369" spans="1:51" x14ac:dyDescent="0.2">
      <c r="A369" s="41" t="s">
        <v>583</v>
      </c>
      <c r="B369" s="41">
        <v>1894</v>
      </c>
      <c r="C369" s="41" t="s">
        <v>91</v>
      </c>
      <c r="D369" s="41" t="s">
        <v>88</v>
      </c>
      <c r="E369" s="41">
        <v>0</v>
      </c>
      <c r="F369" s="41" t="s">
        <v>584</v>
      </c>
      <c r="G369" s="53">
        <v>653108.16800000006</v>
      </c>
      <c r="J369" s="53">
        <v>780.75214027946436</v>
      </c>
      <c r="L369" s="41">
        <v>17</v>
      </c>
      <c r="S369" s="53">
        <v>725.42399999999998</v>
      </c>
      <c r="T369" s="45">
        <v>126.85690000000001</v>
      </c>
      <c r="U369" s="53">
        <v>509915.6</v>
      </c>
      <c r="X369" s="76">
        <f t="shared" si="66"/>
        <v>110805.55271237028</v>
      </c>
      <c r="Y369" s="53">
        <v>55402.776356185139</v>
      </c>
      <c r="AA369" s="53"/>
      <c r="AO369" s="53">
        <f t="shared" si="64"/>
        <v>0</v>
      </c>
      <c r="AP369" s="53">
        <f t="shared" si="64"/>
        <v>0</v>
      </c>
      <c r="AQ369" s="53">
        <f t="shared" si="64"/>
        <v>509915600</v>
      </c>
      <c r="AR369" s="53">
        <f t="shared" si="64"/>
        <v>0</v>
      </c>
      <c r="AS369" s="53">
        <f t="shared" si="64"/>
        <v>11102838.856000001</v>
      </c>
      <c r="AT369" s="53">
        <f t="shared" si="64"/>
        <v>0</v>
      </c>
      <c r="AU369" s="53">
        <f t="shared" si="64"/>
        <v>0</v>
      </c>
      <c r="AV369" s="53">
        <f t="shared" si="64"/>
        <v>0</v>
      </c>
      <c r="AW369" s="53">
        <f t="shared" si="64"/>
        <v>0</v>
      </c>
      <c r="AX369" s="53">
        <f t="shared" si="65"/>
        <v>0</v>
      </c>
      <c r="AY369" s="41" t="s">
        <v>557</v>
      </c>
    </row>
    <row r="370" spans="1:51" x14ac:dyDescent="0.2">
      <c r="A370" s="41" t="s">
        <v>583</v>
      </c>
      <c r="B370" s="41">
        <v>1895</v>
      </c>
      <c r="C370" s="41" t="s">
        <v>91</v>
      </c>
      <c r="D370" s="41" t="s">
        <v>88</v>
      </c>
      <c r="E370" s="41">
        <v>0</v>
      </c>
      <c r="F370" s="41" t="s">
        <v>584</v>
      </c>
      <c r="G370" s="53">
        <v>525846.04</v>
      </c>
      <c r="J370" s="53">
        <v>512.709524635766</v>
      </c>
      <c r="L370" s="41">
        <v>17</v>
      </c>
      <c r="S370" s="53">
        <v>453.13600000000002</v>
      </c>
      <c r="T370" s="45">
        <v>144.61500000000001</v>
      </c>
      <c r="U370" s="53">
        <v>269606.2732</v>
      </c>
      <c r="X370" s="76">
        <f t="shared" si="66"/>
        <v>114122.44384000001</v>
      </c>
      <c r="Y370" s="53">
        <v>57061.221920000004</v>
      </c>
      <c r="AA370" s="53"/>
      <c r="AO370" s="53">
        <f t="shared" si="64"/>
        <v>0</v>
      </c>
      <c r="AP370" s="53">
        <f t="shared" si="64"/>
        <v>0</v>
      </c>
      <c r="AQ370" s="53">
        <f t="shared" si="64"/>
        <v>269606273.19999999</v>
      </c>
      <c r="AR370" s="53">
        <f t="shared" si="64"/>
        <v>0</v>
      </c>
      <c r="AS370" s="53">
        <f t="shared" si="64"/>
        <v>8939382.6799999997</v>
      </c>
      <c r="AT370" s="53">
        <f t="shared" si="64"/>
        <v>0</v>
      </c>
      <c r="AU370" s="53">
        <f t="shared" si="64"/>
        <v>0</v>
      </c>
      <c r="AV370" s="53">
        <f t="shared" si="64"/>
        <v>0</v>
      </c>
      <c r="AW370" s="53">
        <f t="shared" si="64"/>
        <v>0</v>
      </c>
      <c r="AX370" s="53">
        <f t="shared" si="65"/>
        <v>0</v>
      </c>
      <c r="AY370" s="41" t="s">
        <v>557</v>
      </c>
    </row>
    <row r="371" spans="1:51" x14ac:dyDescent="0.2">
      <c r="A371" s="41" t="s">
        <v>583</v>
      </c>
      <c r="B371" s="41">
        <v>1896</v>
      </c>
      <c r="C371" s="41" t="s">
        <v>91</v>
      </c>
      <c r="D371" s="41" t="s">
        <v>88</v>
      </c>
      <c r="E371" s="41">
        <v>0</v>
      </c>
      <c r="F371" s="41" t="s">
        <v>584</v>
      </c>
      <c r="G371" s="53">
        <v>833491.85600000003</v>
      </c>
      <c r="J371" s="53">
        <v>731.06956344394086</v>
      </c>
      <c r="L371" s="41">
        <v>16</v>
      </c>
      <c r="S371" s="53">
        <v>579.12</v>
      </c>
      <c r="T371" s="45">
        <v>136.49789999999999</v>
      </c>
      <c r="U371" s="53">
        <v>609340.52730000007</v>
      </c>
      <c r="X371" s="76">
        <f t="shared" si="66"/>
        <v>180983.73760000002</v>
      </c>
      <c r="Y371" s="53">
        <v>90491.868800000011</v>
      </c>
      <c r="AA371" s="53"/>
      <c r="AO371" s="53">
        <f t="shared" si="64"/>
        <v>0</v>
      </c>
      <c r="AP371" s="53">
        <f t="shared" si="64"/>
        <v>0</v>
      </c>
      <c r="AQ371" s="53">
        <f t="shared" si="64"/>
        <v>609340527.30000007</v>
      </c>
      <c r="AR371" s="53">
        <f t="shared" si="64"/>
        <v>0</v>
      </c>
      <c r="AS371" s="53">
        <f t="shared" si="64"/>
        <v>13335869.696</v>
      </c>
      <c r="AT371" s="53">
        <f t="shared" si="64"/>
        <v>0</v>
      </c>
      <c r="AU371" s="53">
        <f t="shared" si="64"/>
        <v>0</v>
      </c>
      <c r="AV371" s="53">
        <f t="shared" si="64"/>
        <v>0</v>
      </c>
      <c r="AW371" s="53">
        <f t="shared" si="64"/>
        <v>0</v>
      </c>
      <c r="AX371" s="53">
        <f t="shared" si="65"/>
        <v>0</v>
      </c>
      <c r="AY371" s="41" t="s">
        <v>557</v>
      </c>
    </row>
    <row r="372" spans="1:51" x14ac:dyDescent="0.2">
      <c r="A372" s="41" t="s">
        <v>583</v>
      </c>
      <c r="B372" s="41">
        <v>1897</v>
      </c>
      <c r="C372" s="41" t="s">
        <v>91</v>
      </c>
      <c r="D372" s="41" t="s">
        <v>88</v>
      </c>
      <c r="E372" s="47">
        <v>4.971634282348826</v>
      </c>
      <c r="F372" s="41" t="s">
        <v>584</v>
      </c>
      <c r="G372" s="53">
        <v>1028152.376</v>
      </c>
      <c r="J372" s="53">
        <v>571.60756962252526</v>
      </c>
      <c r="L372" s="41">
        <v>16</v>
      </c>
      <c r="M372" s="47">
        <v>1.004617626833165</v>
      </c>
      <c r="S372" s="53">
        <v>1203.96</v>
      </c>
      <c r="T372" s="45">
        <v>126.39040000000001</v>
      </c>
      <c r="U372" s="53">
        <v>418207.20470000006</v>
      </c>
      <c r="X372" s="76">
        <f t="shared" si="66"/>
        <v>212245.85440000001</v>
      </c>
      <c r="Y372" s="53">
        <v>106122.92720000001</v>
      </c>
      <c r="Z372" s="76">
        <f t="shared" ref="Z372:Z435" si="67">AA372*2</f>
        <v>20657.312000000002</v>
      </c>
      <c r="AA372" s="53">
        <v>10328.656000000001</v>
      </c>
      <c r="AO372" s="53">
        <f t="shared" si="64"/>
        <v>0</v>
      </c>
      <c r="AP372" s="53">
        <f t="shared" si="64"/>
        <v>0</v>
      </c>
      <c r="AQ372" s="53">
        <f t="shared" si="64"/>
        <v>587699680.84698474</v>
      </c>
      <c r="AR372" s="53">
        <f t="shared" si="64"/>
        <v>0</v>
      </c>
      <c r="AS372" s="53">
        <f t="shared" si="64"/>
        <v>16450438.016000001</v>
      </c>
      <c r="AT372" s="53">
        <f t="shared" si="64"/>
        <v>1032900</v>
      </c>
      <c r="AU372" s="53">
        <f t="shared" si="64"/>
        <v>0</v>
      </c>
      <c r="AV372" s="53">
        <f t="shared" si="64"/>
        <v>0</v>
      </c>
      <c r="AW372" s="53">
        <f t="shared" si="64"/>
        <v>0</v>
      </c>
      <c r="AX372" s="53">
        <f t="shared" si="65"/>
        <v>5111597.6000000006</v>
      </c>
      <c r="AY372" s="41" t="s">
        <v>557</v>
      </c>
    </row>
    <row r="373" spans="1:51" x14ac:dyDescent="0.2">
      <c r="A373" s="41" t="s">
        <v>583</v>
      </c>
      <c r="B373" s="41">
        <v>1898</v>
      </c>
      <c r="C373" s="41" t="s">
        <v>91</v>
      </c>
      <c r="D373" s="41" t="s">
        <v>88</v>
      </c>
      <c r="E373" s="47">
        <v>8</v>
      </c>
      <c r="F373" s="41" t="s">
        <v>584</v>
      </c>
      <c r="G373" s="53">
        <v>905061.94400000002</v>
      </c>
      <c r="J373" s="53">
        <v>590.61781150646539</v>
      </c>
      <c r="L373" s="41">
        <v>16</v>
      </c>
      <c r="M373" s="46">
        <v>4.0036948901570488</v>
      </c>
      <c r="S373" s="53">
        <v>18.288</v>
      </c>
      <c r="T373" s="45">
        <v>32.344000000000001</v>
      </c>
      <c r="U373" s="53">
        <v>380113.80990000005</v>
      </c>
      <c r="X373" s="76">
        <f t="shared" si="66"/>
        <v>205371.08877440001</v>
      </c>
      <c r="Y373" s="53">
        <v>102685.5443872</v>
      </c>
      <c r="Z373" s="76">
        <f t="shared" si="67"/>
        <v>12396.7552928</v>
      </c>
      <c r="AA373" s="53">
        <v>6198.3776464000002</v>
      </c>
      <c r="AO373" s="53">
        <f t="shared" si="64"/>
        <v>0</v>
      </c>
      <c r="AP373" s="53">
        <f t="shared" si="64"/>
        <v>0</v>
      </c>
      <c r="AQ373" s="53">
        <f t="shared" si="64"/>
        <v>534545704.64306712</v>
      </c>
      <c r="AR373" s="53">
        <f t="shared" si="64"/>
        <v>0</v>
      </c>
      <c r="AS373" s="53">
        <f t="shared" si="64"/>
        <v>14480991.104</v>
      </c>
      <c r="AT373" s="53">
        <f t="shared" si="64"/>
        <v>3623591.8804684053</v>
      </c>
      <c r="AU373" s="53">
        <f t="shared" si="64"/>
        <v>0</v>
      </c>
      <c r="AV373" s="53">
        <f t="shared" si="64"/>
        <v>0</v>
      </c>
      <c r="AW373" s="53">
        <f t="shared" si="64"/>
        <v>0</v>
      </c>
      <c r="AX373" s="53">
        <f t="shared" si="65"/>
        <v>7240495.5520000001</v>
      </c>
      <c r="AY373" s="41" t="s">
        <v>557</v>
      </c>
    </row>
    <row r="374" spans="1:51" x14ac:dyDescent="0.2">
      <c r="A374" s="41" t="s">
        <v>583</v>
      </c>
      <c r="B374" s="41">
        <v>1899</v>
      </c>
      <c r="C374" s="41" t="s">
        <v>91</v>
      </c>
      <c r="D374" s="41" t="s">
        <v>88</v>
      </c>
      <c r="E374" s="47">
        <v>10.810176950131803</v>
      </c>
      <c r="F374" s="41" t="s">
        <v>584</v>
      </c>
      <c r="G374" s="53">
        <v>1283316.7120000001</v>
      </c>
      <c r="J374" s="53">
        <v>411.55772782763819</v>
      </c>
      <c r="L374" s="46">
        <v>15.741512949544315</v>
      </c>
      <c r="M374" s="46">
        <v>3.7465920084430242</v>
      </c>
      <c r="S374" s="53">
        <v>30.48</v>
      </c>
      <c r="T374" s="45">
        <v>14.75384</v>
      </c>
      <c r="U374" s="53">
        <v>375540.43050000002</v>
      </c>
      <c r="X374" s="76">
        <f t="shared" si="66"/>
        <v>383521.712</v>
      </c>
      <c r="Y374" s="53">
        <v>191760.856</v>
      </c>
      <c r="Z374" s="76">
        <f t="shared" si="67"/>
        <v>96085.152000000002</v>
      </c>
      <c r="AA374" s="53">
        <v>48042.576000000001</v>
      </c>
      <c r="AO374" s="53">
        <f t="shared" si="64"/>
        <v>0</v>
      </c>
      <c r="AP374" s="53">
        <f t="shared" si="64"/>
        <v>0</v>
      </c>
      <c r="AQ374" s="53">
        <f t="shared" si="64"/>
        <v>528158910.0739556</v>
      </c>
      <c r="AR374" s="53">
        <f t="shared" si="64"/>
        <v>0</v>
      </c>
      <c r="AS374" s="53">
        <f t="shared" si="64"/>
        <v>20201346.640314635</v>
      </c>
      <c r="AT374" s="53">
        <f t="shared" si="64"/>
        <v>4808064.1374805784</v>
      </c>
      <c r="AU374" s="53">
        <f t="shared" si="64"/>
        <v>0</v>
      </c>
      <c r="AV374" s="53">
        <f t="shared" si="64"/>
        <v>0</v>
      </c>
      <c r="AW374" s="53">
        <f t="shared" si="64"/>
        <v>0</v>
      </c>
      <c r="AX374" s="53">
        <f t="shared" si="65"/>
        <v>13872880.739781333</v>
      </c>
      <c r="AY374" s="41" t="s">
        <v>557</v>
      </c>
    </row>
    <row r="375" spans="1:51" x14ac:dyDescent="0.2">
      <c r="A375" s="41" t="s">
        <v>583</v>
      </c>
      <c r="B375" s="41">
        <v>1900</v>
      </c>
      <c r="C375" s="41" t="s">
        <v>91</v>
      </c>
      <c r="D375" s="41" t="s">
        <v>88</v>
      </c>
      <c r="E375" s="47">
        <v>12.512113525857638</v>
      </c>
      <c r="F375" s="41" t="s">
        <v>584</v>
      </c>
      <c r="G375" s="53">
        <v>1446812.4480000001</v>
      </c>
      <c r="J375" s="53">
        <v>280.3003750490264</v>
      </c>
      <c r="L375" s="46">
        <v>13.628805051586065</v>
      </c>
      <c r="M375" s="46">
        <v>7.6984441317165109</v>
      </c>
      <c r="S375" s="53">
        <v>3.048</v>
      </c>
      <c r="T375" s="45">
        <v>23.418299999999999</v>
      </c>
      <c r="U375" s="53">
        <v>315226.4278</v>
      </c>
      <c r="X375" s="76">
        <f t="shared" si="66"/>
        <v>336864.96</v>
      </c>
      <c r="Y375" s="53">
        <v>168432.48</v>
      </c>
      <c r="Z375" s="76">
        <f t="shared" si="67"/>
        <v>71038.720000000001</v>
      </c>
      <c r="AA375" s="53">
        <v>35519.360000000001</v>
      </c>
      <c r="AO375" s="53">
        <f t="shared" si="64"/>
        <v>0</v>
      </c>
      <c r="AP375" s="53">
        <f t="shared" si="64"/>
        <v>0</v>
      </c>
      <c r="AQ375" s="53">
        <f t="shared" si="64"/>
        <v>405542071.80000001</v>
      </c>
      <c r="AR375" s="53">
        <f t="shared" si="64"/>
        <v>0</v>
      </c>
      <c r="AS375" s="53">
        <f t="shared" si="64"/>
        <v>19718324.800000001</v>
      </c>
      <c r="AT375" s="53">
        <f t="shared" si="64"/>
        <v>11138204.800000001</v>
      </c>
      <c r="AU375" s="53">
        <f t="shared" si="64"/>
        <v>0</v>
      </c>
      <c r="AV375" s="53">
        <f t="shared" si="64"/>
        <v>0</v>
      </c>
      <c r="AW375" s="53">
        <f t="shared" si="64"/>
        <v>0</v>
      </c>
      <c r="AX375" s="53">
        <f t="shared" si="65"/>
        <v>18102681.600000001</v>
      </c>
      <c r="AY375" s="41" t="s">
        <v>557</v>
      </c>
    </row>
    <row r="376" spans="1:51" x14ac:dyDescent="0.2">
      <c r="A376" s="41" t="s">
        <v>583</v>
      </c>
      <c r="B376" s="41">
        <v>1901</v>
      </c>
      <c r="C376" s="41" t="s">
        <v>91</v>
      </c>
      <c r="D376" s="41" t="s">
        <v>88</v>
      </c>
      <c r="E376" s="47">
        <v>10.741329337364757</v>
      </c>
      <c r="F376" s="41" t="s">
        <v>584</v>
      </c>
      <c r="G376" s="53">
        <v>1299079.952</v>
      </c>
      <c r="J376" s="53">
        <v>332.87204466072768</v>
      </c>
      <c r="L376" s="46">
        <v>15.402597483853711</v>
      </c>
      <c r="M376" s="46">
        <v>14.132714750723826</v>
      </c>
      <c r="T376" s="45">
        <v>11.587860000000001</v>
      </c>
      <c r="U376" s="53">
        <v>250146.008</v>
      </c>
      <c r="X376" s="76">
        <f t="shared" si="66"/>
        <v>298525.18400000001</v>
      </c>
      <c r="Y376" s="53">
        <v>149262.592</v>
      </c>
      <c r="Z376" s="76">
        <f t="shared" si="67"/>
        <v>75037.695999999996</v>
      </c>
      <c r="AA376" s="53">
        <v>37518.847999999998</v>
      </c>
      <c r="AO376" s="53">
        <f t="shared" si="64"/>
        <v>0</v>
      </c>
      <c r="AP376" s="53">
        <f t="shared" si="64"/>
        <v>0</v>
      </c>
      <c r="AQ376" s="53">
        <f t="shared" si="64"/>
        <v>432427399.80000001</v>
      </c>
      <c r="AR376" s="53">
        <f t="shared" si="64"/>
        <v>0</v>
      </c>
      <c r="AS376" s="53">
        <f t="shared" si="64"/>
        <v>20009205.600000001</v>
      </c>
      <c r="AT376" s="53">
        <f t="shared" si="64"/>
        <v>18359526.400000002</v>
      </c>
      <c r="AU376" s="53">
        <f t="shared" si="64"/>
        <v>0</v>
      </c>
      <c r="AV376" s="53">
        <f t="shared" si="64"/>
        <v>0</v>
      </c>
      <c r="AW376" s="53">
        <f t="shared" si="64"/>
        <v>0</v>
      </c>
      <c r="AX376" s="53">
        <f t="shared" si="65"/>
        <v>13953845.600000001</v>
      </c>
      <c r="AY376" s="41" t="s">
        <v>557</v>
      </c>
    </row>
    <row r="377" spans="1:51" x14ac:dyDescent="0.2">
      <c r="A377" s="41" t="s">
        <v>583</v>
      </c>
      <c r="B377" s="41">
        <v>1902</v>
      </c>
      <c r="C377" s="41" t="s">
        <v>91</v>
      </c>
      <c r="D377" s="41" t="s">
        <v>88</v>
      </c>
      <c r="E377" s="47">
        <v>8.2093421260351036</v>
      </c>
      <c r="F377" s="41" t="s">
        <v>584</v>
      </c>
      <c r="G377" s="53">
        <v>1134927.372</v>
      </c>
      <c r="J377" s="53">
        <v>342.61041412430887</v>
      </c>
      <c r="L377" s="46">
        <v>17.276008553509666</v>
      </c>
      <c r="M377" s="46">
        <v>16.5121485670001</v>
      </c>
      <c r="T377" s="45">
        <v>0.46650000000000003</v>
      </c>
      <c r="U377" s="53">
        <v>191738.52859999999</v>
      </c>
      <c r="X377" s="76">
        <f t="shared" si="66"/>
        <v>269327.37599999999</v>
      </c>
      <c r="Y377" s="53">
        <v>134663.68799999999</v>
      </c>
      <c r="Z377" s="76">
        <f t="shared" si="67"/>
        <v>59805.824000000001</v>
      </c>
      <c r="AA377" s="53">
        <v>29902.912</v>
      </c>
      <c r="AO377" s="53">
        <f t="shared" si="64"/>
        <v>0</v>
      </c>
      <c r="AP377" s="53">
        <f t="shared" si="64"/>
        <v>0</v>
      </c>
      <c r="AQ377" s="53">
        <f t="shared" si="64"/>
        <v>388837936.92193353</v>
      </c>
      <c r="AR377" s="53">
        <f t="shared" si="64"/>
        <v>0</v>
      </c>
      <c r="AS377" s="53">
        <f t="shared" si="64"/>
        <v>19607014.986284245</v>
      </c>
      <c r="AT377" s="53">
        <f t="shared" si="64"/>
        <v>18740089.379218988</v>
      </c>
      <c r="AU377" s="53">
        <f t="shared" si="64"/>
        <v>0</v>
      </c>
      <c r="AV377" s="53">
        <f t="shared" si="64"/>
        <v>0</v>
      </c>
      <c r="AW377" s="53">
        <f t="shared" si="64"/>
        <v>0</v>
      </c>
      <c r="AX377" s="53">
        <f t="shared" si="65"/>
        <v>9317007.0849499125</v>
      </c>
      <c r="AY377" s="41" t="s">
        <v>557</v>
      </c>
    </row>
    <row r="378" spans="1:51" x14ac:dyDescent="0.2">
      <c r="A378" s="41" t="s">
        <v>583</v>
      </c>
      <c r="B378" s="41">
        <v>1903</v>
      </c>
      <c r="C378" s="41" t="s">
        <v>91</v>
      </c>
      <c r="D378" s="41" t="s">
        <v>88</v>
      </c>
      <c r="E378" s="47">
        <v>2.0056082884906505</v>
      </c>
      <c r="F378" s="41" t="s">
        <v>584</v>
      </c>
      <c r="G378" s="53">
        <v>1131591.3360000001</v>
      </c>
      <c r="J378" s="53">
        <v>354.99183656329859</v>
      </c>
      <c r="L378" s="46">
        <v>17.035766923455768</v>
      </c>
      <c r="M378" s="46">
        <v>16.720459712461633</v>
      </c>
      <c r="S378" s="53">
        <v>3.048</v>
      </c>
      <c r="T378" s="45">
        <v>66.414050000000003</v>
      </c>
      <c r="U378" s="53">
        <v>240507.86920000002</v>
      </c>
      <c r="X378" s="76">
        <f t="shared" si="66"/>
        <v>275144.99200000003</v>
      </c>
      <c r="Y378" s="53">
        <v>137572.49600000001</v>
      </c>
      <c r="Z378" s="76">
        <f t="shared" si="67"/>
        <v>72125.84</v>
      </c>
      <c r="AA378" s="53">
        <v>36062.92</v>
      </c>
      <c r="AO378" s="53">
        <f t="shared" si="64"/>
        <v>0</v>
      </c>
      <c r="AP378" s="53">
        <f t="shared" si="64"/>
        <v>0</v>
      </c>
      <c r="AQ378" s="53">
        <f t="shared" si="64"/>
        <v>401705686.60575676</v>
      </c>
      <c r="AR378" s="53">
        <f t="shared" si="64"/>
        <v>0</v>
      </c>
      <c r="AS378" s="53">
        <f t="shared" si="64"/>
        <v>19277526.252697922</v>
      </c>
      <c r="AT378" s="53">
        <f t="shared" si="64"/>
        <v>18920727.344558638</v>
      </c>
      <c r="AU378" s="53">
        <f t="shared" si="64"/>
        <v>0</v>
      </c>
      <c r="AV378" s="53">
        <f t="shared" si="64"/>
        <v>0</v>
      </c>
      <c r="AW378" s="53">
        <f t="shared" si="64"/>
        <v>0</v>
      </c>
      <c r="AX378" s="53">
        <f t="shared" si="65"/>
        <v>2269528.9626658089</v>
      </c>
      <c r="AY378" s="41" t="s">
        <v>557</v>
      </c>
    </row>
    <row r="379" spans="1:51" x14ac:dyDescent="0.2">
      <c r="A379" s="41" t="s">
        <v>583</v>
      </c>
      <c r="B379" s="41">
        <v>1904</v>
      </c>
      <c r="C379" s="41" t="s">
        <v>91</v>
      </c>
      <c r="D379" s="41" t="s">
        <v>88</v>
      </c>
      <c r="E379" s="47">
        <v>1.1096823604087387</v>
      </c>
      <c r="F379" s="41" t="s">
        <v>584</v>
      </c>
      <c r="G379" s="53">
        <v>1363752.416</v>
      </c>
      <c r="J379" s="53">
        <v>414.24283291453594</v>
      </c>
      <c r="L379" s="46">
        <v>16.663717927011739</v>
      </c>
      <c r="M379" s="46">
        <v>8.1323253697934721</v>
      </c>
      <c r="T379" s="45">
        <v>63.4129</v>
      </c>
      <c r="U379" s="53">
        <v>332668.14750000002</v>
      </c>
      <c r="X379" s="76">
        <f t="shared" si="66"/>
        <v>335477.10399999999</v>
      </c>
      <c r="Y379" s="53">
        <v>167738.552</v>
      </c>
      <c r="Z379" s="76">
        <f t="shared" si="67"/>
        <v>44787.311999999998</v>
      </c>
      <c r="AA379" s="53">
        <v>22393.655999999999</v>
      </c>
      <c r="AO379" s="53">
        <f t="shared" si="64"/>
        <v>0</v>
      </c>
      <c r="AP379" s="53">
        <f t="shared" si="64"/>
        <v>0</v>
      </c>
      <c r="AQ379" s="53">
        <f t="shared" si="64"/>
        <v>564924664.19788265</v>
      </c>
      <c r="AR379" s="53">
        <f t="shared" si="64"/>
        <v>0</v>
      </c>
      <c r="AS379" s="53">
        <f t="shared" si="64"/>
        <v>22725185.582504768</v>
      </c>
      <c r="AT379" s="53">
        <f t="shared" si="64"/>
        <v>11090478.37075394</v>
      </c>
      <c r="AU379" s="53">
        <f t="shared" si="64"/>
        <v>0</v>
      </c>
      <c r="AV379" s="53">
        <f t="shared" si="64"/>
        <v>0</v>
      </c>
      <c r="AW379" s="53">
        <f t="shared" si="64"/>
        <v>0</v>
      </c>
      <c r="AX379" s="53">
        <f t="shared" si="65"/>
        <v>1513332</v>
      </c>
      <c r="AY379" s="41" t="s">
        <v>557</v>
      </c>
    </row>
    <row r="380" spans="1:51" x14ac:dyDescent="0.2">
      <c r="A380" s="41" t="s">
        <v>583</v>
      </c>
      <c r="B380" s="41">
        <v>1905</v>
      </c>
      <c r="C380" s="41" t="s">
        <v>91</v>
      </c>
      <c r="D380" s="41" t="s">
        <v>88</v>
      </c>
      <c r="E380" s="41">
        <v>0</v>
      </c>
      <c r="F380" s="41" t="s">
        <v>584</v>
      </c>
      <c r="G380" s="53">
        <v>1480595.4639999999</v>
      </c>
      <c r="J380" s="53">
        <v>313.1095525491948</v>
      </c>
      <c r="L380" s="46">
        <v>16.206538377432757</v>
      </c>
      <c r="M380" s="46">
        <v>15.283797958564648</v>
      </c>
      <c r="S380" s="53">
        <v>50.8</v>
      </c>
      <c r="T380" s="45">
        <v>95.601400000000012</v>
      </c>
      <c r="U380" s="53">
        <v>319878.89449999999</v>
      </c>
      <c r="X380" s="76">
        <f t="shared" si="66"/>
        <v>328422</v>
      </c>
      <c r="Y380" s="53">
        <v>164211</v>
      </c>
      <c r="Z380" s="76">
        <f t="shared" si="67"/>
        <v>84151.216</v>
      </c>
      <c r="AA380" s="53">
        <v>42075.608</v>
      </c>
      <c r="AO380" s="53">
        <f t="shared" si="64"/>
        <v>0</v>
      </c>
      <c r="AP380" s="53">
        <f t="shared" si="64"/>
        <v>0</v>
      </c>
      <c r="AQ380" s="53">
        <f t="shared" si="64"/>
        <v>463588583.23940742</v>
      </c>
      <c r="AR380" s="53">
        <f t="shared" si="64"/>
        <v>0</v>
      </c>
      <c r="AS380" s="53">
        <f t="shared" si="64"/>
        <v>23995327.20876886</v>
      </c>
      <c r="AT380" s="53">
        <f t="shared" si="64"/>
        <v>22629121.930143278</v>
      </c>
      <c r="AU380" s="53">
        <f t="shared" si="64"/>
        <v>0</v>
      </c>
      <c r="AV380" s="53">
        <f t="shared" si="64"/>
        <v>0</v>
      </c>
      <c r="AW380" s="53">
        <f t="shared" si="64"/>
        <v>0</v>
      </c>
      <c r="AX380" s="53">
        <f t="shared" si="65"/>
        <v>0</v>
      </c>
      <c r="AY380" s="41" t="s">
        <v>557</v>
      </c>
    </row>
    <row r="381" spans="1:51" x14ac:dyDescent="0.2">
      <c r="A381" s="41" t="s">
        <v>583</v>
      </c>
      <c r="B381" s="41">
        <v>1906</v>
      </c>
      <c r="C381" s="41" t="s">
        <v>91</v>
      </c>
      <c r="D381" s="41" t="s">
        <v>88</v>
      </c>
      <c r="E381" s="41">
        <v>0</v>
      </c>
      <c r="F381" s="41" t="s">
        <v>584</v>
      </c>
      <c r="G381" s="53">
        <v>1286331.4888000002</v>
      </c>
      <c r="J381" s="53">
        <v>212.35190102428561</v>
      </c>
      <c r="L381" s="46">
        <v>10.902969006561587</v>
      </c>
      <c r="M381" s="46">
        <v>3.2796756901806194</v>
      </c>
      <c r="S381" s="53">
        <v>71.12</v>
      </c>
      <c r="T381" s="45">
        <v>63.475100000000005</v>
      </c>
      <c r="U381" s="53">
        <v>270147.75530000002</v>
      </c>
      <c r="X381" s="76">
        <f t="shared" si="66"/>
        <v>277408.64000000001</v>
      </c>
      <c r="Y381" s="53">
        <v>138704.32000000001</v>
      </c>
      <c r="Z381" s="76">
        <f t="shared" si="67"/>
        <v>83446.112000000008</v>
      </c>
      <c r="AA381" s="53">
        <v>41723.056000000004</v>
      </c>
      <c r="AO381" s="53">
        <f t="shared" si="64"/>
        <v>0</v>
      </c>
      <c r="AP381" s="53">
        <f t="shared" si="64"/>
        <v>0</v>
      </c>
      <c r="AQ381" s="53">
        <f t="shared" si="64"/>
        <v>273154936.99407959</v>
      </c>
      <c r="AR381" s="53">
        <f t="shared" si="64"/>
        <v>0</v>
      </c>
      <c r="AS381" s="53">
        <f t="shared" si="64"/>
        <v>14024832.354550626</v>
      </c>
      <c r="AT381" s="53">
        <f t="shared" si="64"/>
        <v>4218750.1133312043</v>
      </c>
      <c r="AU381" s="53">
        <f t="shared" si="64"/>
        <v>0</v>
      </c>
      <c r="AV381" s="53">
        <f t="shared" si="64"/>
        <v>0</v>
      </c>
      <c r="AW381" s="53">
        <f t="shared" si="64"/>
        <v>0</v>
      </c>
      <c r="AX381" s="53">
        <f t="shared" si="65"/>
        <v>0</v>
      </c>
      <c r="AY381" s="41" t="s">
        <v>557</v>
      </c>
    </row>
    <row r="382" spans="1:51" x14ac:dyDescent="0.2">
      <c r="A382" s="41" t="s">
        <v>583</v>
      </c>
      <c r="B382" s="41">
        <v>1907</v>
      </c>
      <c r="C382" s="41" t="s">
        <v>91</v>
      </c>
      <c r="D382" s="41" t="s">
        <v>88</v>
      </c>
      <c r="E382" s="41">
        <v>0</v>
      </c>
      <c r="F382" s="41" t="s">
        <v>584</v>
      </c>
      <c r="G382" s="53">
        <v>1679337.2560000001</v>
      </c>
      <c r="J382" s="53">
        <v>225.00251742167032</v>
      </c>
      <c r="L382" s="46">
        <v>11.401235774167807</v>
      </c>
      <c r="M382" s="46">
        <v>5.717255402806356</v>
      </c>
      <c r="T382" s="45">
        <v>64.3459</v>
      </c>
      <c r="U382" s="53">
        <v>377855.1102</v>
      </c>
      <c r="X382" s="76">
        <f t="shared" si="66"/>
        <v>382930.4</v>
      </c>
      <c r="Y382" s="53">
        <v>191465.2</v>
      </c>
      <c r="Z382" s="76">
        <f t="shared" si="67"/>
        <v>192024</v>
      </c>
      <c r="AA382" s="53">
        <v>96012</v>
      </c>
      <c r="AO382" s="53">
        <f t="shared" si="64"/>
        <v>0</v>
      </c>
      <c r="AP382" s="53">
        <f t="shared" si="64"/>
        <v>0</v>
      </c>
      <c r="AQ382" s="53">
        <f t="shared" si="64"/>
        <v>377855110.20000005</v>
      </c>
      <c r="AR382" s="53">
        <f t="shared" si="64"/>
        <v>0</v>
      </c>
      <c r="AS382" s="53">
        <f t="shared" si="64"/>
        <v>19146520</v>
      </c>
      <c r="AT382" s="53">
        <f t="shared" si="64"/>
        <v>9601200</v>
      </c>
      <c r="AU382" s="53">
        <f t="shared" si="64"/>
        <v>0</v>
      </c>
      <c r="AV382" s="53">
        <f t="shared" si="64"/>
        <v>0</v>
      </c>
      <c r="AW382" s="53">
        <f t="shared" si="64"/>
        <v>0</v>
      </c>
      <c r="AX382" s="53">
        <f t="shared" si="65"/>
        <v>0</v>
      </c>
      <c r="AY382" s="41" t="s">
        <v>557</v>
      </c>
    </row>
    <row r="383" spans="1:51" x14ac:dyDescent="0.2">
      <c r="A383" s="41" t="s">
        <v>583</v>
      </c>
      <c r="B383" s="41">
        <v>1908</v>
      </c>
      <c r="C383" s="41" t="s">
        <v>91</v>
      </c>
      <c r="D383" s="41" t="s">
        <v>88</v>
      </c>
      <c r="E383" s="41">
        <v>0</v>
      </c>
      <c r="F383" s="41" t="s">
        <v>584</v>
      </c>
      <c r="G383" s="53">
        <v>1470964.8</v>
      </c>
      <c r="J383" s="53">
        <v>253.41756491032342</v>
      </c>
      <c r="L383" s="46">
        <v>11.735718865025589</v>
      </c>
      <c r="M383" s="46">
        <v>7.6250566492389655</v>
      </c>
      <c r="S383" s="53">
        <v>7.1120000000000001</v>
      </c>
      <c r="T383" s="45">
        <v>57.503900000000002</v>
      </c>
      <c r="U383" s="53">
        <v>372692.10590000002</v>
      </c>
      <c r="X383" s="76">
        <f t="shared" si="66"/>
        <v>345186</v>
      </c>
      <c r="Y383" s="53">
        <v>172593</v>
      </c>
      <c r="Z383" s="76">
        <f t="shared" si="67"/>
        <v>224277.93600000002</v>
      </c>
      <c r="AA383" s="53">
        <v>112138.96800000001</v>
      </c>
      <c r="AO383" s="53">
        <f t="shared" si="64"/>
        <v>0</v>
      </c>
      <c r="AP383" s="53">
        <f t="shared" si="64"/>
        <v>0</v>
      </c>
      <c r="AQ383" s="53">
        <f t="shared" si="64"/>
        <v>372768317.68480092</v>
      </c>
      <c r="AR383" s="53">
        <f t="shared" si="64"/>
        <v>0</v>
      </c>
      <c r="AS383" s="53">
        <f t="shared" si="64"/>
        <v>17262829.353148594</v>
      </c>
      <c r="AT383" s="53">
        <f t="shared" si="64"/>
        <v>11216189.929036465</v>
      </c>
      <c r="AU383" s="53">
        <f t="shared" si="64"/>
        <v>0</v>
      </c>
      <c r="AV383" s="53">
        <f t="shared" si="64"/>
        <v>0</v>
      </c>
      <c r="AW383" s="53">
        <f t="shared" si="64"/>
        <v>0</v>
      </c>
      <c r="AX383" s="53">
        <f t="shared" si="65"/>
        <v>0</v>
      </c>
      <c r="AY383" s="41" t="s">
        <v>557</v>
      </c>
    </row>
    <row r="384" spans="1:51" x14ac:dyDescent="0.2">
      <c r="A384" s="41" t="s">
        <v>583</v>
      </c>
      <c r="B384" s="41">
        <v>1909</v>
      </c>
      <c r="C384" s="41" t="s">
        <v>91</v>
      </c>
      <c r="D384" s="41" t="s">
        <v>88</v>
      </c>
      <c r="E384" s="41">
        <v>0</v>
      </c>
      <c r="F384" s="41" t="s">
        <v>584</v>
      </c>
      <c r="G384" s="53">
        <v>1047814.008</v>
      </c>
      <c r="J384" s="53">
        <v>314.47834715407527</v>
      </c>
      <c r="L384" s="46">
        <v>14.799953799281171</v>
      </c>
      <c r="M384" s="46">
        <v>14.516537624953047</v>
      </c>
      <c r="S384" s="53">
        <v>6.0960000000000001</v>
      </c>
      <c r="T384" s="45">
        <v>47.178700000000006</v>
      </c>
      <c r="U384" s="53">
        <v>329187.0001</v>
      </c>
      <c r="X384" s="76">
        <f t="shared" si="66"/>
        <v>309843.424</v>
      </c>
      <c r="Y384" s="53">
        <v>154921.712</v>
      </c>
      <c r="Z384" s="76">
        <f t="shared" si="67"/>
        <v>303909.984</v>
      </c>
      <c r="AA384" s="53">
        <v>151954.992</v>
      </c>
      <c r="AO384" s="53">
        <f t="shared" si="64"/>
        <v>0</v>
      </c>
      <c r="AP384" s="53">
        <f t="shared" si="64"/>
        <v>0</v>
      </c>
      <c r="AQ384" s="53">
        <f t="shared" si="64"/>
        <v>329514817.36072701</v>
      </c>
      <c r="AR384" s="53">
        <f t="shared" si="64"/>
        <v>0</v>
      </c>
      <c r="AS384" s="53">
        <f t="shared" si="64"/>
        <v>15507598.908639632</v>
      </c>
      <c r="AT384" s="53">
        <f t="shared" si="64"/>
        <v>15210631.471084854</v>
      </c>
      <c r="AU384" s="53">
        <f t="shared" si="64"/>
        <v>0</v>
      </c>
      <c r="AV384" s="53">
        <f t="shared" si="64"/>
        <v>0</v>
      </c>
      <c r="AW384" s="53">
        <f t="shared" si="64"/>
        <v>0</v>
      </c>
      <c r="AX384" s="53">
        <f t="shared" si="65"/>
        <v>0</v>
      </c>
      <c r="AY384" s="41" t="s">
        <v>557</v>
      </c>
    </row>
    <row r="385" spans="1:51" x14ac:dyDescent="0.2">
      <c r="A385" s="41" t="s">
        <v>583</v>
      </c>
      <c r="B385" s="41">
        <v>1910</v>
      </c>
      <c r="C385" s="41" t="s">
        <v>91</v>
      </c>
      <c r="D385" s="41" t="s">
        <v>88</v>
      </c>
      <c r="E385" s="41">
        <v>0</v>
      </c>
      <c r="F385" s="41" t="s">
        <v>584</v>
      </c>
      <c r="G385" s="53">
        <v>1263582.9440000001</v>
      </c>
      <c r="J385" s="53">
        <v>257.54423518081302</v>
      </c>
      <c r="L385" s="46">
        <v>14.690467996693695</v>
      </c>
      <c r="M385" s="46">
        <v>16.554767931403799</v>
      </c>
      <c r="S385" s="53">
        <v>15.24</v>
      </c>
      <c r="T385" s="45">
        <v>57.597200000000001</v>
      </c>
      <c r="U385" s="53">
        <v>325428.50290000002</v>
      </c>
      <c r="X385" s="76">
        <f t="shared" si="66"/>
        <v>371252.49599999998</v>
      </c>
      <c r="Y385" s="53">
        <v>185626.24799999999</v>
      </c>
      <c r="Z385" s="76">
        <f t="shared" si="67"/>
        <v>418366.44800000003</v>
      </c>
      <c r="AA385" s="53">
        <v>209183.22400000002</v>
      </c>
      <c r="AO385" s="53">
        <f t="shared" si="64"/>
        <v>0</v>
      </c>
      <c r="AP385" s="53">
        <f t="shared" si="64"/>
        <v>0</v>
      </c>
      <c r="AQ385" s="53">
        <f t="shared" si="64"/>
        <v>325428502.9000001</v>
      </c>
      <c r="AR385" s="53">
        <f t="shared" si="64"/>
        <v>0</v>
      </c>
      <c r="AS385" s="53">
        <f t="shared" si="64"/>
        <v>18562624.800000004</v>
      </c>
      <c r="AT385" s="53">
        <f t="shared" si="64"/>
        <v>20918322.400000002</v>
      </c>
      <c r="AU385" s="53">
        <f t="shared" si="64"/>
        <v>0</v>
      </c>
      <c r="AV385" s="53">
        <f t="shared" si="64"/>
        <v>0</v>
      </c>
      <c r="AW385" s="53">
        <f t="shared" si="64"/>
        <v>0</v>
      </c>
      <c r="AX385" s="53">
        <f t="shared" si="65"/>
        <v>0</v>
      </c>
      <c r="AY385" s="41" t="s">
        <v>557</v>
      </c>
    </row>
    <row r="386" spans="1:51" x14ac:dyDescent="0.2">
      <c r="A386" s="41" t="s">
        <v>583</v>
      </c>
      <c r="B386" s="41">
        <v>1911</v>
      </c>
      <c r="C386" s="41" t="s">
        <v>91</v>
      </c>
      <c r="D386" s="41" t="s">
        <v>88</v>
      </c>
      <c r="E386" s="41">
        <v>0</v>
      </c>
      <c r="F386" s="41" t="s">
        <v>584</v>
      </c>
      <c r="G386" s="53">
        <v>1508147.352</v>
      </c>
      <c r="J386" s="53">
        <v>255.58613201079308</v>
      </c>
      <c r="L386" s="46">
        <v>13.667570063803685</v>
      </c>
      <c r="M386" s="46">
        <v>16.006162771819127</v>
      </c>
      <c r="T386" s="45">
        <v>71.374499999999998</v>
      </c>
      <c r="U386" s="53">
        <v>385461.54819999996</v>
      </c>
      <c r="X386" s="76">
        <f t="shared" si="66"/>
        <v>412254.19199999998</v>
      </c>
      <c r="Y386" s="53">
        <v>206127.09599999999</v>
      </c>
      <c r="Z386" s="76">
        <f t="shared" si="67"/>
        <v>482793.04</v>
      </c>
      <c r="AA386" s="53">
        <v>241396.52</v>
      </c>
      <c r="AO386" s="53">
        <f t="shared" si="64"/>
        <v>0</v>
      </c>
      <c r="AP386" s="53">
        <f t="shared" si="64"/>
        <v>0</v>
      </c>
      <c r="AQ386" s="53">
        <f t="shared" si="64"/>
        <v>385461548.19999999</v>
      </c>
      <c r="AR386" s="53">
        <f t="shared" ref="AR386:AW428" si="68">$G386*K386</f>
        <v>0</v>
      </c>
      <c r="AS386" s="53">
        <f t="shared" si="68"/>
        <v>20612709.599999998</v>
      </c>
      <c r="AT386" s="53">
        <f t="shared" si="68"/>
        <v>24139651.999999996</v>
      </c>
      <c r="AU386" s="53">
        <f t="shared" si="68"/>
        <v>0</v>
      </c>
      <c r="AV386" s="53">
        <f t="shared" si="68"/>
        <v>0</v>
      </c>
      <c r="AW386" s="53">
        <f t="shared" si="68"/>
        <v>0</v>
      </c>
      <c r="AX386" s="53">
        <f t="shared" si="65"/>
        <v>0</v>
      </c>
      <c r="AY386" s="41" t="s">
        <v>557</v>
      </c>
    </row>
    <row r="387" spans="1:51" x14ac:dyDescent="0.2">
      <c r="A387" s="41" t="s">
        <v>583</v>
      </c>
      <c r="B387" s="41">
        <v>1912</v>
      </c>
      <c r="C387" s="41" t="s">
        <v>91</v>
      </c>
      <c r="D387" s="41" t="s">
        <v>88</v>
      </c>
      <c r="E387" s="41">
        <v>0</v>
      </c>
      <c r="F387" s="41" t="s">
        <v>584</v>
      </c>
      <c r="G387" s="53">
        <v>1665893.544</v>
      </c>
      <c r="J387" s="53">
        <v>243.68114022776956</v>
      </c>
      <c r="L387" s="46">
        <v>13.608927222062636</v>
      </c>
      <c r="M387" s="46">
        <v>13.94332602083726</v>
      </c>
      <c r="S387" s="53">
        <v>3.048</v>
      </c>
      <c r="T387" s="45">
        <v>51.812600000000003</v>
      </c>
      <c r="U387" s="53">
        <v>405946.8383</v>
      </c>
      <c r="X387" s="76">
        <f t="shared" si="66"/>
        <v>453420.48</v>
      </c>
      <c r="Y387" s="53">
        <v>226710.24</v>
      </c>
      <c r="Z387" s="76">
        <f t="shared" si="67"/>
        <v>464561.93599999999</v>
      </c>
      <c r="AA387" s="53">
        <v>232280.96799999999</v>
      </c>
      <c r="AO387" s="53">
        <f t="shared" ref="AO387:AT450" si="69">$G387*H387</f>
        <v>0</v>
      </c>
      <c r="AP387" s="53">
        <f t="shared" si="69"/>
        <v>0</v>
      </c>
      <c r="AQ387" s="53">
        <f t="shared" si="69"/>
        <v>405946838.30000001</v>
      </c>
      <c r="AR387" s="53">
        <f t="shared" si="68"/>
        <v>0</v>
      </c>
      <c r="AS387" s="53">
        <f t="shared" si="68"/>
        <v>22671024</v>
      </c>
      <c r="AT387" s="53">
        <f t="shared" si="68"/>
        <v>23228096.800000001</v>
      </c>
      <c r="AU387" s="53">
        <f t="shared" si="68"/>
        <v>0</v>
      </c>
      <c r="AV387" s="53">
        <f t="shared" si="68"/>
        <v>0</v>
      </c>
      <c r="AW387" s="53">
        <f t="shared" si="68"/>
        <v>0</v>
      </c>
      <c r="AX387" s="53">
        <f t="shared" si="65"/>
        <v>0</v>
      </c>
      <c r="AY387" s="41" t="s">
        <v>557</v>
      </c>
    </row>
    <row r="388" spans="1:51" x14ac:dyDescent="0.2">
      <c r="A388" s="41" t="s">
        <v>583</v>
      </c>
      <c r="B388" s="41">
        <v>1913</v>
      </c>
      <c r="C388" s="41" t="s">
        <v>91</v>
      </c>
      <c r="D388" s="41" t="s">
        <v>88</v>
      </c>
      <c r="E388" s="41">
        <v>0</v>
      </c>
      <c r="F388" s="41" t="s">
        <v>584</v>
      </c>
      <c r="G388" s="53">
        <v>1821943.0160000001</v>
      </c>
      <c r="J388" s="53">
        <v>259.83634498616777</v>
      </c>
      <c r="L388" s="46">
        <v>14.616053159058708</v>
      </c>
      <c r="M388" s="46">
        <v>12.496497690213854</v>
      </c>
      <c r="T388" s="45">
        <v>63.661700000000003</v>
      </c>
      <c r="U388" s="53">
        <v>399645.26299999998</v>
      </c>
      <c r="X388" s="76">
        <f t="shared" si="66"/>
        <v>479773.48800000001</v>
      </c>
      <c r="Y388" s="53">
        <v>239886.74400000001</v>
      </c>
      <c r="Z388" s="76">
        <f t="shared" si="67"/>
        <v>439255.408</v>
      </c>
      <c r="AA388" s="53">
        <v>219627.704</v>
      </c>
      <c r="AO388" s="53">
        <f t="shared" si="69"/>
        <v>0</v>
      </c>
      <c r="AP388" s="53">
        <f t="shared" si="69"/>
        <v>0</v>
      </c>
      <c r="AQ388" s="53">
        <f t="shared" si="69"/>
        <v>473407014.050515</v>
      </c>
      <c r="AR388" s="53">
        <f t="shared" si="68"/>
        <v>0</v>
      </c>
      <c r="AS388" s="53">
        <f t="shared" si="68"/>
        <v>26629615.974631753</v>
      </c>
      <c r="AT388" s="53">
        <f t="shared" si="68"/>
        <v>22767906.691145264</v>
      </c>
      <c r="AU388" s="53">
        <f t="shared" si="68"/>
        <v>0</v>
      </c>
      <c r="AV388" s="53">
        <f t="shared" si="68"/>
        <v>0</v>
      </c>
      <c r="AW388" s="53">
        <f t="shared" si="68"/>
        <v>0</v>
      </c>
      <c r="AX388" s="53">
        <f t="shared" si="65"/>
        <v>0</v>
      </c>
      <c r="AY388" s="41" t="s">
        <v>557</v>
      </c>
    </row>
    <row r="389" spans="1:51" x14ac:dyDescent="0.2">
      <c r="A389" s="41" t="s">
        <v>583</v>
      </c>
      <c r="B389" s="41">
        <v>1914</v>
      </c>
      <c r="C389" s="41" t="s">
        <v>91</v>
      </c>
      <c r="D389" s="41" t="s">
        <v>88</v>
      </c>
      <c r="E389" s="41">
        <v>0</v>
      </c>
      <c r="F389" s="41" t="s">
        <v>584</v>
      </c>
      <c r="G389" s="53">
        <v>1465037.456</v>
      </c>
      <c r="J389" s="53">
        <v>259.45689974692442</v>
      </c>
      <c r="L389" s="46">
        <v>15.001807874046582</v>
      </c>
      <c r="M389" s="46">
        <v>13.305671477193183</v>
      </c>
      <c r="T389" s="45">
        <v>70.970199999999991</v>
      </c>
      <c r="U389" s="53">
        <v>321885.71530000004</v>
      </c>
      <c r="X389" s="76">
        <f t="shared" si="66"/>
        <v>384824.22399999999</v>
      </c>
      <c r="Y389" s="53">
        <v>192412.11199999999</v>
      </c>
      <c r="Z389" s="76">
        <f t="shared" si="67"/>
        <v>336773.52</v>
      </c>
      <c r="AA389" s="53">
        <v>168386.76</v>
      </c>
      <c r="AO389" s="53">
        <f t="shared" si="69"/>
        <v>0</v>
      </c>
      <c r="AP389" s="53">
        <f t="shared" si="69"/>
        <v>0</v>
      </c>
      <c r="AQ389" s="53">
        <f t="shared" si="69"/>
        <v>380114076.34688121</v>
      </c>
      <c r="AR389" s="53">
        <f t="shared" si="68"/>
        <v>0</v>
      </c>
      <c r="AS389" s="53">
        <f t="shared" si="68"/>
        <v>21978210.443193972</v>
      </c>
      <c r="AT389" s="53">
        <f t="shared" si="68"/>
        <v>19493307.091318864</v>
      </c>
      <c r="AU389" s="53">
        <f t="shared" si="68"/>
        <v>0</v>
      </c>
      <c r="AV389" s="53">
        <f t="shared" si="68"/>
        <v>0</v>
      </c>
      <c r="AW389" s="53">
        <f t="shared" si="68"/>
        <v>0</v>
      </c>
      <c r="AX389" s="53">
        <f t="shared" si="65"/>
        <v>0</v>
      </c>
      <c r="AY389" s="41" t="s">
        <v>557</v>
      </c>
    </row>
    <row r="390" spans="1:51" x14ac:dyDescent="0.2">
      <c r="A390" s="41" t="s">
        <v>583</v>
      </c>
      <c r="B390" s="41">
        <v>1915</v>
      </c>
      <c r="C390" s="41" t="s">
        <v>91</v>
      </c>
      <c r="D390" s="41" t="s">
        <v>88</v>
      </c>
      <c r="E390" s="41">
        <v>0</v>
      </c>
      <c r="F390" s="41" t="s">
        <v>584</v>
      </c>
      <c r="G390" s="53">
        <v>1528676.648</v>
      </c>
      <c r="J390" s="53">
        <v>271.72518741176196</v>
      </c>
      <c r="L390" s="46">
        <v>14.751272974242017</v>
      </c>
      <c r="M390" s="46">
        <v>13.302110485980682</v>
      </c>
      <c r="S390" s="53">
        <v>2.032</v>
      </c>
      <c r="T390" s="45">
        <v>26.279499999999999</v>
      </c>
      <c r="U390" s="53">
        <v>256380.99820000003</v>
      </c>
      <c r="X390" s="76">
        <f t="shared" si="66"/>
        <v>311131.712</v>
      </c>
      <c r="Y390" s="53">
        <v>155565.856</v>
      </c>
      <c r="Z390" s="76">
        <f t="shared" si="67"/>
        <v>267201.90399999998</v>
      </c>
      <c r="AA390" s="53">
        <v>133600.95199999999</v>
      </c>
      <c r="AO390" s="53">
        <f t="shared" si="69"/>
        <v>0</v>
      </c>
      <c r="AP390" s="53">
        <f t="shared" si="69"/>
        <v>0</v>
      </c>
      <c r="AQ390" s="53">
        <f t="shared" si="69"/>
        <v>415379948.66978407</v>
      </c>
      <c r="AR390" s="53">
        <f t="shared" si="68"/>
        <v>0</v>
      </c>
      <c r="AS390" s="53">
        <f t="shared" si="68"/>
        <v>22549926.523997277</v>
      </c>
      <c r="AT390" s="53">
        <f t="shared" si="68"/>
        <v>20334625.6690346</v>
      </c>
      <c r="AU390" s="53">
        <f t="shared" si="68"/>
        <v>0</v>
      </c>
      <c r="AV390" s="53">
        <f t="shared" si="68"/>
        <v>0</v>
      </c>
      <c r="AW390" s="53">
        <f t="shared" si="68"/>
        <v>0</v>
      </c>
      <c r="AX390" s="53">
        <f t="shared" si="65"/>
        <v>0</v>
      </c>
      <c r="AY390" s="41" t="s">
        <v>557</v>
      </c>
    </row>
    <row r="391" spans="1:51" x14ac:dyDescent="0.2">
      <c r="A391" s="41" t="s">
        <v>583</v>
      </c>
      <c r="B391" s="41">
        <v>1916</v>
      </c>
      <c r="C391" s="41" t="s">
        <v>91</v>
      </c>
      <c r="D391" s="41" t="s">
        <v>88</v>
      </c>
      <c r="E391" s="41">
        <v>0</v>
      </c>
      <c r="F391" s="41" t="s">
        <v>584</v>
      </c>
      <c r="G391" s="53">
        <v>1036347.432</v>
      </c>
      <c r="J391" s="53">
        <v>254.46746137028478</v>
      </c>
      <c r="L391" s="46">
        <v>14.431111173250681</v>
      </c>
      <c r="M391" s="46">
        <v>12.531610098399645</v>
      </c>
      <c r="T391" s="45">
        <v>280.45979999999997</v>
      </c>
      <c r="U391" s="53">
        <v>241173.8757</v>
      </c>
      <c r="X391" s="76">
        <f t="shared" si="66"/>
        <v>278296.62400000001</v>
      </c>
      <c r="Y391" s="53">
        <v>139148.31200000001</v>
      </c>
      <c r="Z391" s="76">
        <f t="shared" si="67"/>
        <v>241165.88800000001</v>
      </c>
      <c r="AA391" s="53">
        <v>120582.944</v>
      </c>
      <c r="AO391" s="53">
        <f t="shared" si="69"/>
        <v>0</v>
      </c>
      <c r="AP391" s="53">
        <f t="shared" si="69"/>
        <v>0</v>
      </c>
      <c r="AQ391" s="53">
        <f t="shared" si="69"/>
        <v>263716700.11865383</v>
      </c>
      <c r="AR391" s="53">
        <f t="shared" si="68"/>
        <v>0</v>
      </c>
      <c r="AS391" s="53">
        <f t="shared" si="68"/>
        <v>14955645.005304851</v>
      </c>
      <c r="AT391" s="53">
        <f t="shared" si="68"/>
        <v>12987101.944301739</v>
      </c>
      <c r="AU391" s="53">
        <f t="shared" si="68"/>
        <v>0</v>
      </c>
      <c r="AV391" s="53">
        <f t="shared" si="68"/>
        <v>0</v>
      </c>
      <c r="AW391" s="53">
        <f t="shared" si="68"/>
        <v>0</v>
      </c>
      <c r="AX391" s="53">
        <f t="shared" si="65"/>
        <v>0</v>
      </c>
      <c r="AY391" s="41" t="s">
        <v>557</v>
      </c>
    </row>
    <row r="392" spans="1:51" x14ac:dyDescent="0.2">
      <c r="A392" s="41" t="s">
        <v>583</v>
      </c>
      <c r="B392" s="41">
        <v>1917</v>
      </c>
      <c r="C392" s="41" t="s">
        <v>91</v>
      </c>
      <c r="D392" s="41" t="s">
        <v>88</v>
      </c>
      <c r="E392" s="41">
        <v>0</v>
      </c>
      <c r="F392" s="41" t="s">
        <v>584</v>
      </c>
      <c r="G392" s="53">
        <v>1048951.9280000001</v>
      </c>
      <c r="J392" s="53">
        <v>263.74284924237253</v>
      </c>
      <c r="L392" s="46">
        <v>14.599400794046684</v>
      </c>
      <c r="M392" s="46">
        <v>12.656169669121386</v>
      </c>
      <c r="T392" s="45">
        <v>293.3974</v>
      </c>
      <c r="U392" s="53">
        <v>315963.18680000002</v>
      </c>
      <c r="X392" s="76">
        <f t="shared" si="66"/>
        <v>311527.95199999999</v>
      </c>
      <c r="Y392" s="53">
        <v>155763.976</v>
      </c>
      <c r="Z392" s="76">
        <f t="shared" si="67"/>
        <v>320206.62400000001</v>
      </c>
      <c r="AA392" s="53">
        <v>160103.31200000001</v>
      </c>
      <c r="AO392" s="53">
        <f t="shared" si="69"/>
        <v>0</v>
      </c>
      <c r="AP392" s="53">
        <f t="shared" si="69"/>
        <v>0</v>
      </c>
      <c r="AQ392" s="53">
        <f t="shared" si="69"/>
        <v>276653570.20900005</v>
      </c>
      <c r="AR392" s="53">
        <f t="shared" si="68"/>
        <v>0</v>
      </c>
      <c r="AS392" s="53">
        <f t="shared" si="68"/>
        <v>15314069.61056</v>
      </c>
      <c r="AT392" s="53">
        <f t="shared" si="68"/>
        <v>13275713.575520001</v>
      </c>
      <c r="AU392" s="53">
        <f t="shared" si="68"/>
        <v>0</v>
      </c>
      <c r="AV392" s="53">
        <f t="shared" si="68"/>
        <v>0</v>
      </c>
      <c r="AW392" s="53">
        <f t="shared" si="68"/>
        <v>0</v>
      </c>
      <c r="AX392" s="53">
        <f t="shared" si="65"/>
        <v>0</v>
      </c>
      <c r="AY392" s="41" t="s">
        <v>557</v>
      </c>
    </row>
    <row r="393" spans="1:51" x14ac:dyDescent="0.2">
      <c r="A393" s="41" t="s">
        <v>583</v>
      </c>
      <c r="B393" s="41">
        <v>1918</v>
      </c>
      <c r="C393" s="41" t="s">
        <v>91</v>
      </c>
      <c r="D393" s="41" t="s">
        <v>88</v>
      </c>
      <c r="E393" s="41">
        <v>0</v>
      </c>
      <c r="F393" s="41" t="s">
        <v>584</v>
      </c>
      <c r="G393" s="53">
        <v>1285386.304</v>
      </c>
      <c r="J393" s="53">
        <v>260.76878363236716</v>
      </c>
      <c r="L393" s="46">
        <v>14.09891892189137</v>
      </c>
      <c r="M393" s="46">
        <v>12.385595380650653</v>
      </c>
      <c r="T393" s="45">
        <v>380.94390000000004</v>
      </c>
      <c r="U393" s="53">
        <v>391730.53070000006</v>
      </c>
      <c r="X393" s="76">
        <f t="shared" si="66"/>
        <v>377281.44</v>
      </c>
      <c r="Y393" s="53">
        <v>188640.72</v>
      </c>
      <c r="Z393" s="76">
        <f t="shared" si="67"/>
        <v>369305.84</v>
      </c>
      <c r="AA393" s="53">
        <v>184652.92</v>
      </c>
      <c r="AO393" s="53">
        <f t="shared" si="69"/>
        <v>0</v>
      </c>
      <c r="AP393" s="53">
        <f t="shared" si="69"/>
        <v>0</v>
      </c>
      <c r="AQ393" s="53">
        <f t="shared" si="69"/>
        <v>335188622.9917841</v>
      </c>
      <c r="AR393" s="53">
        <f t="shared" si="68"/>
        <v>0</v>
      </c>
      <c r="AS393" s="53">
        <f t="shared" si="68"/>
        <v>18122557.283405613</v>
      </c>
      <c r="AT393" s="53">
        <f t="shared" si="68"/>
        <v>15920274.669174016</v>
      </c>
      <c r="AU393" s="53">
        <f t="shared" si="68"/>
        <v>0</v>
      </c>
      <c r="AV393" s="53">
        <f t="shared" si="68"/>
        <v>0</v>
      </c>
      <c r="AW393" s="53">
        <f t="shared" si="68"/>
        <v>0</v>
      </c>
      <c r="AX393" s="53">
        <f t="shared" si="65"/>
        <v>0</v>
      </c>
      <c r="AY393" s="41" t="s">
        <v>557</v>
      </c>
    </row>
    <row r="394" spans="1:51" x14ac:dyDescent="0.2">
      <c r="A394" s="41" t="s">
        <v>583</v>
      </c>
      <c r="B394" s="41">
        <v>1919</v>
      </c>
      <c r="C394" s="41" t="s">
        <v>91</v>
      </c>
      <c r="D394" s="41" t="s">
        <v>88</v>
      </c>
      <c r="E394" s="41">
        <v>0</v>
      </c>
      <c r="F394" s="41" t="s">
        <v>584</v>
      </c>
      <c r="G394" s="53">
        <v>422046.4</v>
      </c>
      <c r="J394" s="53">
        <v>266.05542192409791</v>
      </c>
      <c r="L394" s="46">
        <v>14.3190229488916</v>
      </c>
      <c r="M394" s="46">
        <v>12.369065390603534</v>
      </c>
      <c r="S394" s="53">
        <v>9.1440000000000001</v>
      </c>
      <c r="T394" s="45">
        <v>151.89239999999998</v>
      </c>
      <c r="U394" s="53">
        <v>134273.44140000001</v>
      </c>
      <c r="X394" s="76">
        <f t="shared" si="66"/>
        <v>124464.064</v>
      </c>
      <c r="Y394" s="53">
        <v>62232.031999999999</v>
      </c>
      <c r="Z394" s="76">
        <f t="shared" si="67"/>
        <v>132195.82399999999</v>
      </c>
      <c r="AA394" s="53">
        <v>66097.911999999997</v>
      </c>
      <c r="AO394" s="53">
        <f t="shared" si="69"/>
        <v>0</v>
      </c>
      <c r="AP394" s="53">
        <f t="shared" si="69"/>
        <v>0</v>
      </c>
      <c r="AQ394" s="53">
        <f t="shared" si="69"/>
        <v>112287733.02354661</v>
      </c>
      <c r="AR394" s="53">
        <f t="shared" si="68"/>
        <v>0</v>
      </c>
      <c r="AS394" s="53">
        <f t="shared" si="68"/>
        <v>6043292.0870970841</v>
      </c>
      <c r="AT394" s="53">
        <f t="shared" si="68"/>
        <v>5220319.519468816</v>
      </c>
      <c r="AU394" s="53">
        <f t="shared" si="68"/>
        <v>0</v>
      </c>
      <c r="AV394" s="53">
        <f t="shared" si="68"/>
        <v>0</v>
      </c>
      <c r="AW394" s="53">
        <f t="shared" si="68"/>
        <v>0</v>
      </c>
      <c r="AX394" s="53">
        <f t="shared" si="65"/>
        <v>0</v>
      </c>
      <c r="AY394" s="41" t="s">
        <v>557</v>
      </c>
    </row>
    <row r="395" spans="1:51" x14ac:dyDescent="0.2">
      <c r="A395" s="41" t="s">
        <v>583</v>
      </c>
      <c r="B395" s="41">
        <v>1920</v>
      </c>
      <c r="C395" s="41" t="s">
        <v>91</v>
      </c>
      <c r="D395" s="41" t="s">
        <v>88</v>
      </c>
      <c r="E395" s="41">
        <v>0</v>
      </c>
      <c r="F395" s="41" t="s">
        <v>584</v>
      </c>
      <c r="G395" s="53">
        <v>45454.824000000001</v>
      </c>
      <c r="J395" s="53">
        <v>252.93097449898826</v>
      </c>
      <c r="L395" s="46">
        <v>12.040213236773285</v>
      </c>
      <c r="M395" s="46">
        <v>9.7255034757147012</v>
      </c>
      <c r="T395" s="53"/>
      <c r="U395" s="53">
        <v>17346.273799999999</v>
      </c>
      <c r="X395" s="76">
        <f t="shared" si="66"/>
        <v>13650.976000000001</v>
      </c>
      <c r="Y395" s="53">
        <v>6825.4880000000003</v>
      </c>
      <c r="Z395" s="76">
        <f t="shared" si="67"/>
        <v>20474.432000000001</v>
      </c>
      <c r="AA395" s="53">
        <v>10237.216</v>
      </c>
      <c r="AO395" s="53">
        <f t="shared" si="69"/>
        <v>0</v>
      </c>
      <c r="AP395" s="53">
        <f t="shared" si="69"/>
        <v>0</v>
      </c>
      <c r="AQ395" s="53">
        <f t="shared" si="69"/>
        <v>11496932.93</v>
      </c>
      <c r="AR395" s="53">
        <f t="shared" si="68"/>
        <v>0</v>
      </c>
      <c r="AS395" s="53">
        <f t="shared" si="68"/>
        <v>547285.77359999996</v>
      </c>
      <c r="AT395" s="53">
        <f t="shared" si="68"/>
        <v>442071.04880000005</v>
      </c>
      <c r="AU395" s="53">
        <f t="shared" si="68"/>
        <v>0</v>
      </c>
      <c r="AV395" s="53">
        <f t="shared" si="68"/>
        <v>0</v>
      </c>
      <c r="AW395" s="53">
        <f t="shared" si="68"/>
        <v>0</v>
      </c>
      <c r="AX395" s="53">
        <f t="shared" si="65"/>
        <v>0</v>
      </c>
      <c r="AY395" s="41" t="s">
        <v>557</v>
      </c>
    </row>
    <row r="396" spans="1:51" x14ac:dyDescent="0.2">
      <c r="A396" s="41" t="s">
        <v>583</v>
      </c>
      <c r="B396" s="41">
        <v>1921</v>
      </c>
      <c r="C396" s="41" t="s">
        <v>91</v>
      </c>
      <c r="D396" s="41" t="s">
        <v>88</v>
      </c>
      <c r="E396" s="41">
        <v>0</v>
      </c>
      <c r="F396" s="41" t="s">
        <v>584</v>
      </c>
      <c r="G396" s="53">
        <v>323223.12800000003</v>
      </c>
      <c r="J396" s="53">
        <v>290.06572475222134</v>
      </c>
      <c r="L396" s="46">
        <v>14.392271785699693</v>
      </c>
      <c r="M396" s="46">
        <v>13.929174904835399</v>
      </c>
      <c r="S396" s="53">
        <v>457.2</v>
      </c>
      <c r="T396" s="45">
        <v>7.7128000000000005</v>
      </c>
      <c r="U396" s="53">
        <v>219399.33510000003</v>
      </c>
      <c r="X396" s="76">
        <f t="shared" si="66"/>
        <v>155964.128</v>
      </c>
      <c r="Y396" s="53">
        <v>77982.063999999998</v>
      </c>
      <c r="Z396" s="76">
        <f t="shared" si="67"/>
        <v>283382.71999999997</v>
      </c>
      <c r="AA396" s="53">
        <v>141691.35999999999</v>
      </c>
      <c r="AO396" s="53">
        <f t="shared" si="69"/>
        <v>0</v>
      </c>
      <c r="AP396" s="53">
        <f t="shared" si="69"/>
        <v>0</v>
      </c>
      <c r="AQ396" s="53">
        <f t="shared" si="69"/>
        <v>93755950.88000001</v>
      </c>
      <c r="AR396" s="53">
        <f t="shared" si="68"/>
        <v>0</v>
      </c>
      <c r="AS396" s="53">
        <f t="shared" si="68"/>
        <v>4651915.1056000004</v>
      </c>
      <c r="AT396" s="53">
        <f t="shared" si="68"/>
        <v>4502231.4832000006</v>
      </c>
      <c r="AU396" s="53">
        <f t="shared" si="68"/>
        <v>0</v>
      </c>
      <c r="AV396" s="53">
        <f t="shared" si="68"/>
        <v>0</v>
      </c>
      <c r="AW396" s="53">
        <f t="shared" si="68"/>
        <v>0</v>
      </c>
      <c r="AX396" s="53">
        <f t="shared" si="65"/>
        <v>0</v>
      </c>
      <c r="AY396" s="41" t="s">
        <v>557</v>
      </c>
    </row>
    <row r="397" spans="1:51" x14ac:dyDescent="0.2">
      <c r="A397" s="41" t="s">
        <v>583</v>
      </c>
      <c r="B397" s="41">
        <v>1922</v>
      </c>
      <c r="C397" s="41" t="s">
        <v>91</v>
      </c>
      <c r="D397" s="41" t="s">
        <v>88</v>
      </c>
      <c r="E397" s="41">
        <v>0</v>
      </c>
      <c r="F397" s="41" t="s">
        <v>584</v>
      </c>
      <c r="G397" s="53">
        <v>650305.02399999998</v>
      </c>
      <c r="J397" s="53">
        <v>249.91793180846599</v>
      </c>
      <c r="L397" s="46">
        <v>14.201836614154772</v>
      </c>
      <c r="M397" s="46">
        <v>13.019854308402424</v>
      </c>
      <c r="S397" s="53">
        <v>467.36</v>
      </c>
      <c r="T397" s="45">
        <v>51.346100000000007</v>
      </c>
      <c r="U397" s="53">
        <v>347462.04430000001</v>
      </c>
      <c r="X397" s="76">
        <f t="shared" si="66"/>
        <v>283955.74400000001</v>
      </c>
      <c r="Y397" s="53">
        <v>141977.872</v>
      </c>
      <c r="Z397" s="76">
        <f t="shared" si="67"/>
        <v>397323.05599999998</v>
      </c>
      <c r="AA397" s="53">
        <v>198661.52799999999</v>
      </c>
      <c r="AO397" s="53">
        <f t="shared" si="69"/>
        <v>0</v>
      </c>
      <c r="AP397" s="53">
        <f t="shared" si="69"/>
        <v>0</v>
      </c>
      <c r="AQ397" s="53">
        <f t="shared" si="69"/>
        <v>162522886.64273483</v>
      </c>
      <c r="AR397" s="53">
        <f t="shared" si="68"/>
        <v>0</v>
      </c>
      <c r="AS397" s="53">
        <f t="shared" si="68"/>
        <v>9235525.7002119981</v>
      </c>
      <c r="AT397" s="53">
        <f t="shared" si="68"/>
        <v>8466876.6685021408</v>
      </c>
      <c r="AU397" s="53">
        <f t="shared" si="68"/>
        <v>0</v>
      </c>
      <c r="AV397" s="53">
        <f t="shared" si="68"/>
        <v>0</v>
      </c>
      <c r="AW397" s="53">
        <f t="shared" si="68"/>
        <v>0</v>
      </c>
      <c r="AX397" s="53">
        <f t="shared" si="65"/>
        <v>0</v>
      </c>
      <c r="AY397" s="41" t="s">
        <v>557</v>
      </c>
    </row>
    <row r="398" spans="1:51" x14ac:dyDescent="0.2">
      <c r="A398" s="41" t="s">
        <v>583</v>
      </c>
      <c r="B398" s="41">
        <v>1923</v>
      </c>
      <c r="C398" s="41" t="s">
        <v>91</v>
      </c>
      <c r="D398" s="41" t="s">
        <v>88</v>
      </c>
      <c r="E398" s="41">
        <v>0</v>
      </c>
      <c r="F398" s="41" t="s">
        <v>584</v>
      </c>
      <c r="G398" s="53">
        <v>892593.59200000006</v>
      </c>
      <c r="J398" s="53">
        <v>207.99272796162398</v>
      </c>
      <c r="L398" s="46">
        <v>14.550458186346203</v>
      </c>
      <c r="M398" s="46">
        <v>11.561617220708705</v>
      </c>
      <c r="S398" s="53">
        <v>1016</v>
      </c>
      <c r="T398" s="45">
        <v>124.89760000000001</v>
      </c>
      <c r="U398" s="53">
        <v>283831.25770000002</v>
      </c>
      <c r="X398" s="76">
        <f t="shared" si="66"/>
        <v>306407.31199999998</v>
      </c>
      <c r="Y398" s="53">
        <v>153203.65599999999</v>
      </c>
      <c r="Z398" s="76">
        <f t="shared" si="67"/>
        <v>291010.848</v>
      </c>
      <c r="AA398" s="53">
        <v>145505.424</v>
      </c>
      <c r="AO398" s="53">
        <f t="shared" si="69"/>
        <v>0</v>
      </c>
      <c r="AP398" s="53">
        <f t="shared" si="69"/>
        <v>0</v>
      </c>
      <c r="AQ398" s="53">
        <f t="shared" si="69"/>
        <v>185652976.16114479</v>
      </c>
      <c r="AR398" s="53">
        <f t="shared" si="68"/>
        <v>0</v>
      </c>
      <c r="AS398" s="53">
        <f t="shared" si="68"/>
        <v>12987645.737796564</v>
      </c>
      <c r="AT398" s="53">
        <f t="shared" si="68"/>
        <v>10319825.444361441</v>
      </c>
      <c r="AU398" s="53">
        <f t="shared" si="68"/>
        <v>0</v>
      </c>
      <c r="AV398" s="53">
        <f t="shared" si="68"/>
        <v>0</v>
      </c>
      <c r="AW398" s="53">
        <f t="shared" si="68"/>
        <v>0</v>
      </c>
      <c r="AX398" s="53">
        <f t="shared" si="65"/>
        <v>0</v>
      </c>
      <c r="AY398" s="41" t="s">
        <v>557</v>
      </c>
    </row>
    <row r="399" spans="1:51" x14ac:dyDescent="0.2">
      <c r="A399" s="41" t="s">
        <v>583</v>
      </c>
      <c r="B399" s="41">
        <v>1924</v>
      </c>
      <c r="C399" s="41" t="s">
        <v>91</v>
      </c>
      <c r="D399" s="41" t="s">
        <v>88</v>
      </c>
      <c r="E399" s="41">
        <v>0</v>
      </c>
      <c r="F399" s="41" t="s">
        <v>584</v>
      </c>
      <c r="G399" s="53">
        <v>1067484.784</v>
      </c>
      <c r="J399" s="53">
        <v>206.73141049226041</v>
      </c>
      <c r="L399" s="46">
        <v>13.779627701857743</v>
      </c>
      <c r="M399" s="46">
        <v>10.816241174836522</v>
      </c>
      <c r="S399" s="53">
        <v>535.43200000000002</v>
      </c>
      <c r="T399" s="45">
        <v>98.244900000000015</v>
      </c>
      <c r="U399" s="53">
        <v>209084.24260000003</v>
      </c>
      <c r="X399" s="76">
        <f t="shared" si="66"/>
        <v>281078.43200000003</v>
      </c>
      <c r="Y399" s="53">
        <v>140539.21600000001</v>
      </c>
      <c r="Z399" s="76">
        <f t="shared" si="67"/>
        <v>219901.008</v>
      </c>
      <c r="AA399" s="53">
        <v>109950.504</v>
      </c>
      <c r="AO399" s="53">
        <f t="shared" si="69"/>
        <v>0</v>
      </c>
      <c r="AP399" s="53">
        <f t="shared" si="69"/>
        <v>0</v>
      </c>
      <c r="AQ399" s="53">
        <f t="shared" si="69"/>
        <v>220682635.07534593</v>
      </c>
      <c r="AR399" s="53">
        <f t="shared" si="68"/>
        <v>0</v>
      </c>
      <c r="AS399" s="53">
        <f t="shared" si="68"/>
        <v>14709542.900918029</v>
      </c>
      <c r="AT399" s="53">
        <f t="shared" si="68"/>
        <v>11546172.874212271</v>
      </c>
      <c r="AU399" s="53">
        <f t="shared" si="68"/>
        <v>0</v>
      </c>
      <c r="AV399" s="53">
        <f t="shared" si="68"/>
        <v>0</v>
      </c>
      <c r="AW399" s="53">
        <f t="shared" si="68"/>
        <v>0</v>
      </c>
      <c r="AX399" s="53">
        <f t="shared" si="65"/>
        <v>0</v>
      </c>
      <c r="AY399" s="41" t="s">
        <v>557</v>
      </c>
    </row>
    <row r="400" spans="1:51" x14ac:dyDescent="0.2">
      <c r="A400" s="41" t="s">
        <v>583</v>
      </c>
      <c r="B400" s="41">
        <v>1925</v>
      </c>
      <c r="C400" s="41" t="s">
        <v>91</v>
      </c>
      <c r="D400" s="41" t="s">
        <v>88</v>
      </c>
      <c r="E400" s="41">
        <v>0</v>
      </c>
      <c r="F400" s="41" t="s">
        <v>584</v>
      </c>
      <c r="G400" s="53">
        <v>1315039.28</v>
      </c>
      <c r="J400" s="53">
        <v>225.04121376004323</v>
      </c>
      <c r="L400" s="46">
        <v>14.119040790730853</v>
      </c>
      <c r="M400" s="46">
        <v>11.030225962467069</v>
      </c>
      <c r="S400" s="53">
        <v>318.00799999999998</v>
      </c>
      <c r="T400" s="45">
        <v>63.257400000000004</v>
      </c>
      <c r="U400" s="53">
        <v>261691.78970000002</v>
      </c>
      <c r="X400" s="76">
        <f t="shared" si="66"/>
        <v>349426.78399999999</v>
      </c>
      <c r="Y400" s="53">
        <v>174713.39199999999</v>
      </c>
      <c r="Z400" s="76">
        <f t="shared" si="67"/>
        <v>282007.05599999998</v>
      </c>
      <c r="AA400" s="53">
        <v>141003.52799999999</v>
      </c>
      <c r="AO400" s="53">
        <f t="shared" si="69"/>
        <v>0</v>
      </c>
      <c r="AP400" s="53">
        <f t="shared" si="69"/>
        <v>0</v>
      </c>
      <c r="AQ400" s="53">
        <f t="shared" si="69"/>
        <v>295938035.71333337</v>
      </c>
      <c r="AR400" s="53">
        <f t="shared" si="68"/>
        <v>0</v>
      </c>
      <c r="AS400" s="53">
        <f t="shared" si="68"/>
        <v>18567093.235733334</v>
      </c>
      <c r="AT400" s="53">
        <f t="shared" si="68"/>
        <v>14505180.407920003</v>
      </c>
      <c r="AU400" s="53">
        <f t="shared" si="68"/>
        <v>0</v>
      </c>
      <c r="AV400" s="53">
        <f t="shared" si="68"/>
        <v>0</v>
      </c>
      <c r="AW400" s="53">
        <f t="shared" si="68"/>
        <v>0</v>
      </c>
      <c r="AX400" s="53">
        <f t="shared" si="65"/>
        <v>0</v>
      </c>
      <c r="AY400" s="41" t="s">
        <v>557</v>
      </c>
    </row>
    <row r="401" spans="1:51" x14ac:dyDescent="0.2">
      <c r="A401" s="41" t="s">
        <v>583</v>
      </c>
      <c r="B401" s="41">
        <v>1926</v>
      </c>
      <c r="C401" s="41" t="s">
        <v>91</v>
      </c>
      <c r="D401" s="41" t="s">
        <v>88</v>
      </c>
      <c r="E401" s="41">
        <v>0</v>
      </c>
      <c r="F401" s="41" t="s">
        <v>584</v>
      </c>
      <c r="G401" s="53">
        <v>1317498</v>
      </c>
      <c r="J401" s="53">
        <v>221.38916156591932</v>
      </c>
      <c r="L401" s="46">
        <v>13.796618676552747</v>
      </c>
      <c r="M401" s="46">
        <v>11.104097243222036</v>
      </c>
      <c r="S401" s="53">
        <v>727.45600000000002</v>
      </c>
      <c r="T401" s="45">
        <v>104.496</v>
      </c>
      <c r="U401" s="53">
        <v>257879.08520000003</v>
      </c>
      <c r="X401" s="76">
        <f t="shared" si="66"/>
        <v>343093.04</v>
      </c>
      <c r="Y401" s="53">
        <v>171546.52</v>
      </c>
      <c r="Z401" s="76">
        <f t="shared" si="67"/>
        <v>291543.23200000002</v>
      </c>
      <c r="AA401" s="53">
        <v>145771.61600000001</v>
      </c>
      <c r="AO401" s="53">
        <f t="shared" si="69"/>
        <v>0</v>
      </c>
      <c r="AP401" s="53">
        <f t="shared" si="69"/>
        <v>0</v>
      </c>
      <c r="AQ401" s="53">
        <f t="shared" si="69"/>
        <v>291679777.58477557</v>
      </c>
      <c r="AR401" s="53">
        <f t="shared" si="68"/>
        <v>0</v>
      </c>
      <c r="AS401" s="53">
        <f t="shared" si="68"/>
        <v>18177017.51312089</v>
      </c>
      <c r="AT401" s="53">
        <f t="shared" si="68"/>
        <v>14629625.909750545</v>
      </c>
      <c r="AU401" s="53">
        <f t="shared" si="68"/>
        <v>0</v>
      </c>
      <c r="AV401" s="53">
        <f t="shared" si="68"/>
        <v>0</v>
      </c>
      <c r="AW401" s="53">
        <f t="shared" si="68"/>
        <v>0</v>
      </c>
      <c r="AX401" s="53">
        <f t="shared" si="65"/>
        <v>0</v>
      </c>
      <c r="AY401" s="41" t="s">
        <v>557</v>
      </c>
    </row>
    <row r="402" spans="1:51" x14ac:dyDescent="0.2">
      <c r="A402" s="41" t="s">
        <v>583</v>
      </c>
      <c r="B402" s="41">
        <v>1927</v>
      </c>
      <c r="C402" s="41" t="s">
        <v>91</v>
      </c>
      <c r="D402" s="41" t="s">
        <v>88</v>
      </c>
      <c r="E402" s="41">
        <v>0</v>
      </c>
      <c r="F402" s="41" t="s">
        <v>584</v>
      </c>
      <c r="G402" s="53">
        <v>1417244.8160000001</v>
      </c>
      <c r="J402" s="53">
        <v>213.6133073372051</v>
      </c>
      <c r="L402" s="46">
        <v>13.489450629637387</v>
      </c>
      <c r="M402" s="46">
        <v>10.650020691698034</v>
      </c>
      <c r="S402" s="53">
        <v>1099.3120000000001</v>
      </c>
      <c r="T402" s="45">
        <v>99.862100000000012</v>
      </c>
      <c r="U402" s="53">
        <v>301560.99449999997</v>
      </c>
      <c r="X402" s="76">
        <f t="shared" si="66"/>
        <v>382635.76</v>
      </c>
      <c r="Y402" s="53">
        <v>191317.88</v>
      </c>
      <c r="Z402" s="76">
        <f t="shared" si="67"/>
        <v>332193.39199999999</v>
      </c>
      <c r="AA402" s="53">
        <v>166096.696</v>
      </c>
      <c r="AO402" s="53">
        <f t="shared" si="69"/>
        <v>0</v>
      </c>
      <c r="AP402" s="53">
        <f t="shared" si="69"/>
        <v>0</v>
      </c>
      <c r="AQ402" s="53">
        <f t="shared" si="69"/>
        <v>302742352.45226872</v>
      </c>
      <c r="AR402" s="53">
        <f t="shared" si="68"/>
        <v>0</v>
      </c>
      <c r="AS402" s="53">
        <f t="shared" si="68"/>
        <v>19117853.975541525</v>
      </c>
      <c r="AT402" s="53">
        <f t="shared" si="68"/>
        <v>15093686.615601774</v>
      </c>
      <c r="AU402" s="53">
        <f t="shared" si="68"/>
        <v>0</v>
      </c>
      <c r="AV402" s="53">
        <f t="shared" si="68"/>
        <v>0</v>
      </c>
      <c r="AW402" s="53">
        <f t="shared" si="68"/>
        <v>0</v>
      </c>
      <c r="AX402" s="53">
        <f t="shared" si="65"/>
        <v>0</v>
      </c>
      <c r="AY402" s="41" t="s">
        <v>557</v>
      </c>
    </row>
    <row r="403" spans="1:51" x14ac:dyDescent="0.2">
      <c r="A403" s="41" t="s">
        <v>583</v>
      </c>
      <c r="B403" s="41">
        <v>1928</v>
      </c>
      <c r="C403" s="41" t="s">
        <v>91</v>
      </c>
      <c r="D403" s="41" t="s">
        <v>88</v>
      </c>
      <c r="E403" s="41">
        <v>0</v>
      </c>
      <c r="F403" s="41" t="s">
        <v>584</v>
      </c>
      <c r="G403" s="53">
        <v>1196658.0079999999</v>
      </c>
      <c r="J403" s="53">
        <v>205.1594054263831</v>
      </c>
      <c r="L403" s="46">
        <v>14.319123154524531</v>
      </c>
      <c r="M403" s="46">
        <v>11.175523958387283</v>
      </c>
      <c r="S403" s="53">
        <v>1224.28</v>
      </c>
      <c r="T403" s="45">
        <v>127.01240000000001</v>
      </c>
      <c r="U403" s="53">
        <v>253255.29270000002</v>
      </c>
      <c r="X403" s="76">
        <f t="shared" si="66"/>
        <v>345348.56</v>
      </c>
      <c r="Y403" s="53">
        <v>172674.28</v>
      </c>
      <c r="Z403" s="76">
        <f t="shared" si="67"/>
        <v>283846.016</v>
      </c>
      <c r="AA403" s="53">
        <v>141923.008</v>
      </c>
      <c r="AO403" s="53">
        <f t="shared" si="69"/>
        <v>0</v>
      </c>
      <c r="AP403" s="53">
        <f t="shared" si="69"/>
        <v>0</v>
      </c>
      <c r="AQ403" s="53">
        <f t="shared" si="69"/>
        <v>245505645.41999999</v>
      </c>
      <c r="AR403" s="53">
        <f t="shared" si="68"/>
        <v>0</v>
      </c>
      <c r="AS403" s="53">
        <f t="shared" si="68"/>
        <v>17135093.3904</v>
      </c>
      <c r="AT403" s="53">
        <f t="shared" si="68"/>
        <v>13373280.238399999</v>
      </c>
      <c r="AU403" s="53">
        <f t="shared" si="68"/>
        <v>0</v>
      </c>
      <c r="AV403" s="53">
        <f t="shared" si="68"/>
        <v>0</v>
      </c>
      <c r="AW403" s="53">
        <f t="shared" si="68"/>
        <v>0</v>
      </c>
      <c r="AX403" s="53">
        <f t="shared" si="65"/>
        <v>0</v>
      </c>
      <c r="AY403" s="41" t="s">
        <v>557</v>
      </c>
    </row>
    <row r="404" spans="1:51" x14ac:dyDescent="0.2">
      <c r="A404" s="41" t="s">
        <v>583</v>
      </c>
      <c r="B404" s="41">
        <v>1929</v>
      </c>
      <c r="C404" s="41" t="s">
        <v>91</v>
      </c>
      <c r="D404" s="41" t="s">
        <v>88</v>
      </c>
      <c r="E404" s="41">
        <v>0</v>
      </c>
      <c r="F404" s="41" t="s">
        <v>584</v>
      </c>
      <c r="G404" s="53">
        <v>1248856.024</v>
      </c>
      <c r="J404" s="53">
        <v>205.93915575628222</v>
      </c>
      <c r="L404" s="46">
        <v>14.419651335120456</v>
      </c>
      <c r="M404" s="46">
        <v>11.137950315864837</v>
      </c>
      <c r="S404" s="53">
        <v>1158.24</v>
      </c>
      <c r="T404" s="45">
        <v>111.96</v>
      </c>
      <c r="U404" s="53">
        <v>268038.6777</v>
      </c>
      <c r="X404" s="76">
        <f t="shared" si="66"/>
        <v>375696.48</v>
      </c>
      <c r="Y404" s="53">
        <v>187848.24</v>
      </c>
      <c r="Z404" s="76">
        <f t="shared" si="67"/>
        <v>296767.50400000002</v>
      </c>
      <c r="AA404" s="53">
        <v>148383.75200000001</v>
      </c>
      <c r="AO404" s="53">
        <f t="shared" si="69"/>
        <v>0</v>
      </c>
      <c r="AP404" s="53">
        <f t="shared" si="69"/>
        <v>0</v>
      </c>
      <c r="AQ404" s="53">
        <f t="shared" si="69"/>
        <v>257188355.24370733</v>
      </c>
      <c r="AR404" s="53">
        <f t="shared" si="68"/>
        <v>0</v>
      </c>
      <c r="AS404" s="53">
        <f t="shared" si="68"/>
        <v>18008068.433844823</v>
      </c>
      <c r="AT404" s="53">
        <f t="shared" si="68"/>
        <v>13909696.346980503</v>
      </c>
      <c r="AU404" s="53">
        <f t="shared" si="68"/>
        <v>0</v>
      </c>
      <c r="AV404" s="53">
        <f t="shared" si="68"/>
        <v>0</v>
      </c>
      <c r="AW404" s="53">
        <f t="shared" si="68"/>
        <v>0</v>
      </c>
      <c r="AX404" s="53">
        <f t="shared" si="65"/>
        <v>0</v>
      </c>
      <c r="AY404" s="41" t="s">
        <v>557</v>
      </c>
    </row>
    <row r="405" spans="1:51" x14ac:dyDescent="0.2">
      <c r="A405" s="41" t="s">
        <v>583</v>
      </c>
      <c r="B405" s="41">
        <v>1930</v>
      </c>
      <c r="C405" s="41" t="s">
        <v>91</v>
      </c>
      <c r="D405" s="41" t="s">
        <v>88</v>
      </c>
      <c r="E405" s="41">
        <v>0</v>
      </c>
      <c r="F405" s="41" t="s">
        <v>584</v>
      </c>
      <c r="G405" s="53">
        <v>1330507.8799999999</v>
      </c>
      <c r="J405" s="53">
        <v>216.17260050801053</v>
      </c>
      <c r="L405" s="46">
        <v>14.911147542485809</v>
      </c>
      <c r="M405" s="46">
        <v>11.925485785298164</v>
      </c>
      <c r="S405" s="53">
        <v>1249.68</v>
      </c>
      <c r="T405" s="45">
        <v>112.58199999999999</v>
      </c>
      <c r="U405" s="53">
        <v>271126.16130000004</v>
      </c>
      <c r="X405" s="76">
        <f t="shared" si="66"/>
        <v>385108.70400000003</v>
      </c>
      <c r="Y405" s="53">
        <v>192554.35200000001</v>
      </c>
      <c r="Z405" s="76">
        <f t="shared" si="67"/>
        <v>243053.61600000001</v>
      </c>
      <c r="AA405" s="53">
        <v>121526.808</v>
      </c>
      <c r="AO405" s="53">
        <f t="shared" si="69"/>
        <v>0</v>
      </c>
      <c r="AP405" s="53">
        <f t="shared" si="69"/>
        <v>0</v>
      </c>
      <c r="AQ405" s="53">
        <f t="shared" si="69"/>
        <v>287619348.41600001</v>
      </c>
      <c r="AR405" s="53">
        <f t="shared" si="68"/>
        <v>0</v>
      </c>
      <c r="AS405" s="53">
        <f t="shared" si="68"/>
        <v>19839399.305120002</v>
      </c>
      <c r="AT405" s="53">
        <f t="shared" si="68"/>
        <v>15866952.810167195</v>
      </c>
      <c r="AU405" s="53">
        <f t="shared" si="68"/>
        <v>0</v>
      </c>
      <c r="AV405" s="53">
        <f t="shared" si="68"/>
        <v>0</v>
      </c>
      <c r="AW405" s="53">
        <f t="shared" si="68"/>
        <v>0</v>
      </c>
      <c r="AX405" s="53">
        <f t="shared" si="65"/>
        <v>0</v>
      </c>
      <c r="AY405" s="41" t="s">
        <v>557</v>
      </c>
    </row>
    <row r="406" spans="1:51" x14ac:dyDescent="0.2">
      <c r="A406" s="41" t="s">
        <v>583</v>
      </c>
      <c r="B406" s="41">
        <v>1931</v>
      </c>
      <c r="C406" s="41" t="s">
        <v>91</v>
      </c>
      <c r="D406" s="41" t="s">
        <v>88</v>
      </c>
      <c r="E406" s="41">
        <v>0</v>
      </c>
      <c r="F406" s="41" t="s">
        <v>584</v>
      </c>
      <c r="G406" s="53">
        <v>888073.40800000005</v>
      </c>
      <c r="J406" s="53">
        <v>209.78106461548319</v>
      </c>
      <c r="L406" s="46">
        <v>15.307578944955443</v>
      </c>
      <c r="M406" s="46">
        <v>11.830829112582022</v>
      </c>
      <c r="S406" s="53">
        <v>640.08000000000004</v>
      </c>
      <c r="T406" s="45">
        <v>86.115900000000011</v>
      </c>
      <c r="U406" s="53">
        <v>174469.78709999999</v>
      </c>
      <c r="X406" s="76">
        <f t="shared" si="66"/>
        <v>262251.95199999999</v>
      </c>
      <c r="Y406" s="53">
        <v>131125.976</v>
      </c>
      <c r="Z406" s="76">
        <f t="shared" si="67"/>
        <v>150798.78400000001</v>
      </c>
      <c r="AA406" s="53">
        <v>75399.392000000007</v>
      </c>
      <c r="AO406" s="53">
        <f t="shared" si="69"/>
        <v>0</v>
      </c>
      <c r="AP406" s="53">
        <f t="shared" si="69"/>
        <v>0</v>
      </c>
      <c r="AQ406" s="53">
        <f t="shared" si="69"/>
        <v>186300984.98694038</v>
      </c>
      <c r="AR406" s="53">
        <f t="shared" si="68"/>
        <v>0</v>
      </c>
      <c r="AS406" s="53">
        <f t="shared" si="68"/>
        <v>13594253.801875625</v>
      </c>
      <c r="AT406" s="53">
        <f t="shared" si="68"/>
        <v>10506644.729476333</v>
      </c>
      <c r="AU406" s="53">
        <f t="shared" si="68"/>
        <v>0</v>
      </c>
      <c r="AV406" s="53">
        <f t="shared" si="68"/>
        <v>0</v>
      </c>
      <c r="AW406" s="53">
        <f t="shared" si="68"/>
        <v>0</v>
      </c>
      <c r="AX406" s="53">
        <f t="shared" si="65"/>
        <v>0</v>
      </c>
      <c r="AY406" s="41" t="s">
        <v>557</v>
      </c>
    </row>
    <row r="407" spans="1:51" x14ac:dyDescent="0.2">
      <c r="A407" s="41" t="s">
        <v>583</v>
      </c>
      <c r="B407" s="41">
        <v>1932</v>
      </c>
      <c r="C407" s="41" t="s">
        <v>91</v>
      </c>
      <c r="D407" s="41" t="s">
        <v>88</v>
      </c>
      <c r="E407" s="41">
        <v>0</v>
      </c>
      <c r="F407" s="41" t="s">
        <v>584</v>
      </c>
      <c r="G407" s="53">
        <v>1115983.544</v>
      </c>
      <c r="J407" s="53">
        <v>207.33106229387201</v>
      </c>
      <c r="L407" s="46">
        <v>14.940816034828558</v>
      </c>
      <c r="M407" s="46">
        <v>11.510779955371815</v>
      </c>
      <c r="S407" s="53">
        <v>744.72800000000007</v>
      </c>
      <c r="T407" s="45">
        <v>90.252200000000002</v>
      </c>
      <c r="U407" s="53">
        <v>218137.32820000002</v>
      </c>
      <c r="X407" s="76">
        <f t="shared" si="66"/>
        <v>322598.288</v>
      </c>
      <c r="Y407" s="53">
        <v>161299.144</v>
      </c>
      <c r="Z407" s="76">
        <f t="shared" si="67"/>
        <v>235045.50400000002</v>
      </c>
      <c r="AA407" s="53">
        <v>117522.75200000001</v>
      </c>
      <c r="AO407" s="53">
        <f t="shared" si="69"/>
        <v>0</v>
      </c>
      <c r="AP407" s="53">
        <f t="shared" si="69"/>
        <v>0</v>
      </c>
      <c r="AQ407" s="53">
        <f t="shared" si="69"/>
        <v>231378053.68000007</v>
      </c>
      <c r="AR407" s="53">
        <f t="shared" si="68"/>
        <v>0</v>
      </c>
      <c r="AS407" s="53">
        <f t="shared" si="68"/>
        <v>16673704.8288</v>
      </c>
      <c r="AT407" s="53">
        <f t="shared" si="68"/>
        <v>12845841.0088</v>
      </c>
      <c r="AU407" s="53">
        <f t="shared" si="68"/>
        <v>0</v>
      </c>
      <c r="AV407" s="53">
        <f t="shared" si="68"/>
        <v>0</v>
      </c>
      <c r="AW407" s="53">
        <f t="shared" si="68"/>
        <v>0</v>
      </c>
      <c r="AX407" s="53">
        <f t="shared" si="65"/>
        <v>0</v>
      </c>
      <c r="AY407" s="41" t="s">
        <v>557</v>
      </c>
    </row>
    <row r="408" spans="1:51" x14ac:dyDescent="0.2">
      <c r="A408" s="41" t="s">
        <v>583</v>
      </c>
      <c r="B408" s="41">
        <v>1933</v>
      </c>
      <c r="C408" s="41" t="s">
        <v>91</v>
      </c>
      <c r="D408" s="41" t="s">
        <v>88</v>
      </c>
      <c r="E408" s="41">
        <v>0</v>
      </c>
      <c r="F408" s="41" t="s">
        <v>584</v>
      </c>
      <c r="G408" s="53">
        <v>1219784.2</v>
      </c>
      <c r="J408" s="53">
        <v>211.08471892815137</v>
      </c>
      <c r="L408" s="46">
        <v>14.936393728005333</v>
      </c>
      <c r="M408" s="46">
        <v>11.249666867959103</v>
      </c>
      <c r="S408" s="53">
        <v>1138.9359999999999</v>
      </c>
      <c r="T408" s="45">
        <v>144.9571</v>
      </c>
      <c r="U408" s="53">
        <v>242149.14060000001</v>
      </c>
      <c r="X408" s="76">
        <f t="shared" si="66"/>
        <v>351588.83199999999</v>
      </c>
      <c r="Y408" s="53">
        <v>175794.416</v>
      </c>
      <c r="Z408" s="76">
        <f t="shared" si="67"/>
        <v>251364.49600000001</v>
      </c>
      <c r="AA408" s="53">
        <v>125682.24800000001</v>
      </c>
      <c r="AO408" s="53">
        <f t="shared" si="69"/>
        <v>0</v>
      </c>
      <c r="AP408" s="53">
        <f t="shared" si="69"/>
        <v>0</v>
      </c>
      <c r="AQ408" s="53">
        <f t="shared" si="69"/>
        <v>257477805.00999996</v>
      </c>
      <c r="AR408" s="53">
        <f t="shared" si="68"/>
        <v>0</v>
      </c>
      <c r="AS408" s="53">
        <f t="shared" si="68"/>
        <v>18219177.074400004</v>
      </c>
      <c r="AT408" s="53">
        <f t="shared" si="68"/>
        <v>13722165.900799999</v>
      </c>
      <c r="AU408" s="53">
        <f t="shared" si="68"/>
        <v>0</v>
      </c>
      <c r="AV408" s="53">
        <f t="shared" si="68"/>
        <v>0</v>
      </c>
      <c r="AW408" s="53">
        <f t="shared" si="68"/>
        <v>0</v>
      </c>
      <c r="AX408" s="53">
        <f t="shared" si="65"/>
        <v>0</v>
      </c>
      <c r="AY408" s="41" t="s">
        <v>557</v>
      </c>
    </row>
    <row r="409" spans="1:51" x14ac:dyDescent="0.2">
      <c r="A409" s="41" t="s">
        <v>583</v>
      </c>
      <c r="B409" s="41">
        <v>1934</v>
      </c>
      <c r="C409" s="41" t="s">
        <v>91</v>
      </c>
      <c r="D409" s="41" t="s">
        <v>88</v>
      </c>
      <c r="E409" s="41">
        <v>0</v>
      </c>
      <c r="F409" s="41" t="s">
        <v>584</v>
      </c>
      <c r="G409" s="53">
        <v>1273673.8559999999</v>
      </c>
      <c r="J409" s="53">
        <v>219.11263870678053</v>
      </c>
      <c r="L409" s="46">
        <v>15.244264033005322</v>
      </c>
      <c r="M409" s="46">
        <v>11.80650318757897</v>
      </c>
      <c r="S409" s="53">
        <v>1181.6079999999999</v>
      </c>
      <c r="T409" s="45">
        <v>126.51480000000001</v>
      </c>
      <c r="U409" s="53">
        <v>261714.39939999999</v>
      </c>
      <c r="X409" s="76">
        <f t="shared" si="66"/>
        <v>374300.49599999998</v>
      </c>
      <c r="Y409" s="53">
        <v>187150.24799999999</v>
      </c>
      <c r="Z409" s="76">
        <f t="shared" si="67"/>
        <v>278099.52</v>
      </c>
      <c r="AA409" s="53">
        <v>139049.76</v>
      </c>
      <c r="AO409" s="53">
        <f t="shared" si="69"/>
        <v>0</v>
      </c>
      <c r="AP409" s="53">
        <f t="shared" si="69"/>
        <v>0</v>
      </c>
      <c r="AQ409" s="53">
        <f t="shared" si="69"/>
        <v>279078039.44</v>
      </c>
      <c r="AR409" s="53">
        <f t="shared" si="68"/>
        <v>0</v>
      </c>
      <c r="AS409" s="53">
        <f t="shared" si="68"/>
        <v>19416220.5528</v>
      </c>
      <c r="AT409" s="53">
        <f t="shared" si="68"/>
        <v>15037634.440799998</v>
      </c>
      <c r="AU409" s="53">
        <f t="shared" si="68"/>
        <v>0</v>
      </c>
      <c r="AV409" s="53">
        <f t="shared" si="68"/>
        <v>0</v>
      </c>
      <c r="AW409" s="53">
        <f t="shared" si="68"/>
        <v>0</v>
      </c>
      <c r="AX409" s="53">
        <f t="shared" si="65"/>
        <v>0</v>
      </c>
      <c r="AY409" s="41" t="s">
        <v>557</v>
      </c>
    </row>
    <row r="410" spans="1:51" x14ac:dyDescent="0.2">
      <c r="A410" s="41" t="s">
        <v>583</v>
      </c>
      <c r="B410" s="41">
        <v>1935</v>
      </c>
      <c r="C410" s="41" t="s">
        <v>91</v>
      </c>
      <c r="D410" s="41" t="s">
        <v>88</v>
      </c>
      <c r="E410" s="41">
        <v>0</v>
      </c>
      <c r="F410" s="41" t="s">
        <v>584</v>
      </c>
      <c r="G410" s="53">
        <v>1328527.696</v>
      </c>
      <c r="J410" s="53">
        <v>210.58237517199004</v>
      </c>
      <c r="L410" s="46">
        <v>14.802982129740338</v>
      </c>
      <c r="M410" s="46">
        <v>11.585163341572347</v>
      </c>
      <c r="S410" s="53">
        <v>1093.2160000000001</v>
      </c>
      <c r="T410" s="45">
        <v>133.82330000000002</v>
      </c>
      <c r="U410" s="53">
        <v>263517.07980000001</v>
      </c>
      <c r="X410" s="76">
        <f t="shared" si="66"/>
        <v>379071.63199999998</v>
      </c>
      <c r="Y410" s="53">
        <v>189535.81599999999</v>
      </c>
      <c r="Z410" s="76">
        <f t="shared" si="67"/>
        <v>287918.14400000003</v>
      </c>
      <c r="AA410" s="53">
        <v>143959.07200000001</v>
      </c>
      <c r="AO410" s="53">
        <f t="shared" si="69"/>
        <v>0</v>
      </c>
      <c r="AP410" s="53">
        <f t="shared" si="69"/>
        <v>0</v>
      </c>
      <c r="AQ410" s="53">
        <f t="shared" si="69"/>
        <v>279764517.70545155</v>
      </c>
      <c r="AR410" s="53">
        <f t="shared" si="68"/>
        <v>0</v>
      </c>
      <c r="AS410" s="53">
        <f t="shared" si="68"/>
        <v>19666171.742753103</v>
      </c>
      <c r="AT410" s="53">
        <f t="shared" si="68"/>
        <v>15391210.361962771</v>
      </c>
      <c r="AU410" s="53">
        <f t="shared" si="68"/>
        <v>0</v>
      </c>
      <c r="AV410" s="53">
        <f t="shared" si="68"/>
        <v>0</v>
      </c>
      <c r="AW410" s="53">
        <f t="shared" si="68"/>
        <v>0</v>
      </c>
      <c r="AX410" s="53">
        <f t="shared" si="65"/>
        <v>0</v>
      </c>
      <c r="AY410" s="41" t="s">
        <v>557</v>
      </c>
    </row>
    <row r="411" spans="1:51" x14ac:dyDescent="0.2">
      <c r="A411" s="41" t="s">
        <v>583</v>
      </c>
      <c r="B411" s="41">
        <v>1936</v>
      </c>
      <c r="C411" s="41" t="s">
        <v>91</v>
      </c>
      <c r="D411" s="41" t="s">
        <v>88</v>
      </c>
      <c r="E411" s="41">
        <v>0</v>
      </c>
      <c r="F411" s="41" t="s">
        <v>584</v>
      </c>
      <c r="G411" s="53">
        <v>1377285.5360000001</v>
      </c>
      <c r="J411" s="53">
        <v>217.20294280187858</v>
      </c>
      <c r="L411" s="46">
        <v>14.480142043687525</v>
      </c>
      <c r="M411" s="46">
        <v>11.540970899666789</v>
      </c>
      <c r="S411" s="53">
        <v>2084.8319999999999</v>
      </c>
      <c r="T411" s="45">
        <v>157.49039999999999</v>
      </c>
      <c r="U411" s="53">
        <v>264145.11320000002</v>
      </c>
      <c r="X411" s="76">
        <f t="shared" si="66"/>
        <v>377895.10399999999</v>
      </c>
      <c r="Y411" s="53">
        <v>188947.552</v>
      </c>
      <c r="Z411" s="76">
        <f t="shared" si="67"/>
        <v>286853.37599999999</v>
      </c>
      <c r="AA411" s="53">
        <v>143426.68799999999</v>
      </c>
      <c r="AO411" s="53">
        <f t="shared" si="69"/>
        <v>0</v>
      </c>
      <c r="AP411" s="53">
        <f t="shared" si="69"/>
        <v>0</v>
      </c>
      <c r="AQ411" s="53">
        <f t="shared" si="69"/>
        <v>299150471.49766272</v>
      </c>
      <c r="AR411" s="53">
        <f t="shared" si="68"/>
        <v>0</v>
      </c>
      <c r="AS411" s="53">
        <f t="shared" si="68"/>
        <v>19943290.195996311</v>
      </c>
      <c r="AT411" s="53">
        <f t="shared" si="68"/>
        <v>15895212.291507976</v>
      </c>
      <c r="AU411" s="53">
        <f t="shared" si="68"/>
        <v>0</v>
      </c>
      <c r="AV411" s="53">
        <f t="shared" si="68"/>
        <v>0</v>
      </c>
      <c r="AW411" s="53">
        <f t="shared" si="68"/>
        <v>0</v>
      </c>
      <c r="AX411" s="53">
        <f t="shared" si="65"/>
        <v>0</v>
      </c>
      <c r="AY411" s="41" t="s">
        <v>557</v>
      </c>
    </row>
    <row r="412" spans="1:51" x14ac:dyDescent="0.2">
      <c r="A412" s="41" t="s">
        <v>583</v>
      </c>
      <c r="B412" s="41">
        <v>1937</v>
      </c>
      <c r="C412" s="41" t="s">
        <v>91</v>
      </c>
      <c r="D412" s="41" t="s">
        <v>88</v>
      </c>
      <c r="E412" s="41">
        <v>0</v>
      </c>
      <c r="F412" s="41" t="s">
        <v>584</v>
      </c>
      <c r="G412" s="53">
        <v>1517604.28</v>
      </c>
      <c r="J412" s="53">
        <v>215.79489572933991</v>
      </c>
      <c r="L412" s="46">
        <v>14.321469982359298</v>
      </c>
      <c r="M412" s="46">
        <v>11.037317268135274</v>
      </c>
      <c r="S412" s="53">
        <v>1610.36</v>
      </c>
      <c r="T412" s="45">
        <v>225.87930000000003</v>
      </c>
      <c r="U412" s="53">
        <v>279960.42730000004</v>
      </c>
      <c r="X412" s="76">
        <f t="shared" si="66"/>
        <v>398987.26400000002</v>
      </c>
      <c r="Y412" s="53">
        <v>199493.63200000001</v>
      </c>
      <c r="Z412" s="76">
        <f t="shared" si="67"/>
        <v>298600.36800000002</v>
      </c>
      <c r="AA412" s="53">
        <v>149300.18400000001</v>
      </c>
      <c r="AO412" s="53">
        <f t="shared" si="69"/>
        <v>0</v>
      </c>
      <c r="AP412" s="53">
        <f t="shared" si="69"/>
        <v>0</v>
      </c>
      <c r="AQ412" s="53">
        <f t="shared" si="69"/>
        <v>327491257.361</v>
      </c>
      <c r="AR412" s="53">
        <f t="shared" si="68"/>
        <v>0</v>
      </c>
      <c r="AS412" s="53">
        <f t="shared" si="68"/>
        <v>21734324.141119994</v>
      </c>
      <c r="AT412" s="53">
        <f t="shared" si="68"/>
        <v>16750279.92584</v>
      </c>
      <c r="AU412" s="53">
        <f t="shared" si="68"/>
        <v>0</v>
      </c>
      <c r="AV412" s="53">
        <f t="shared" si="68"/>
        <v>0</v>
      </c>
      <c r="AW412" s="53">
        <f t="shared" si="68"/>
        <v>0</v>
      </c>
      <c r="AX412" s="53">
        <f t="shared" si="65"/>
        <v>0</v>
      </c>
      <c r="AY412" s="41" t="s">
        <v>557</v>
      </c>
    </row>
    <row r="413" spans="1:51" x14ac:dyDescent="0.2">
      <c r="A413" s="41" t="s">
        <v>583</v>
      </c>
      <c r="B413" s="41">
        <v>1938</v>
      </c>
      <c r="C413" s="41" t="s">
        <v>91</v>
      </c>
      <c r="D413" s="41" t="s">
        <v>88</v>
      </c>
      <c r="E413" s="41">
        <v>0</v>
      </c>
      <c r="F413" s="41" t="s">
        <v>584</v>
      </c>
      <c r="G413" s="53">
        <v>1608699.8559999999</v>
      </c>
      <c r="J413" s="53">
        <v>220.42964063291879</v>
      </c>
      <c r="L413" s="46">
        <v>14.841108970536618</v>
      </c>
      <c r="M413" s="46">
        <v>11.351756764338623</v>
      </c>
      <c r="S413" s="53">
        <v>1760.7280000000001</v>
      </c>
      <c r="T413" s="45">
        <v>163.39939999999999</v>
      </c>
      <c r="U413" s="53">
        <v>314877.89010000002</v>
      </c>
      <c r="X413" s="76">
        <f t="shared" si="66"/>
        <v>449799.45600000001</v>
      </c>
      <c r="Y413" s="53">
        <v>224899.728</v>
      </c>
      <c r="Z413" s="76">
        <f t="shared" si="67"/>
        <v>335154.016</v>
      </c>
      <c r="AA413" s="53">
        <v>167577.008</v>
      </c>
      <c r="AO413" s="53">
        <f t="shared" si="69"/>
        <v>0</v>
      </c>
      <c r="AP413" s="53">
        <f t="shared" si="69"/>
        <v>0</v>
      </c>
      <c r="AQ413" s="53">
        <f t="shared" si="69"/>
        <v>354605131.14430821</v>
      </c>
      <c r="AR413" s="53">
        <f t="shared" si="68"/>
        <v>0</v>
      </c>
      <c r="AS413" s="53">
        <f t="shared" si="68"/>
        <v>23874889.863782566</v>
      </c>
      <c r="AT413" s="53">
        <f t="shared" si="68"/>
        <v>18261569.472138569</v>
      </c>
      <c r="AU413" s="53">
        <f t="shared" si="68"/>
        <v>0</v>
      </c>
      <c r="AV413" s="53">
        <f t="shared" si="68"/>
        <v>0</v>
      </c>
      <c r="AW413" s="53">
        <f t="shared" si="68"/>
        <v>0</v>
      </c>
      <c r="AX413" s="53">
        <f t="shared" si="65"/>
        <v>0</v>
      </c>
      <c r="AY413" s="41" t="s">
        <v>557</v>
      </c>
    </row>
    <row r="414" spans="1:51" x14ac:dyDescent="0.2">
      <c r="A414" s="41" t="s">
        <v>583</v>
      </c>
      <c r="B414" s="41">
        <v>1939</v>
      </c>
      <c r="C414" s="41" t="s">
        <v>91</v>
      </c>
      <c r="D414" s="41" t="s">
        <v>88</v>
      </c>
      <c r="E414" s="41">
        <v>0</v>
      </c>
      <c r="F414" s="41" t="s">
        <v>584</v>
      </c>
      <c r="G414" s="53">
        <v>1447035.9680000001</v>
      </c>
      <c r="J414" s="53">
        <v>209.97640025213249</v>
      </c>
      <c r="L414" s="46">
        <v>15.342476303284258</v>
      </c>
      <c r="M414" s="46">
        <v>11.921649635456745</v>
      </c>
      <c r="S414" s="53">
        <v>1631.6959999999999</v>
      </c>
      <c r="T414" s="45">
        <v>162.90180000000001</v>
      </c>
      <c r="U414" s="53">
        <v>291343.27610000002</v>
      </c>
      <c r="X414" s="76">
        <f t="shared" si="66"/>
        <v>437282.33600000001</v>
      </c>
      <c r="Y414" s="53">
        <v>218641.16800000001</v>
      </c>
      <c r="Z414" s="76">
        <f t="shared" si="67"/>
        <v>295060.62400000001</v>
      </c>
      <c r="AA414" s="53">
        <v>147530.31200000001</v>
      </c>
      <c r="AO414" s="53">
        <f t="shared" si="69"/>
        <v>0</v>
      </c>
      <c r="AP414" s="53">
        <f t="shared" si="69"/>
        <v>0</v>
      </c>
      <c r="AQ414" s="53">
        <f t="shared" si="69"/>
        <v>303843403.59600002</v>
      </c>
      <c r="AR414" s="53">
        <f t="shared" si="68"/>
        <v>0</v>
      </c>
      <c r="AS414" s="53">
        <f t="shared" si="68"/>
        <v>22201115.049040001</v>
      </c>
      <c r="AT414" s="53">
        <f t="shared" si="68"/>
        <v>17251055.8204</v>
      </c>
      <c r="AU414" s="53">
        <f t="shared" si="68"/>
        <v>0</v>
      </c>
      <c r="AV414" s="53">
        <f t="shared" si="68"/>
        <v>0</v>
      </c>
      <c r="AW414" s="53">
        <f t="shared" si="68"/>
        <v>0</v>
      </c>
      <c r="AX414" s="53">
        <f t="shared" si="65"/>
        <v>0</v>
      </c>
      <c r="AY414" s="41" t="s">
        <v>557</v>
      </c>
    </row>
    <row r="415" spans="1:51" x14ac:dyDescent="0.2">
      <c r="A415" s="41" t="s">
        <v>583</v>
      </c>
      <c r="B415" s="41">
        <v>1940</v>
      </c>
      <c r="C415" s="41" t="s">
        <v>91</v>
      </c>
      <c r="D415" s="41" t="s">
        <v>88</v>
      </c>
      <c r="E415" s="41">
        <v>0</v>
      </c>
      <c r="F415" s="41" t="s">
        <v>584</v>
      </c>
      <c r="G415" s="53">
        <v>1452687.976</v>
      </c>
      <c r="J415" s="53">
        <v>218.56777153387392</v>
      </c>
      <c r="L415" s="46">
        <v>15.7</v>
      </c>
      <c r="M415" s="46">
        <v>12.9</v>
      </c>
      <c r="S415" s="53">
        <v>1614.424</v>
      </c>
      <c r="T415" s="45">
        <v>152.9187</v>
      </c>
      <c r="U415" s="53">
        <v>284796.57060000004</v>
      </c>
      <c r="X415" s="76">
        <f t="shared" si="66"/>
        <v>435701.44</v>
      </c>
      <c r="Y415" s="53">
        <v>217850.72</v>
      </c>
      <c r="Z415" s="76">
        <f t="shared" si="67"/>
        <v>328064.36800000002</v>
      </c>
      <c r="AA415" s="53">
        <v>164032.18400000001</v>
      </c>
      <c r="AO415" s="53">
        <f t="shared" si="69"/>
        <v>0</v>
      </c>
      <c r="AP415" s="53">
        <f t="shared" si="69"/>
        <v>0</v>
      </c>
      <c r="AQ415" s="53">
        <f t="shared" si="69"/>
        <v>317510773.64837372</v>
      </c>
      <c r="AR415" s="53">
        <f t="shared" si="68"/>
        <v>0</v>
      </c>
      <c r="AS415" s="53">
        <f t="shared" si="68"/>
        <v>22807201.223200001</v>
      </c>
      <c r="AT415" s="53">
        <f t="shared" si="68"/>
        <v>18739674.8904</v>
      </c>
      <c r="AU415" s="53">
        <f t="shared" si="68"/>
        <v>0</v>
      </c>
      <c r="AV415" s="53">
        <f t="shared" si="68"/>
        <v>0</v>
      </c>
      <c r="AW415" s="53">
        <f t="shared" si="68"/>
        <v>0</v>
      </c>
      <c r="AX415" s="53">
        <f t="shared" si="65"/>
        <v>0</v>
      </c>
      <c r="AY415" s="41" t="s">
        <v>557</v>
      </c>
    </row>
    <row r="416" spans="1:51" x14ac:dyDescent="0.2">
      <c r="A416" s="41" t="s">
        <v>583</v>
      </c>
      <c r="B416" s="41">
        <v>1941</v>
      </c>
      <c r="C416" s="41" t="s">
        <v>91</v>
      </c>
      <c r="D416" s="41" t="s">
        <v>88</v>
      </c>
      <c r="E416" s="41">
        <v>0</v>
      </c>
      <c r="F416" s="41" t="s">
        <v>584</v>
      </c>
      <c r="G416" s="53">
        <v>1492073.216</v>
      </c>
      <c r="J416" s="53">
        <v>218.06224727341763</v>
      </c>
      <c r="L416" s="46">
        <v>15.91</v>
      </c>
      <c r="M416" s="46">
        <v>13.37</v>
      </c>
      <c r="S416" s="53">
        <v>1270</v>
      </c>
      <c r="T416" s="45">
        <v>152.5455</v>
      </c>
      <c r="U416" s="53">
        <v>291841.40480000002</v>
      </c>
      <c r="X416" s="76">
        <f t="shared" si="66"/>
        <v>453688.70400000003</v>
      </c>
      <c r="Y416" s="53">
        <v>226844.35200000001</v>
      </c>
      <c r="Z416" s="76">
        <f t="shared" si="67"/>
        <v>349243.90399999998</v>
      </c>
      <c r="AA416" s="53">
        <v>174621.95199999999</v>
      </c>
      <c r="AO416" s="53">
        <f t="shared" si="69"/>
        <v>0</v>
      </c>
      <c r="AP416" s="53">
        <f t="shared" si="69"/>
        <v>0</v>
      </c>
      <c r="AQ416" s="53">
        <f t="shared" si="69"/>
        <v>325364838.57743549</v>
      </c>
      <c r="AR416" s="53">
        <f t="shared" si="68"/>
        <v>0</v>
      </c>
      <c r="AS416" s="53">
        <f t="shared" si="68"/>
        <v>23738884.866560001</v>
      </c>
      <c r="AT416" s="53">
        <f t="shared" si="68"/>
        <v>19949018.897919998</v>
      </c>
      <c r="AU416" s="53">
        <f t="shared" si="68"/>
        <v>0</v>
      </c>
      <c r="AV416" s="53">
        <f t="shared" si="68"/>
        <v>0</v>
      </c>
      <c r="AW416" s="53">
        <f t="shared" si="68"/>
        <v>0</v>
      </c>
      <c r="AX416" s="53">
        <f t="shared" si="65"/>
        <v>0</v>
      </c>
      <c r="AY416" s="41" t="s">
        <v>557</v>
      </c>
    </row>
    <row r="417" spans="1:51" x14ac:dyDescent="0.2">
      <c r="A417" s="41" t="s">
        <v>583</v>
      </c>
      <c r="B417" s="41">
        <v>1942</v>
      </c>
      <c r="C417" s="41" t="s">
        <v>91</v>
      </c>
      <c r="D417" s="41" t="s">
        <v>88</v>
      </c>
      <c r="E417" s="41">
        <v>0</v>
      </c>
      <c r="F417" s="41" t="s">
        <v>584</v>
      </c>
      <c r="G417" s="53">
        <v>1346791.3119999999</v>
      </c>
      <c r="J417" s="53">
        <v>211.97370833812016</v>
      </c>
      <c r="L417" s="46">
        <v>16.100000000000001</v>
      </c>
      <c r="M417" s="46">
        <v>13.02</v>
      </c>
      <c r="S417" s="53">
        <v>1071.8800000000001</v>
      </c>
      <c r="T417" s="45">
        <v>132.76589999999999</v>
      </c>
      <c r="U417" s="53">
        <v>256069.93599999999</v>
      </c>
      <c r="X417" s="76">
        <f t="shared" si="66"/>
        <v>414456.88</v>
      </c>
      <c r="Y417" s="53">
        <v>207228.44</v>
      </c>
      <c r="Z417" s="76">
        <f t="shared" si="67"/>
        <v>307092.09600000002</v>
      </c>
      <c r="AA417" s="53">
        <v>153546.04800000001</v>
      </c>
      <c r="AO417" s="53">
        <f t="shared" si="69"/>
        <v>0</v>
      </c>
      <c r="AP417" s="53">
        <f t="shared" si="69"/>
        <v>0</v>
      </c>
      <c r="AQ417" s="53">
        <f t="shared" si="69"/>
        <v>285484348.7622022</v>
      </c>
      <c r="AR417" s="53">
        <f t="shared" si="68"/>
        <v>0</v>
      </c>
      <c r="AS417" s="53">
        <f t="shared" si="68"/>
        <v>21683340.123199999</v>
      </c>
      <c r="AT417" s="53">
        <f t="shared" si="68"/>
        <v>17535222.882239997</v>
      </c>
      <c r="AU417" s="53">
        <f t="shared" si="68"/>
        <v>0</v>
      </c>
      <c r="AV417" s="53">
        <f t="shared" si="68"/>
        <v>0</v>
      </c>
      <c r="AW417" s="53">
        <f t="shared" si="68"/>
        <v>0</v>
      </c>
      <c r="AX417" s="53">
        <f t="shared" si="65"/>
        <v>0</v>
      </c>
      <c r="AY417" s="41" t="s">
        <v>557</v>
      </c>
    </row>
    <row r="418" spans="1:51" x14ac:dyDescent="0.2">
      <c r="A418" s="41" t="s">
        <v>583</v>
      </c>
      <c r="B418" s="41">
        <v>1943</v>
      </c>
      <c r="C418" s="41" t="s">
        <v>91</v>
      </c>
      <c r="D418" s="41" t="s">
        <v>88</v>
      </c>
      <c r="E418" s="41">
        <v>0</v>
      </c>
      <c r="F418" s="41" t="s">
        <v>584</v>
      </c>
      <c r="G418" s="53">
        <v>1191467.264</v>
      </c>
      <c r="J418" s="53">
        <v>198.95180022703255</v>
      </c>
      <c r="L418" s="46">
        <v>15.48</v>
      </c>
      <c r="M418" s="46">
        <v>12.47</v>
      </c>
      <c r="S418" s="53">
        <v>2065.5280000000002</v>
      </c>
      <c r="T418" s="45">
        <v>111.1203</v>
      </c>
      <c r="U418" s="53">
        <v>212621.05900000001</v>
      </c>
      <c r="X418" s="76">
        <f t="shared" si="66"/>
        <v>352354.89600000001</v>
      </c>
      <c r="Y418" s="53">
        <v>176177.448</v>
      </c>
      <c r="Z418" s="76">
        <f t="shared" si="67"/>
        <v>260282.94400000002</v>
      </c>
      <c r="AA418" s="53">
        <v>130141.47200000001</v>
      </c>
      <c r="AO418" s="53">
        <f t="shared" si="69"/>
        <v>0</v>
      </c>
      <c r="AP418" s="53">
        <f t="shared" si="69"/>
        <v>0</v>
      </c>
      <c r="AQ418" s="53">
        <f t="shared" si="69"/>
        <v>237044557.08437705</v>
      </c>
      <c r="AR418" s="53">
        <f t="shared" si="68"/>
        <v>0</v>
      </c>
      <c r="AS418" s="53">
        <f t="shared" si="68"/>
        <v>18443913.246720001</v>
      </c>
      <c r="AT418" s="53">
        <f t="shared" si="68"/>
        <v>14857596.78208</v>
      </c>
      <c r="AU418" s="53">
        <f t="shared" si="68"/>
        <v>0</v>
      </c>
      <c r="AV418" s="53">
        <f t="shared" si="68"/>
        <v>0</v>
      </c>
      <c r="AW418" s="53">
        <f t="shared" si="68"/>
        <v>0</v>
      </c>
      <c r="AX418" s="53">
        <f t="shared" si="65"/>
        <v>0</v>
      </c>
      <c r="AY418" s="41" t="s">
        <v>557</v>
      </c>
    </row>
    <row r="419" spans="1:51" x14ac:dyDescent="0.2">
      <c r="A419" s="41" t="s">
        <v>583</v>
      </c>
      <c r="B419" s="41">
        <v>1944</v>
      </c>
      <c r="C419" s="41" t="s">
        <v>91</v>
      </c>
      <c r="D419" s="41" t="s">
        <v>88</v>
      </c>
      <c r="E419" s="41">
        <v>0</v>
      </c>
      <c r="F419" s="41" t="s">
        <v>584</v>
      </c>
      <c r="G419" s="53">
        <v>1185012.6159999999</v>
      </c>
      <c r="J419" s="53">
        <v>199.97440749018713</v>
      </c>
      <c r="L419" s="46">
        <v>15.11</v>
      </c>
      <c r="M419" s="46">
        <v>12.57</v>
      </c>
      <c r="S419" s="53">
        <v>1761.7439999999999</v>
      </c>
      <c r="T419" s="45">
        <v>148.06710000000001</v>
      </c>
      <c r="U419" s="53">
        <v>212556.15330000001</v>
      </c>
      <c r="X419" s="76">
        <f t="shared" si="66"/>
        <v>342077.04</v>
      </c>
      <c r="Y419" s="53">
        <v>171038.52</v>
      </c>
      <c r="Z419" s="76">
        <f t="shared" si="67"/>
        <v>260876.288</v>
      </c>
      <c r="AA419" s="53">
        <v>130438.144</v>
      </c>
      <c r="AO419" s="53">
        <f t="shared" si="69"/>
        <v>0</v>
      </c>
      <c r="AP419" s="53">
        <f t="shared" si="69"/>
        <v>0</v>
      </c>
      <c r="AQ419" s="53">
        <f t="shared" si="69"/>
        <v>236972195.75299662</v>
      </c>
      <c r="AR419" s="53">
        <f t="shared" si="68"/>
        <v>0</v>
      </c>
      <c r="AS419" s="53">
        <f t="shared" si="68"/>
        <v>17905540.627759997</v>
      </c>
      <c r="AT419" s="53">
        <f t="shared" si="68"/>
        <v>14895608.58312</v>
      </c>
      <c r="AU419" s="53">
        <f t="shared" si="68"/>
        <v>0</v>
      </c>
      <c r="AV419" s="53">
        <f t="shared" si="68"/>
        <v>0</v>
      </c>
      <c r="AW419" s="53">
        <f t="shared" si="68"/>
        <v>0</v>
      </c>
      <c r="AX419" s="53">
        <f t="shared" si="65"/>
        <v>0</v>
      </c>
      <c r="AY419" s="41" t="s">
        <v>557</v>
      </c>
    </row>
    <row r="420" spans="1:51" x14ac:dyDescent="0.2">
      <c r="A420" s="41" t="s">
        <v>583</v>
      </c>
      <c r="B420" s="41">
        <v>1945</v>
      </c>
      <c r="C420" s="41" t="s">
        <v>91</v>
      </c>
      <c r="D420" s="41" t="s">
        <v>88</v>
      </c>
      <c r="E420" s="41">
        <v>0</v>
      </c>
      <c r="F420" s="41" t="s">
        <v>584</v>
      </c>
      <c r="G420" s="53">
        <v>1082008.504</v>
      </c>
      <c r="J420" s="53">
        <v>192.08021199482994</v>
      </c>
      <c r="L420" s="46">
        <v>14.63</v>
      </c>
      <c r="M420" s="46">
        <v>12.72</v>
      </c>
      <c r="S420" s="53">
        <v>2164.08</v>
      </c>
      <c r="T420" s="45">
        <v>157.8014</v>
      </c>
      <c r="U420" s="53">
        <v>186418.74920000002</v>
      </c>
      <c r="X420" s="76">
        <f t="shared" si="66"/>
        <v>302546.51199999999</v>
      </c>
      <c r="Y420" s="53">
        <v>151273.25599999999</v>
      </c>
      <c r="Z420" s="76">
        <f t="shared" si="67"/>
        <v>240926.11199999999</v>
      </c>
      <c r="AA420" s="53">
        <v>120463.056</v>
      </c>
      <c r="AO420" s="53">
        <f t="shared" si="69"/>
        <v>0</v>
      </c>
      <c r="AP420" s="53">
        <f t="shared" si="69"/>
        <v>0</v>
      </c>
      <c r="AQ420" s="53">
        <f t="shared" si="69"/>
        <v>207832422.82852879</v>
      </c>
      <c r="AR420" s="53">
        <f t="shared" si="68"/>
        <v>0</v>
      </c>
      <c r="AS420" s="53">
        <f t="shared" si="68"/>
        <v>15829784.413520001</v>
      </c>
      <c r="AT420" s="53">
        <f t="shared" si="68"/>
        <v>13763148.170880001</v>
      </c>
      <c r="AU420" s="53">
        <f t="shared" si="68"/>
        <v>0</v>
      </c>
      <c r="AV420" s="53">
        <f t="shared" si="68"/>
        <v>0</v>
      </c>
      <c r="AW420" s="53">
        <f t="shared" si="68"/>
        <v>0</v>
      </c>
      <c r="AX420" s="53">
        <f t="shared" si="65"/>
        <v>0</v>
      </c>
      <c r="AY420" s="41" t="s">
        <v>557</v>
      </c>
    </row>
    <row r="421" spans="1:51" x14ac:dyDescent="0.2">
      <c r="A421" s="41" t="s">
        <v>583</v>
      </c>
      <c r="B421" s="41">
        <v>1946</v>
      </c>
      <c r="C421" s="41" t="s">
        <v>91</v>
      </c>
      <c r="D421" s="41" t="s">
        <v>88</v>
      </c>
      <c r="E421" s="41">
        <v>0</v>
      </c>
      <c r="F421" s="41" t="s">
        <v>584</v>
      </c>
      <c r="G421" s="53">
        <v>1145227.0719999999</v>
      </c>
      <c r="J421" s="53">
        <v>176.54362109969153</v>
      </c>
      <c r="L421" s="46">
        <v>14.213174003175789</v>
      </c>
      <c r="M421" s="46">
        <v>11.292033572554342</v>
      </c>
      <c r="S421" s="53">
        <v>1330.96</v>
      </c>
      <c r="T421" s="45">
        <v>141.06960000000001</v>
      </c>
      <c r="U421" s="53">
        <v>186427.2395</v>
      </c>
      <c r="X421" s="76">
        <f t="shared" si="66"/>
        <v>309691.02399999998</v>
      </c>
      <c r="Y421" s="53">
        <v>154845.51199999999</v>
      </c>
      <c r="Z421" s="76">
        <f t="shared" si="67"/>
        <v>249480.83199999999</v>
      </c>
      <c r="AA421" s="53">
        <v>124740.416</v>
      </c>
      <c r="AO421" s="53">
        <f t="shared" si="69"/>
        <v>0</v>
      </c>
      <c r="AP421" s="53">
        <f t="shared" si="69"/>
        <v>0</v>
      </c>
      <c r="AQ421" s="53">
        <f t="shared" si="69"/>
        <v>202182534.27227715</v>
      </c>
      <c r="AR421" s="53">
        <f t="shared" si="68"/>
        <v>0</v>
      </c>
      <c r="AS421" s="53">
        <f t="shared" si="68"/>
        <v>16277311.647483526</v>
      </c>
      <c r="AT421" s="53">
        <f t="shared" si="68"/>
        <v>12931942.545222107</v>
      </c>
      <c r="AU421" s="53">
        <f t="shared" si="68"/>
        <v>0</v>
      </c>
      <c r="AV421" s="53">
        <f t="shared" si="68"/>
        <v>0</v>
      </c>
      <c r="AW421" s="53">
        <f t="shared" si="68"/>
        <v>0</v>
      </c>
      <c r="AX421" s="53">
        <f t="shared" si="65"/>
        <v>0</v>
      </c>
      <c r="AY421" s="41" t="s">
        <v>557</v>
      </c>
    </row>
    <row r="422" spans="1:51" x14ac:dyDescent="0.2">
      <c r="A422" s="41" t="s">
        <v>583</v>
      </c>
      <c r="B422" s="41">
        <v>1947</v>
      </c>
      <c r="C422" s="41" t="s">
        <v>91</v>
      </c>
      <c r="D422" s="41" t="s">
        <v>88</v>
      </c>
      <c r="E422" s="41">
        <v>0</v>
      </c>
      <c r="F422" s="41" t="s">
        <v>584</v>
      </c>
      <c r="G422" s="53">
        <v>1135825.0079999999</v>
      </c>
      <c r="J422" s="53">
        <v>167.88769841031709</v>
      </c>
      <c r="L422" s="46">
        <v>13.964659131365067</v>
      </c>
      <c r="M422" s="46">
        <v>11.807954734520163</v>
      </c>
      <c r="S422" s="53">
        <v>1930.4</v>
      </c>
      <c r="T422" s="45">
        <v>217.7</v>
      </c>
      <c r="U422" s="53">
        <v>168858.56959999999</v>
      </c>
      <c r="X422" s="76">
        <f t="shared" si="66"/>
        <v>300036.99200000003</v>
      </c>
      <c r="Y422" s="53">
        <v>150018.49600000001</v>
      </c>
      <c r="Z422" s="76">
        <f t="shared" si="67"/>
        <v>245857.77600000001</v>
      </c>
      <c r="AA422" s="53">
        <v>122928.88800000001</v>
      </c>
      <c r="AO422" s="53">
        <f t="shared" si="69"/>
        <v>0</v>
      </c>
      <c r="AP422" s="53">
        <f t="shared" si="69"/>
        <v>0</v>
      </c>
      <c r="AQ422" s="53">
        <f t="shared" si="69"/>
        <v>190691046.38999999</v>
      </c>
      <c r="AR422" s="53">
        <f t="shared" si="68"/>
        <v>0</v>
      </c>
      <c r="AS422" s="53">
        <f t="shared" si="68"/>
        <v>15861409.069599999</v>
      </c>
      <c r="AT422" s="53">
        <f t="shared" si="68"/>
        <v>13411770.2808</v>
      </c>
      <c r="AU422" s="53">
        <f t="shared" si="68"/>
        <v>0</v>
      </c>
      <c r="AV422" s="53">
        <f t="shared" si="68"/>
        <v>0</v>
      </c>
      <c r="AW422" s="53">
        <f t="shared" si="68"/>
        <v>0</v>
      </c>
      <c r="AX422" s="53">
        <f t="shared" ref="AX422:AX485" si="70">$G422*E422</f>
        <v>0</v>
      </c>
      <c r="AY422" s="41" t="s">
        <v>557</v>
      </c>
    </row>
    <row r="423" spans="1:51" x14ac:dyDescent="0.2">
      <c r="A423" s="41" t="s">
        <v>583</v>
      </c>
      <c r="B423" s="41">
        <v>1948</v>
      </c>
      <c r="C423" s="41" t="s">
        <v>91</v>
      </c>
      <c r="D423" s="41" t="s">
        <v>88</v>
      </c>
      <c r="E423" s="41">
        <v>0</v>
      </c>
      <c r="F423" s="41" t="s">
        <v>584</v>
      </c>
      <c r="G423" s="53">
        <v>1253869.9839999999</v>
      </c>
      <c r="J423" s="53">
        <v>152.48132249343053</v>
      </c>
      <c r="L423" s="46">
        <v>13.750122208990643</v>
      </c>
      <c r="M423" s="46">
        <v>11.672795636603968</v>
      </c>
      <c r="S423" s="53">
        <v>1453.896</v>
      </c>
      <c r="T423" s="45">
        <v>138.11510000000001</v>
      </c>
      <c r="U423" s="53">
        <v>188248.82870000001</v>
      </c>
      <c r="X423" s="76">
        <f t="shared" si="66"/>
        <v>334558.64</v>
      </c>
      <c r="Y423" s="53">
        <v>167279.32</v>
      </c>
      <c r="Z423" s="76">
        <f t="shared" si="67"/>
        <v>276644.60800000001</v>
      </c>
      <c r="AA423" s="53">
        <v>138322.304</v>
      </c>
      <c r="AO423" s="53">
        <f t="shared" si="69"/>
        <v>0</v>
      </c>
      <c r="AP423" s="53">
        <f t="shared" si="69"/>
        <v>0</v>
      </c>
      <c r="AQ423" s="53">
        <f t="shared" si="69"/>
        <v>191191753.39513656</v>
      </c>
      <c r="AR423" s="53">
        <f t="shared" si="68"/>
        <v>0</v>
      </c>
      <c r="AS423" s="53">
        <f t="shared" si="68"/>
        <v>17240865.514185142</v>
      </c>
      <c r="AT423" s="53">
        <f t="shared" si="68"/>
        <v>14636168.078103887</v>
      </c>
      <c r="AU423" s="53">
        <f t="shared" si="68"/>
        <v>0</v>
      </c>
      <c r="AV423" s="53">
        <f t="shared" si="68"/>
        <v>0</v>
      </c>
      <c r="AW423" s="53">
        <f t="shared" si="68"/>
        <v>0</v>
      </c>
      <c r="AX423" s="53">
        <f t="shared" si="70"/>
        <v>0</v>
      </c>
      <c r="AY423" s="41" t="s">
        <v>557</v>
      </c>
    </row>
    <row r="424" spans="1:51" x14ac:dyDescent="0.2">
      <c r="A424" s="41" t="s">
        <v>583</v>
      </c>
      <c r="B424" s="41">
        <v>1949</v>
      </c>
      <c r="C424" s="41" t="s">
        <v>91</v>
      </c>
      <c r="D424" s="41" t="s">
        <v>88</v>
      </c>
      <c r="E424" s="41">
        <v>0</v>
      </c>
      <c r="F424" s="41" t="s">
        <v>584</v>
      </c>
      <c r="G424" s="53">
        <v>1286566.8959999999</v>
      </c>
      <c r="J424" s="53">
        <v>150.44136806392694</v>
      </c>
      <c r="L424" s="46">
        <v>13.301988302985219</v>
      </c>
      <c r="M424" s="46">
        <v>11.737266268974482</v>
      </c>
      <c r="S424" s="53">
        <v>1471.1680000000001</v>
      </c>
      <c r="T424" s="45">
        <v>148.00489999999999</v>
      </c>
      <c r="U424" s="53">
        <v>180136.08270000003</v>
      </c>
      <c r="X424" s="76">
        <f t="shared" si="66"/>
        <v>326430.64</v>
      </c>
      <c r="Y424" s="53">
        <v>163215.32</v>
      </c>
      <c r="Z424" s="76">
        <f t="shared" si="67"/>
        <v>283486.35200000001</v>
      </c>
      <c r="AA424" s="53">
        <v>141743.17600000001</v>
      </c>
      <c r="AO424" s="53">
        <f t="shared" si="69"/>
        <v>0</v>
      </c>
      <c r="AP424" s="53">
        <f t="shared" si="69"/>
        <v>0</v>
      </c>
      <c r="AQ424" s="53">
        <f t="shared" si="69"/>
        <v>193552883.94</v>
      </c>
      <c r="AR424" s="53">
        <f t="shared" si="68"/>
        <v>0</v>
      </c>
      <c r="AS424" s="53">
        <f t="shared" si="68"/>
        <v>17113897.801599998</v>
      </c>
      <c r="AT424" s="53">
        <f t="shared" si="68"/>
        <v>15100778.2312</v>
      </c>
      <c r="AU424" s="53">
        <f t="shared" si="68"/>
        <v>0</v>
      </c>
      <c r="AV424" s="53">
        <f t="shared" si="68"/>
        <v>0</v>
      </c>
      <c r="AW424" s="53">
        <f t="shared" si="68"/>
        <v>0</v>
      </c>
      <c r="AX424" s="53">
        <f t="shared" si="70"/>
        <v>0</v>
      </c>
      <c r="AY424" s="41" t="s">
        <v>557</v>
      </c>
    </row>
    <row r="425" spans="1:51" x14ac:dyDescent="0.2">
      <c r="A425" s="41" t="s">
        <v>583</v>
      </c>
      <c r="B425" s="41">
        <v>1950</v>
      </c>
      <c r="C425" s="41" t="s">
        <v>91</v>
      </c>
      <c r="D425" s="41" t="s">
        <v>88</v>
      </c>
      <c r="E425" s="41">
        <v>0</v>
      </c>
      <c r="F425" s="41" t="s">
        <v>584</v>
      </c>
      <c r="G425" s="53">
        <v>1260398.8</v>
      </c>
      <c r="J425" s="53">
        <v>160.16156910055173</v>
      </c>
      <c r="L425" s="46">
        <v>13.599417767235119</v>
      </c>
      <c r="M425" s="46">
        <v>11.779907721568511</v>
      </c>
      <c r="S425" s="53">
        <v>1790.192</v>
      </c>
      <c r="T425" s="45">
        <v>205.50382400000001</v>
      </c>
      <c r="U425" s="53">
        <v>202128.57210000002</v>
      </c>
      <c r="X425" s="76">
        <f t="shared" si="66"/>
        <v>338053.68</v>
      </c>
      <c r="Y425" s="53">
        <v>169026.84</v>
      </c>
      <c r="Z425" s="76">
        <f t="shared" si="67"/>
        <v>285284.67200000002</v>
      </c>
      <c r="AA425" s="53">
        <v>142642.33600000001</v>
      </c>
      <c r="AO425" s="53">
        <f t="shared" si="69"/>
        <v>0</v>
      </c>
      <c r="AP425" s="53">
        <f t="shared" si="69"/>
        <v>0</v>
      </c>
      <c r="AQ425" s="53">
        <f t="shared" si="69"/>
        <v>201867449.50045249</v>
      </c>
      <c r="AR425" s="53">
        <f t="shared" si="68"/>
        <v>0</v>
      </c>
      <c r="AS425" s="53">
        <f t="shared" si="68"/>
        <v>17140689.834521823</v>
      </c>
      <c r="AT425" s="53">
        <f t="shared" si="68"/>
        <v>14847381.556375686</v>
      </c>
      <c r="AU425" s="53">
        <f t="shared" si="68"/>
        <v>0</v>
      </c>
      <c r="AV425" s="53">
        <f t="shared" si="68"/>
        <v>0</v>
      </c>
      <c r="AW425" s="53">
        <f t="shared" si="68"/>
        <v>0</v>
      </c>
      <c r="AX425" s="53">
        <f t="shared" si="70"/>
        <v>0</v>
      </c>
      <c r="AY425" s="41" t="s">
        <v>557</v>
      </c>
    </row>
    <row r="426" spans="1:51" x14ac:dyDescent="0.2">
      <c r="A426" s="41" t="s">
        <v>583</v>
      </c>
      <c r="B426" s="41">
        <v>1951</v>
      </c>
      <c r="C426" s="41" t="s">
        <v>91</v>
      </c>
      <c r="D426" s="41" t="s">
        <v>88</v>
      </c>
      <c r="E426" s="41">
        <v>0</v>
      </c>
      <c r="F426" s="41" t="s">
        <v>584</v>
      </c>
      <c r="G426" s="53">
        <v>1289239.9920000001</v>
      </c>
      <c r="J426" s="53">
        <v>148.14900847335798</v>
      </c>
      <c r="L426" s="46">
        <v>12.497555946433904</v>
      </c>
      <c r="M426" s="46">
        <v>11.460167171419858</v>
      </c>
      <c r="S426" s="53">
        <v>1751.5840000000001</v>
      </c>
      <c r="T426" s="45">
        <v>176.83459999999999</v>
      </c>
      <c r="U426" s="53">
        <v>191320.17139999999</v>
      </c>
      <c r="X426" s="76">
        <f t="shared" ref="X426:X489" si="71">Y426*2</f>
        <v>324406.76799999998</v>
      </c>
      <c r="Y426" s="53">
        <v>162203.38399999999</v>
      </c>
      <c r="Z426" s="76">
        <f t="shared" si="67"/>
        <v>281919.68</v>
      </c>
      <c r="AA426" s="53">
        <v>140959.84</v>
      </c>
      <c r="AO426" s="53">
        <f t="shared" si="69"/>
        <v>0</v>
      </c>
      <c r="AP426" s="53">
        <f t="shared" si="69"/>
        <v>0</v>
      </c>
      <c r="AQ426" s="53">
        <f t="shared" si="69"/>
        <v>190999626.49899998</v>
      </c>
      <c r="AR426" s="53">
        <f t="shared" si="68"/>
        <v>0</v>
      </c>
      <c r="AS426" s="53">
        <f t="shared" si="68"/>
        <v>16112348.928400001</v>
      </c>
      <c r="AT426" s="53">
        <f t="shared" si="68"/>
        <v>14774905.832400002</v>
      </c>
      <c r="AU426" s="53">
        <f t="shared" si="68"/>
        <v>0</v>
      </c>
      <c r="AV426" s="53">
        <f t="shared" si="68"/>
        <v>0</v>
      </c>
      <c r="AW426" s="53">
        <f t="shared" si="68"/>
        <v>0</v>
      </c>
      <c r="AX426" s="53">
        <f t="shared" si="70"/>
        <v>0</v>
      </c>
      <c r="AY426" s="41" t="s">
        <v>557</v>
      </c>
    </row>
    <row r="427" spans="1:51" x14ac:dyDescent="0.2">
      <c r="A427" s="41" t="s">
        <v>583</v>
      </c>
      <c r="B427" s="41">
        <v>1952</v>
      </c>
      <c r="C427" s="41" t="s">
        <v>91</v>
      </c>
      <c r="D427" s="41" t="s">
        <v>88</v>
      </c>
      <c r="E427" s="41">
        <v>0</v>
      </c>
      <c r="F427" s="41" t="s">
        <v>584</v>
      </c>
      <c r="G427" s="53">
        <v>1363075.76</v>
      </c>
      <c r="J427" s="53">
        <v>148.4211189493972</v>
      </c>
      <c r="L427" s="46">
        <v>12.234002951677462</v>
      </c>
      <c r="M427" s="46">
        <v>11.186726097748229</v>
      </c>
      <c r="S427" s="53">
        <v>1816.6079999999999</v>
      </c>
      <c r="T427" s="45">
        <v>178.481345</v>
      </c>
      <c r="U427" s="53">
        <v>201661.76110000003</v>
      </c>
      <c r="X427" s="76">
        <f t="shared" si="71"/>
        <v>334229.45600000001</v>
      </c>
      <c r="Y427" s="53">
        <v>167114.728</v>
      </c>
      <c r="Z427" s="76">
        <f t="shared" si="67"/>
        <v>289230.81599999999</v>
      </c>
      <c r="AA427" s="53">
        <v>144615.408</v>
      </c>
      <c r="AO427" s="53">
        <f t="shared" si="69"/>
        <v>0</v>
      </c>
      <c r="AP427" s="53">
        <f t="shared" si="69"/>
        <v>0</v>
      </c>
      <c r="AQ427" s="53">
        <f t="shared" si="69"/>
        <v>202309229.51199999</v>
      </c>
      <c r="AR427" s="53">
        <f t="shared" si="68"/>
        <v>0</v>
      </c>
      <c r="AS427" s="53">
        <f t="shared" si="68"/>
        <v>16675872.871200001</v>
      </c>
      <c r="AT427" s="53">
        <f t="shared" si="68"/>
        <v>15248355.177600002</v>
      </c>
      <c r="AU427" s="53">
        <f t="shared" si="68"/>
        <v>0</v>
      </c>
      <c r="AV427" s="53">
        <f t="shared" si="68"/>
        <v>0</v>
      </c>
      <c r="AW427" s="53">
        <f t="shared" si="68"/>
        <v>0</v>
      </c>
      <c r="AX427" s="53">
        <f t="shared" si="70"/>
        <v>0</v>
      </c>
      <c r="AY427" s="41" t="s">
        <v>557</v>
      </c>
    </row>
    <row r="428" spans="1:51" x14ac:dyDescent="0.2">
      <c r="A428" s="41" t="s">
        <v>583</v>
      </c>
      <c r="B428" s="41">
        <v>1953</v>
      </c>
      <c r="C428" s="41" t="s">
        <v>91</v>
      </c>
      <c r="D428" s="41" t="s">
        <v>88</v>
      </c>
      <c r="E428" s="41">
        <v>0</v>
      </c>
      <c r="F428" s="41" t="s">
        <v>584</v>
      </c>
      <c r="G428" s="53">
        <v>1676293.32</v>
      </c>
      <c r="J428" s="53">
        <v>144.98481569234826</v>
      </c>
      <c r="L428" s="46">
        <v>12.734118799574373</v>
      </c>
      <c r="M428" s="46">
        <v>11.841774457377523</v>
      </c>
      <c r="S428" s="53">
        <v>2651.76</v>
      </c>
      <c r="T428" s="45">
        <v>235.43104300000002</v>
      </c>
      <c r="U428" s="53">
        <v>244365.29550000001</v>
      </c>
      <c r="X428" s="76">
        <f t="shared" si="71"/>
        <v>423631.35999999999</v>
      </c>
      <c r="Y428" s="53">
        <v>211815.67999999999</v>
      </c>
      <c r="Z428" s="76">
        <f t="shared" si="67"/>
        <v>378128.78399999999</v>
      </c>
      <c r="AA428" s="53">
        <v>189064.39199999999</v>
      </c>
      <c r="AO428" s="53">
        <f t="shared" si="69"/>
        <v>0</v>
      </c>
      <c r="AP428" s="53">
        <f t="shared" si="69"/>
        <v>0</v>
      </c>
      <c r="AQ428" s="53">
        <f t="shared" si="69"/>
        <v>243037078.04651457</v>
      </c>
      <c r="AR428" s="53">
        <f t="shared" si="68"/>
        <v>0</v>
      </c>
      <c r="AS428" s="53">
        <f t="shared" si="68"/>
        <v>21346118.279812943</v>
      </c>
      <c r="AT428" s="53">
        <f t="shared" si="68"/>
        <v>19850287.419848569</v>
      </c>
      <c r="AU428" s="53">
        <f t="shared" ref="AU428:AW490" si="72">$G428*N428</f>
        <v>0</v>
      </c>
      <c r="AV428" s="53">
        <f t="shared" si="72"/>
        <v>0</v>
      </c>
      <c r="AW428" s="53">
        <f t="shared" si="72"/>
        <v>0</v>
      </c>
      <c r="AX428" s="53">
        <f t="shared" si="70"/>
        <v>0</v>
      </c>
      <c r="AY428" s="41" t="s">
        <v>557</v>
      </c>
    </row>
    <row r="429" spans="1:51" x14ac:dyDescent="0.2">
      <c r="A429" s="41" t="s">
        <v>583</v>
      </c>
      <c r="B429" s="41">
        <v>1954</v>
      </c>
      <c r="C429" s="41" t="s">
        <v>91</v>
      </c>
      <c r="D429" s="41" t="s">
        <v>88</v>
      </c>
      <c r="E429" s="41">
        <v>0</v>
      </c>
      <c r="F429" s="41" t="s">
        <v>584</v>
      </c>
      <c r="G429" s="53">
        <v>1858176.64432</v>
      </c>
      <c r="J429" s="53">
        <v>144.54016979686415</v>
      </c>
      <c r="L429" s="46">
        <v>12.568391948791556</v>
      </c>
      <c r="M429" s="46">
        <v>11.954100514796208</v>
      </c>
      <c r="S429" s="53">
        <v>2745.232</v>
      </c>
      <c r="T429" s="45">
        <v>255.00165100000001</v>
      </c>
      <c r="U429" s="53">
        <v>266628.60370000004</v>
      </c>
      <c r="X429" s="76">
        <f t="shared" si="71"/>
        <v>459620.11200000002</v>
      </c>
      <c r="Y429" s="53">
        <v>229810.05600000001</v>
      </c>
      <c r="Z429" s="76">
        <f t="shared" si="67"/>
        <v>425403.26400000002</v>
      </c>
      <c r="AA429" s="53">
        <v>212701.63200000001</v>
      </c>
      <c r="AO429" s="53">
        <f t="shared" si="69"/>
        <v>0</v>
      </c>
      <c r="AP429" s="53">
        <f t="shared" si="69"/>
        <v>0</v>
      </c>
      <c r="AQ429" s="53">
        <f t="shared" si="69"/>
        <v>268581167.68258005</v>
      </c>
      <c r="AR429" s="53">
        <f t="shared" si="69"/>
        <v>0</v>
      </c>
      <c r="AS429" s="53">
        <f t="shared" si="69"/>
        <v>23354292.375903998</v>
      </c>
      <c r="AT429" s="53">
        <f t="shared" si="69"/>
        <v>22212830.380448002</v>
      </c>
      <c r="AU429" s="53">
        <f t="shared" si="72"/>
        <v>0</v>
      </c>
      <c r="AV429" s="53">
        <f t="shared" si="72"/>
        <v>0</v>
      </c>
      <c r="AW429" s="53">
        <f t="shared" si="72"/>
        <v>0</v>
      </c>
      <c r="AX429" s="53">
        <f t="shared" si="70"/>
        <v>0</v>
      </c>
      <c r="AY429" s="41" t="s">
        <v>557</v>
      </c>
    </row>
    <row r="430" spans="1:51" x14ac:dyDescent="0.2">
      <c r="A430" s="41" t="s">
        <v>583</v>
      </c>
      <c r="B430" s="41">
        <v>1955</v>
      </c>
      <c r="C430" s="41" t="s">
        <v>91</v>
      </c>
      <c r="D430" s="41" t="s">
        <v>88</v>
      </c>
      <c r="E430" s="41">
        <v>0</v>
      </c>
      <c r="F430" s="41" t="s">
        <v>584</v>
      </c>
      <c r="G430" s="53">
        <v>1949390.0560000001</v>
      </c>
      <c r="J430" s="53">
        <v>133.53529450788398</v>
      </c>
      <c r="L430" s="46">
        <v>11.884790730382756</v>
      </c>
      <c r="M430" s="46">
        <v>11.500245505201704</v>
      </c>
      <c r="S430" s="53">
        <v>2617.2159999999999</v>
      </c>
      <c r="T430" s="45">
        <v>230.60401200000001</v>
      </c>
      <c r="U430" s="53">
        <v>266465.01770000003</v>
      </c>
      <c r="X430" s="76">
        <f t="shared" si="71"/>
        <v>459437.23200000002</v>
      </c>
      <c r="Y430" s="53">
        <v>229718.61600000001</v>
      </c>
      <c r="Z430" s="76">
        <f t="shared" si="67"/>
        <v>427809.152</v>
      </c>
      <c r="AA430" s="53">
        <v>213904.576</v>
      </c>
      <c r="AO430" s="53">
        <f t="shared" si="69"/>
        <v>0</v>
      </c>
      <c r="AP430" s="53">
        <f t="shared" si="69"/>
        <v>0</v>
      </c>
      <c r="AQ430" s="53">
        <f t="shared" si="69"/>
        <v>260312375.23870045</v>
      </c>
      <c r="AR430" s="53">
        <f t="shared" si="69"/>
        <v>0</v>
      </c>
      <c r="AS430" s="53">
        <f t="shared" si="69"/>
        <v>23168092.867449123</v>
      </c>
      <c r="AT430" s="53">
        <f t="shared" si="69"/>
        <v>22418464.229398899</v>
      </c>
      <c r="AU430" s="53">
        <f t="shared" si="72"/>
        <v>0</v>
      </c>
      <c r="AV430" s="53">
        <f t="shared" si="72"/>
        <v>0</v>
      </c>
      <c r="AW430" s="53">
        <f t="shared" si="72"/>
        <v>0</v>
      </c>
      <c r="AX430" s="53">
        <f t="shared" si="70"/>
        <v>0</v>
      </c>
      <c r="AY430" s="41" t="s">
        <v>557</v>
      </c>
    </row>
    <row r="431" spans="1:51" x14ac:dyDescent="0.2">
      <c r="A431" s="41" t="s">
        <v>583</v>
      </c>
      <c r="B431" s="41">
        <v>1956</v>
      </c>
      <c r="C431" s="41" t="s">
        <v>91</v>
      </c>
      <c r="D431" s="41" t="s">
        <v>88</v>
      </c>
      <c r="E431" s="41">
        <v>0</v>
      </c>
      <c r="F431" s="41" t="s">
        <v>584</v>
      </c>
      <c r="G431" s="53">
        <v>2096576.1268799999</v>
      </c>
      <c r="J431" s="53">
        <v>133.61813967470312</v>
      </c>
      <c r="L431" s="46">
        <v>11.221945978307245</v>
      </c>
      <c r="M431" s="46">
        <v>11.526674398550565</v>
      </c>
      <c r="S431" s="53">
        <v>3135.3760000000002</v>
      </c>
      <c r="T431" s="45">
        <v>241.17614600000002</v>
      </c>
      <c r="U431" s="53">
        <v>276690.91540000006</v>
      </c>
      <c r="X431" s="76">
        <f t="shared" si="71"/>
        <v>460849.47200000001</v>
      </c>
      <c r="Y431" s="53">
        <v>230424.736</v>
      </c>
      <c r="Z431" s="76">
        <f t="shared" si="67"/>
        <v>454814.43200000003</v>
      </c>
      <c r="AA431" s="53">
        <v>227407.21600000001</v>
      </c>
      <c r="AO431" s="53">
        <f t="shared" si="69"/>
        <v>0</v>
      </c>
      <c r="AP431" s="53">
        <f t="shared" si="69"/>
        <v>0</v>
      </c>
      <c r="AQ431" s="53">
        <f t="shared" si="69"/>
        <v>280140601.76009989</v>
      </c>
      <c r="AR431" s="53">
        <f t="shared" si="69"/>
        <v>0</v>
      </c>
      <c r="AS431" s="53">
        <f t="shared" si="69"/>
        <v>23527664.035255995</v>
      </c>
      <c r="AT431" s="53">
        <f t="shared" si="69"/>
        <v>24166550.366319995</v>
      </c>
      <c r="AU431" s="53">
        <f t="shared" si="72"/>
        <v>0</v>
      </c>
      <c r="AV431" s="53">
        <f t="shared" si="72"/>
        <v>0</v>
      </c>
      <c r="AW431" s="53">
        <f t="shared" si="72"/>
        <v>0</v>
      </c>
      <c r="AX431" s="53">
        <f t="shared" si="70"/>
        <v>0</v>
      </c>
      <c r="AY431" s="41" t="s">
        <v>557</v>
      </c>
    </row>
    <row r="432" spans="1:51" x14ac:dyDescent="0.2">
      <c r="A432" s="41" t="s">
        <v>583</v>
      </c>
      <c r="B432" s="41">
        <v>1957</v>
      </c>
      <c r="C432" s="41" t="s">
        <v>91</v>
      </c>
      <c r="D432" s="41" t="s">
        <v>88</v>
      </c>
      <c r="E432" s="41">
        <v>0</v>
      </c>
      <c r="F432" s="41" t="s">
        <v>584</v>
      </c>
      <c r="G432" s="53">
        <v>2272083.8480000002</v>
      </c>
      <c r="J432" s="53">
        <v>133.06929658257928</v>
      </c>
      <c r="L432" s="46">
        <v>11.634433079953833</v>
      </c>
      <c r="M432" s="46">
        <v>11.174572631705097</v>
      </c>
      <c r="S432" s="53">
        <v>3324.3519999999999</v>
      </c>
      <c r="T432" s="45">
        <v>283.38288900000003</v>
      </c>
      <c r="U432" s="53">
        <v>297508.88219999999</v>
      </c>
      <c r="X432" s="76">
        <f t="shared" si="71"/>
        <v>520315.95199999999</v>
      </c>
      <c r="Y432" s="53">
        <v>260157.976</v>
      </c>
      <c r="Z432" s="76">
        <f t="shared" si="67"/>
        <v>483447.34399999998</v>
      </c>
      <c r="AA432" s="53">
        <v>241723.67199999999</v>
      </c>
      <c r="AO432" s="53">
        <f t="shared" si="69"/>
        <v>0</v>
      </c>
      <c r="AP432" s="53">
        <f t="shared" si="69"/>
        <v>0</v>
      </c>
      <c r="AQ432" s="53">
        <f t="shared" si="69"/>
        <v>302344599.43000001</v>
      </c>
      <c r="AR432" s="53">
        <f t="shared" si="69"/>
        <v>0</v>
      </c>
      <c r="AS432" s="53">
        <f t="shared" si="69"/>
        <v>26434407.481600001</v>
      </c>
      <c r="AT432" s="53">
        <f t="shared" si="69"/>
        <v>25389565.984800003</v>
      </c>
      <c r="AU432" s="53">
        <f t="shared" si="72"/>
        <v>0</v>
      </c>
      <c r="AV432" s="53">
        <f t="shared" si="72"/>
        <v>0</v>
      </c>
      <c r="AW432" s="53">
        <f t="shared" si="72"/>
        <v>0</v>
      </c>
      <c r="AX432" s="53">
        <f t="shared" si="70"/>
        <v>0</v>
      </c>
      <c r="AY432" s="41" t="s">
        <v>557</v>
      </c>
    </row>
    <row r="433" spans="1:51" x14ac:dyDescent="0.2">
      <c r="A433" s="41" t="s">
        <v>583</v>
      </c>
      <c r="B433" s="41">
        <v>1958</v>
      </c>
      <c r="C433" s="41" t="s">
        <v>91</v>
      </c>
      <c r="D433" s="41" t="s">
        <v>88</v>
      </c>
      <c r="E433" s="41">
        <v>0</v>
      </c>
      <c r="F433" s="41" t="s">
        <v>584</v>
      </c>
      <c r="G433" s="53">
        <v>1930551.3840000001</v>
      </c>
      <c r="J433" s="53">
        <v>143.1822349536688</v>
      </c>
      <c r="L433" s="46">
        <v>12.737038519681224</v>
      </c>
      <c r="M433" s="46">
        <v>11.464705953616258</v>
      </c>
      <c r="S433" s="53">
        <v>2892.5520000000001</v>
      </c>
      <c r="T433" s="45">
        <v>263.82130000000001</v>
      </c>
      <c r="U433" s="53">
        <v>271831.0428</v>
      </c>
      <c r="X433" s="76">
        <f t="shared" si="71"/>
        <v>477503.74400000001</v>
      </c>
      <c r="Y433" s="53">
        <v>238751.872</v>
      </c>
      <c r="Z433" s="76">
        <f t="shared" si="67"/>
        <v>418604.19199999998</v>
      </c>
      <c r="AA433" s="53">
        <v>209302.09599999999</v>
      </c>
      <c r="AO433" s="53">
        <f t="shared" si="69"/>
        <v>0</v>
      </c>
      <c r="AP433" s="53">
        <f t="shared" si="69"/>
        <v>0</v>
      </c>
      <c r="AQ433" s="53">
        <f t="shared" si="69"/>
        <v>276420661.85401851</v>
      </c>
      <c r="AR433" s="53">
        <f t="shared" si="69"/>
        <v>0</v>
      </c>
      <c r="AS433" s="53">
        <f t="shared" si="69"/>
        <v>24589507.342231899</v>
      </c>
      <c r="AT433" s="53">
        <f t="shared" si="69"/>
        <v>22133203.945906907</v>
      </c>
      <c r="AU433" s="53">
        <f t="shared" si="72"/>
        <v>0</v>
      </c>
      <c r="AV433" s="53">
        <f t="shared" si="72"/>
        <v>0</v>
      </c>
      <c r="AW433" s="53">
        <f t="shared" si="72"/>
        <v>0</v>
      </c>
      <c r="AX433" s="53">
        <f t="shared" si="70"/>
        <v>0</v>
      </c>
      <c r="AY433" s="41" t="s">
        <v>557</v>
      </c>
    </row>
    <row r="434" spans="1:51" x14ac:dyDescent="0.2">
      <c r="A434" s="41" t="s">
        <v>583</v>
      </c>
      <c r="B434" s="41">
        <v>1959</v>
      </c>
      <c r="C434" s="41" t="s">
        <v>91</v>
      </c>
      <c r="D434" s="41" t="s">
        <v>88</v>
      </c>
      <c r="E434" s="41">
        <v>0</v>
      </c>
      <c r="F434" s="41" t="s">
        <v>584</v>
      </c>
      <c r="G434" s="53">
        <v>1914311.64</v>
      </c>
      <c r="J434" s="53">
        <v>138.89161282120187</v>
      </c>
      <c r="L434" s="46">
        <v>13.015672061629422</v>
      </c>
      <c r="M434" s="46">
        <v>11.255073117269454</v>
      </c>
      <c r="S434" s="53">
        <v>2691.384</v>
      </c>
      <c r="T434" s="45">
        <v>253.02960000000002</v>
      </c>
      <c r="U434" s="53">
        <v>259422.54710000003</v>
      </c>
      <c r="X434" s="76">
        <f t="shared" si="71"/>
        <v>480314</v>
      </c>
      <c r="Y434" s="53">
        <v>240157</v>
      </c>
      <c r="Z434" s="76">
        <f t="shared" si="67"/>
        <v>403762.46399999998</v>
      </c>
      <c r="AA434" s="53">
        <v>201881.23199999999</v>
      </c>
      <c r="AO434" s="53">
        <f t="shared" si="69"/>
        <v>0</v>
      </c>
      <c r="AP434" s="53">
        <f t="shared" si="69"/>
        <v>0</v>
      </c>
      <c r="AQ434" s="53">
        <f t="shared" si="69"/>
        <v>265881831.12199998</v>
      </c>
      <c r="AR434" s="53">
        <f t="shared" si="69"/>
        <v>0</v>
      </c>
      <c r="AS434" s="53">
        <f t="shared" si="69"/>
        <v>24916052.529999997</v>
      </c>
      <c r="AT434" s="53">
        <f t="shared" si="69"/>
        <v>21545717.47744</v>
      </c>
      <c r="AU434" s="53">
        <f t="shared" si="72"/>
        <v>0</v>
      </c>
      <c r="AV434" s="53">
        <f t="shared" si="72"/>
        <v>0</v>
      </c>
      <c r="AW434" s="53">
        <f t="shared" si="72"/>
        <v>0</v>
      </c>
      <c r="AX434" s="53">
        <f t="shared" si="70"/>
        <v>0</v>
      </c>
      <c r="AY434" s="41" t="s">
        <v>557</v>
      </c>
    </row>
    <row r="435" spans="1:51" x14ac:dyDescent="0.2">
      <c r="A435" s="41" t="s">
        <v>583</v>
      </c>
      <c r="B435" s="41">
        <v>1960</v>
      </c>
      <c r="C435" s="41" t="s">
        <v>91</v>
      </c>
      <c r="D435" s="41" t="s">
        <v>88</v>
      </c>
      <c r="E435" s="41">
        <v>0</v>
      </c>
      <c r="F435" s="41" t="s">
        <v>584</v>
      </c>
      <c r="G435" s="53">
        <v>2033321.8160000001</v>
      </c>
      <c r="J435" s="53">
        <v>122.60027323727279</v>
      </c>
      <c r="L435" s="46">
        <v>11.315505863381114</v>
      </c>
      <c r="M435" s="46">
        <v>11.82246806399043</v>
      </c>
      <c r="S435" s="53">
        <v>2590.8000000000002</v>
      </c>
      <c r="T435" s="45">
        <v>230.1711</v>
      </c>
      <c r="U435" s="53">
        <v>254333.84070000003</v>
      </c>
      <c r="X435" s="76">
        <f t="shared" si="71"/>
        <v>457915.26400000002</v>
      </c>
      <c r="Y435" s="53">
        <v>228957.63200000001</v>
      </c>
      <c r="Z435" s="76">
        <f t="shared" si="67"/>
        <v>464779.36</v>
      </c>
      <c r="AA435" s="53">
        <v>232389.68</v>
      </c>
      <c r="AO435" s="53">
        <f t="shared" si="69"/>
        <v>0</v>
      </c>
      <c r="AP435" s="53">
        <f t="shared" si="69"/>
        <v>0</v>
      </c>
      <c r="AQ435" s="53">
        <f t="shared" si="69"/>
        <v>249285810.22090772</v>
      </c>
      <c r="AR435" s="53">
        <f t="shared" si="69"/>
        <v>0</v>
      </c>
      <c r="AS435" s="53">
        <f t="shared" si="69"/>
        <v>23008064.931088734</v>
      </c>
      <c r="AT435" s="53">
        <f t="shared" si="69"/>
        <v>24038882.233475026</v>
      </c>
      <c r="AU435" s="53">
        <f t="shared" si="72"/>
        <v>0</v>
      </c>
      <c r="AV435" s="53">
        <f t="shared" si="72"/>
        <v>0</v>
      </c>
      <c r="AW435" s="53">
        <f t="shared" si="72"/>
        <v>0</v>
      </c>
      <c r="AX435" s="53">
        <f t="shared" si="70"/>
        <v>0</v>
      </c>
      <c r="AY435" s="41" t="s">
        <v>557</v>
      </c>
    </row>
    <row r="436" spans="1:51" x14ac:dyDescent="0.2">
      <c r="A436" s="41" t="s">
        <v>583</v>
      </c>
      <c r="B436" s="41">
        <v>1961</v>
      </c>
      <c r="C436" s="41" t="s">
        <v>91</v>
      </c>
      <c r="D436" s="41" t="s">
        <v>88</v>
      </c>
      <c r="E436" s="41">
        <v>0</v>
      </c>
      <c r="F436" s="41" t="s">
        <v>584</v>
      </c>
      <c r="G436" s="53">
        <v>1938791.1440000001</v>
      </c>
      <c r="J436" s="53">
        <v>118.38416089598149</v>
      </c>
      <c r="L436" s="46">
        <v>10.971737814416176</v>
      </c>
      <c r="M436" s="46">
        <v>12.126160316812342</v>
      </c>
      <c r="S436" s="53">
        <v>2463.8000000000002</v>
      </c>
      <c r="T436" s="45">
        <v>211.72880000000001</v>
      </c>
      <c r="U436" s="53">
        <v>224453.92480000001</v>
      </c>
      <c r="X436" s="76">
        <f t="shared" si="71"/>
        <v>411796.99200000003</v>
      </c>
      <c r="Y436" s="53">
        <v>205898.49600000001</v>
      </c>
      <c r="Z436" s="76">
        <f t="shared" ref="Z436:Z490" si="73">AA436*2</f>
        <v>449106.54399999999</v>
      </c>
      <c r="AA436" s="53">
        <v>224553.272</v>
      </c>
      <c r="AO436" s="53">
        <f t="shared" si="69"/>
        <v>0</v>
      </c>
      <c r="AP436" s="53">
        <f t="shared" si="69"/>
        <v>0</v>
      </c>
      <c r="AQ436" s="53">
        <f t="shared" si="69"/>
        <v>229522162.73500004</v>
      </c>
      <c r="AR436" s="53">
        <f t="shared" si="69"/>
        <v>0</v>
      </c>
      <c r="AS436" s="53">
        <f t="shared" si="69"/>
        <v>21271908.108879998</v>
      </c>
      <c r="AT436" s="53">
        <f t="shared" si="69"/>
        <v>23510092.232960004</v>
      </c>
      <c r="AU436" s="53">
        <f t="shared" si="72"/>
        <v>0</v>
      </c>
      <c r="AV436" s="53">
        <f t="shared" si="72"/>
        <v>0</v>
      </c>
      <c r="AW436" s="53">
        <f t="shared" si="72"/>
        <v>0</v>
      </c>
      <c r="AX436" s="53">
        <f t="shared" si="70"/>
        <v>0</v>
      </c>
      <c r="AY436" s="41" t="s">
        <v>557</v>
      </c>
    </row>
    <row r="437" spans="1:51" x14ac:dyDescent="0.2">
      <c r="A437" s="41" t="s">
        <v>583</v>
      </c>
      <c r="B437" s="41">
        <v>1962</v>
      </c>
      <c r="C437" s="41" t="s">
        <v>91</v>
      </c>
      <c r="D437" s="41" t="s">
        <v>88</v>
      </c>
      <c r="E437" s="41">
        <v>0</v>
      </c>
      <c r="F437" s="41" t="s">
        <v>584</v>
      </c>
      <c r="G437" s="53">
        <v>2260195.6320000002</v>
      </c>
      <c r="J437" s="53">
        <v>135.81689609789356</v>
      </c>
      <c r="L437" s="46">
        <v>13.271931172740951</v>
      </c>
      <c r="M437" s="46">
        <v>11.228199279093953</v>
      </c>
      <c r="S437" s="53">
        <v>3526.5360000000001</v>
      </c>
      <c r="T437" s="45">
        <v>335.94220000000001</v>
      </c>
      <c r="U437" s="53">
        <v>307320.99440000003</v>
      </c>
      <c r="X437" s="76">
        <f t="shared" si="71"/>
        <v>590826.35199999996</v>
      </c>
      <c r="Y437" s="53">
        <v>295413.17599999998</v>
      </c>
      <c r="Z437" s="76">
        <f t="shared" si="73"/>
        <v>491575.34399999998</v>
      </c>
      <c r="AA437" s="53">
        <v>245787.67199999999</v>
      </c>
      <c r="AO437" s="53">
        <f t="shared" si="69"/>
        <v>0</v>
      </c>
      <c r="AP437" s="53">
        <f t="shared" si="69"/>
        <v>0</v>
      </c>
      <c r="AQ437" s="53">
        <f t="shared" si="69"/>
        <v>306972755.31225687</v>
      </c>
      <c r="AR437" s="53">
        <f t="shared" si="69"/>
        <v>0</v>
      </c>
      <c r="AS437" s="53">
        <f t="shared" si="69"/>
        <v>29997160.864833739</v>
      </c>
      <c r="AT437" s="53">
        <f t="shared" si="69"/>
        <v>25377926.965833705</v>
      </c>
      <c r="AU437" s="53">
        <f t="shared" si="72"/>
        <v>0</v>
      </c>
      <c r="AV437" s="53">
        <f t="shared" si="72"/>
        <v>0</v>
      </c>
      <c r="AW437" s="53">
        <f t="shared" si="72"/>
        <v>0</v>
      </c>
      <c r="AX437" s="53">
        <f t="shared" si="70"/>
        <v>0</v>
      </c>
      <c r="AY437" s="41" t="s">
        <v>557</v>
      </c>
    </row>
    <row r="438" spans="1:51" x14ac:dyDescent="0.2">
      <c r="A438" s="41" t="s">
        <v>583</v>
      </c>
      <c r="B438" s="41">
        <v>1963</v>
      </c>
      <c r="C438" s="41" t="s">
        <v>91</v>
      </c>
      <c r="D438" s="41" t="s">
        <v>88</v>
      </c>
      <c r="E438" s="41">
        <v>0</v>
      </c>
      <c r="F438" s="41" t="s">
        <v>584</v>
      </c>
      <c r="G438" s="53">
        <v>2497624.6720000003</v>
      </c>
      <c r="J438" s="53">
        <v>137.6353249865594</v>
      </c>
      <c r="L438" s="46">
        <v>13.503059499760989</v>
      </c>
      <c r="M438" s="46">
        <v>11.207235399649564</v>
      </c>
      <c r="S438" s="53">
        <v>3806.9520000000002</v>
      </c>
      <c r="T438" s="45">
        <v>344.42317000000003</v>
      </c>
      <c r="U438" s="53">
        <v>355312.0575</v>
      </c>
      <c r="X438" s="76">
        <f t="shared" si="71"/>
        <v>667434.78399999999</v>
      </c>
      <c r="Y438" s="53">
        <v>333717.39199999999</v>
      </c>
      <c r="Z438" s="76">
        <f t="shared" si="73"/>
        <v>539774.38399999996</v>
      </c>
      <c r="AA438" s="53">
        <v>269887.19199999998</v>
      </c>
      <c r="AO438" s="53">
        <f t="shared" si="69"/>
        <v>0</v>
      </c>
      <c r="AP438" s="53">
        <f t="shared" si="69"/>
        <v>0</v>
      </c>
      <c r="AQ438" s="53">
        <f t="shared" si="69"/>
        <v>343761383.42516887</v>
      </c>
      <c r="AR438" s="53">
        <f t="shared" si="69"/>
        <v>0</v>
      </c>
      <c r="AS438" s="53">
        <f t="shared" si="69"/>
        <v>33725574.554087028</v>
      </c>
      <c r="AT438" s="53">
        <f t="shared" si="69"/>
        <v>27991467.639076535</v>
      </c>
      <c r="AU438" s="53">
        <f t="shared" si="72"/>
        <v>0</v>
      </c>
      <c r="AV438" s="53">
        <f t="shared" si="72"/>
        <v>0</v>
      </c>
      <c r="AW438" s="53">
        <f t="shared" si="72"/>
        <v>0</v>
      </c>
      <c r="AX438" s="53">
        <f t="shared" si="70"/>
        <v>0</v>
      </c>
      <c r="AY438" s="41" t="s">
        <v>557</v>
      </c>
    </row>
    <row r="439" spans="1:51" x14ac:dyDescent="0.2">
      <c r="A439" s="41" t="s">
        <v>583</v>
      </c>
      <c r="B439" s="41">
        <v>1964</v>
      </c>
      <c r="C439" s="41" t="s">
        <v>91</v>
      </c>
      <c r="D439" s="41" t="s">
        <v>88</v>
      </c>
      <c r="E439" s="41">
        <v>0</v>
      </c>
      <c r="F439" s="41" t="s">
        <v>584</v>
      </c>
      <c r="G439" s="53">
        <v>2400874.04</v>
      </c>
      <c r="J439" s="53">
        <v>141.57333832890291</v>
      </c>
      <c r="L439" s="46">
        <v>13.022626571846308</v>
      </c>
      <c r="M439" s="46">
        <v>11.529923751568409</v>
      </c>
      <c r="S439" s="53">
        <v>3398.52</v>
      </c>
      <c r="T439" s="45">
        <v>308.512</v>
      </c>
      <c r="U439" s="53">
        <v>333339.50319999998</v>
      </c>
      <c r="X439" s="76">
        <f t="shared" si="71"/>
        <v>602142.56000000006</v>
      </c>
      <c r="Y439" s="53">
        <v>301071.28000000003</v>
      </c>
      <c r="Z439" s="76">
        <f t="shared" si="73"/>
        <v>520194.03200000001</v>
      </c>
      <c r="AA439" s="53">
        <v>260097.016</v>
      </c>
      <c r="AO439" s="53">
        <f t="shared" si="69"/>
        <v>0</v>
      </c>
      <c r="AP439" s="53">
        <f t="shared" si="69"/>
        <v>0</v>
      </c>
      <c r="AQ439" s="53">
        <f t="shared" si="69"/>
        <v>339899752.75</v>
      </c>
      <c r="AR439" s="53">
        <f t="shared" si="69"/>
        <v>0</v>
      </c>
      <c r="AS439" s="53">
        <f t="shared" si="69"/>
        <v>31265686.068959996</v>
      </c>
      <c r="AT439" s="53">
        <f t="shared" si="69"/>
        <v>27681894.618320003</v>
      </c>
      <c r="AU439" s="53">
        <f t="shared" si="72"/>
        <v>0</v>
      </c>
      <c r="AV439" s="53">
        <f t="shared" si="72"/>
        <v>0</v>
      </c>
      <c r="AW439" s="53">
        <f t="shared" si="72"/>
        <v>0</v>
      </c>
      <c r="AX439" s="53">
        <f t="shared" si="70"/>
        <v>0</v>
      </c>
      <c r="AY439" s="41" t="s">
        <v>557</v>
      </c>
    </row>
    <row r="440" spans="1:51" x14ac:dyDescent="0.2">
      <c r="A440" s="41" t="s">
        <v>583</v>
      </c>
      <c r="B440" s="41">
        <v>1965</v>
      </c>
      <c r="C440" s="41" t="s">
        <v>91</v>
      </c>
      <c r="D440" s="41" t="s">
        <v>88</v>
      </c>
      <c r="E440" s="41">
        <v>0</v>
      </c>
      <c r="F440" s="41" t="s">
        <v>584</v>
      </c>
      <c r="G440" s="53">
        <v>2530470.9360000002</v>
      </c>
      <c r="J440" s="53">
        <v>132.91795731312428</v>
      </c>
      <c r="L440" s="46">
        <v>12.23798051096842</v>
      </c>
      <c r="M440" s="46">
        <v>11.737133252931562</v>
      </c>
      <c r="S440" s="53">
        <v>3221.7359999999999</v>
      </c>
      <c r="T440" s="45">
        <v>295.17632000000009</v>
      </c>
      <c r="U440" s="53">
        <v>316613.95429999998</v>
      </c>
      <c r="X440" s="76">
        <f t="shared" si="71"/>
        <v>601159.07200000004</v>
      </c>
      <c r="Y440" s="53">
        <v>300579.53600000002</v>
      </c>
      <c r="Z440" s="76">
        <f t="shared" si="73"/>
        <v>549432.48</v>
      </c>
      <c r="AA440" s="53">
        <v>274716.24</v>
      </c>
      <c r="AO440" s="53">
        <f t="shared" si="69"/>
        <v>0</v>
      </c>
      <c r="AP440" s="53">
        <f t="shared" si="69"/>
        <v>0</v>
      </c>
      <c r="AQ440" s="53">
        <f t="shared" si="69"/>
        <v>336345027.85334969</v>
      </c>
      <c r="AR440" s="53">
        <f t="shared" si="69"/>
        <v>0</v>
      </c>
      <c r="AS440" s="53">
        <f t="shared" si="69"/>
        <v>30967853.998340018</v>
      </c>
      <c r="AT440" s="53">
        <f t="shared" si="69"/>
        <v>29700474.568502456</v>
      </c>
      <c r="AU440" s="53">
        <f t="shared" si="72"/>
        <v>0</v>
      </c>
      <c r="AV440" s="53">
        <f t="shared" si="72"/>
        <v>0</v>
      </c>
      <c r="AW440" s="53">
        <f t="shared" si="72"/>
        <v>0</v>
      </c>
      <c r="AX440" s="53">
        <f t="shared" si="70"/>
        <v>0</v>
      </c>
      <c r="AY440" s="41" t="s">
        <v>557</v>
      </c>
    </row>
    <row r="441" spans="1:51" x14ac:dyDescent="0.2">
      <c r="A441" s="41" t="s">
        <v>583</v>
      </c>
      <c r="B441" s="41">
        <v>1966</v>
      </c>
      <c r="C441" s="41" t="s">
        <v>91</v>
      </c>
      <c r="D441" s="41" t="s">
        <v>88</v>
      </c>
      <c r="E441" s="41">
        <v>0</v>
      </c>
      <c r="F441" s="41" t="s">
        <v>584</v>
      </c>
      <c r="G441" s="53">
        <v>2497484.4640000002</v>
      </c>
      <c r="J441" s="53">
        <v>133.01676796016298</v>
      </c>
      <c r="L441" s="46">
        <v>11.95696737877285</v>
      </c>
      <c r="M441" s="46">
        <v>11.840972034298909</v>
      </c>
      <c r="S441" s="53">
        <v>3083.56</v>
      </c>
      <c r="T441" s="45">
        <v>276.81488000000002</v>
      </c>
      <c r="U441" s="53">
        <v>303438.62590000004</v>
      </c>
      <c r="X441" s="76">
        <f t="shared" si="71"/>
        <v>568758.83200000005</v>
      </c>
      <c r="Y441" s="53">
        <v>284379.41600000003</v>
      </c>
      <c r="Z441" s="76">
        <f t="shared" si="73"/>
        <v>551592.49600000004</v>
      </c>
      <c r="AA441" s="53">
        <v>275796.24800000002</v>
      </c>
      <c r="AO441" s="53">
        <f t="shared" si="69"/>
        <v>0</v>
      </c>
      <c r="AP441" s="53">
        <f t="shared" si="69"/>
        <v>0</v>
      </c>
      <c r="AQ441" s="53">
        <f t="shared" si="69"/>
        <v>332207311.43200004</v>
      </c>
      <c r="AR441" s="53">
        <f t="shared" si="69"/>
        <v>0</v>
      </c>
      <c r="AS441" s="53">
        <f t="shared" si="69"/>
        <v>29862340.265039999</v>
      </c>
      <c r="AT441" s="53">
        <f t="shared" si="69"/>
        <v>29572643.694320004</v>
      </c>
      <c r="AU441" s="53">
        <f t="shared" si="72"/>
        <v>0</v>
      </c>
      <c r="AV441" s="53">
        <f t="shared" si="72"/>
        <v>0</v>
      </c>
      <c r="AW441" s="53">
        <f t="shared" si="72"/>
        <v>0</v>
      </c>
      <c r="AX441" s="53">
        <f t="shared" si="70"/>
        <v>0</v>
      </c>
      <c r="AY441" s="41" t="s">
        <v>557</v>
      </c>
    </row>
    <row r="442" spans="1:51" x14ac:dyDescent="0.2">
      <c r="A442" s="41" t="s">
        <v>583</v>
      </c>
      <c r="B442" s="41">
        <v>1967</v>
      </c>
      <c r="C442" s="41" t="s">
        <v>91</v>
      </c>
      <c r="D442" s="41" t="s">
        <v>88</v>
      </c>
      <c r="E442" s="41">
        <v>0</v>
      </c>
      <c r="F442" s="41" t="s">
        <v>584</v>
      </c>
      <c r="G442" s="53">
        <v>2601473.08</v>
      </c>
      <c r="J442" s="53">
        <v>117.78464888183576</v>
      </c>
      <c r="L442" s="46">
        <v>10.948767405500368</v>
      </c>
      <c r="M442" s="46">
        <v>11.628417069522197</v>
      </c>
      <c r="S442" s="53">
        <v>3582.4160000000002</v>
      </c>
      <c r="T442" s="45">
        <v>305.74721</v>
      </c>
      <c r="U442" s="53">
        <v>320470.32319999998</v>
      </c>
      <c r="X442" s="76">
        <f t="shared" si="71"/>
        <v>566889.39199999999</v>
      </c>
      <c r="Y442" s="53">
        <v>283444.696</v>
      </c>
      <c r="Z442" s="76">
        <f t="shared" si="73"/>
        <v>595766.14399999997</v>
      </c>
      <c r="AA442" s="53">
        <v>297883.07199999999</v>
      </c>
      <c r="AO442" s="53">
        <f t="shared" si="69"/>
        <v>0</v>
      </c>
      <c r="AP442" s="53">
        <f t="shared" si="69"/>
        <v>0</v>
      </c>
      <c r="AQ442" s="53">
        <f t="shared" si="69"/>
        <v>306413593.30334783</v>
      </c>
      <c r="AR442" s="53">
        <f t="shared" si="69"/>
        <v>0</v>
      </c>
      <c r="AS442" s="53">
        <f t="shared" si="69"/>
        <v>28482923.664590653</v>
      </c>
      <c r="AT442" s="53">
        <f t="shared" si="69"/>
        <v>30251013.969374485</v>
      </c>
      <c r="AU442" s="53">
        <f t="shared" si="72"/>
        <v>0</v>
      </c>
      <c r="AV442" s="53">
        <f t="shared" si="72"/>
        <v>0</v>
      </c>
      <c r="AW442" s="53">
        <f t="shared" si="72"/>
        <v>0</v>
      </c>
      <c r="AX442" s="53">
        <f t="shared" si="70"/>
        <v>0</v>
      </c>
      <c r="AY442" s="41" t="s">
        <v>557</v>
      </c>
    </row>
    <row r="443" spans="1:51" x14ac:dyDescent="0.2">
      <c r="A443" s="41" t="s">
        <v>583</v>
      </c>
      <c r="B443" s="41">
        <v>1968</v>
      </c>
      <c r="C443" s="41" t="s">
        <v>91</v>
      </c>
      <c r="D443" s="41" t="s">
        <v>88</v>
      </c>
      <c r="E443" s="41">
        <v>0</v>
      </c>
      <c r="F443" s="41" t="s">
        <v>584</v>
      </c>
      <c r="G443" s="53">
        <v>2428051.0240000002</v>
      </c>
      <c r="J443" s="53">
        <v>117.42184313256837</v>
      </c>
      <c r="L443" s="46">
        <v>10.442102222181308</v>
      </c>
      <c r="M443" s="46">
        <v>11.756865220473225</v>
      </c>
      <c r="S443" s="53">
        <v>3345.6880000000001</v>
      </c>
      <c r="T443" s="45">
        <v>265.62510000000003</v>
      </c>
      <c r="U443" s="53">
        <v>285249.41769999999</v>
      </c>
      <c r="X443" s="76">
        <f t="shared" si="71"/>
        <v>498352.06400000001</v>
      </c>
      <c r="Y443" s="53">
        <v>249176.03200000001</v>
      </c>
      <c r="Z443" s="76">
        <f t="shared" si="73"/>
        <v>551043.85600000003</v>
      </c>
      <c r="AA443" s="53">
        <v>275521.92800000001</v>
      </c>
      <c r="AO443" s="53">
        <f t="shared" si="69"/>
        <v>0</v>
      </c>
      <c r="AP443" s="53">
        <f t="shared" si="69"/>
        <v>0</v>
      </c>
      <c r="AQ443" s="53">
        <f t="shared" si="69"/>
        <v>285106226.458</v>
      </c>
      <c r="AR443" s="53">
        <f t="shared" si="69"/>
        <v>0</v>
      </c>
      <c r="AS443" s="53">
        <f t="shared" si="69"/>
        <v>25353956.993280005</v>
      </c>
      <c r="AT443" s="53">
        <f t="shared" si="69"/>
        <v>28546268.637600001</v>
      </c>
      <c r="AU443" s="53">
        <f t="shared" si="72"/>
        <v>0</v>
      </c>
      <c r="AV443" s="53">
        <f t="shared" si="72"/>
        <v>0</v>
      </c>
      <c r="AW443" s="53">
        <f t="shared" si="72"/>
        <v>0</v>
      </c>
      <c r="AX443" s="53">
        <f t="shared" si="70"/>
        <v>0</v>
      </c>
      <c r="AY443" s="41" t="s">
        <v>557</v>
      </c>
    </row>
    <row r="444" spans="1:51" x14ac:dyDescent="0.2">
      <c r="A444" s="41" t="s">
        <v>583</v>
      </c>
      <c r="B444" s="41">
        <v>1969</v>
      </c>
      <c r="C444" s="41" t="s">
        <v>91</v>
      </c>
      <c r="D444" s="41" t="s">
        <v>88</v>
      </c>
      <c r="E444" s="41">
        <v>0</v>
      </c>
      <c r="F444" s="41" t="s">
        <v>584</v>
      </c>
      <c r="G444" s="53">
        <v>2745138.5279999999</v>
      </c>
      <c r="J444" s="53">
        <v>110.4473231581849</v>
      </c>
      <c r="L444" s="46">
        <v>10.262542884509761</v>
      </c>
      <c r="M444" s="46">
        <v>12.506810890674293</v>
      </c>
      <c r="S444" s="53">
        <v>3752.0880000000002</v>
      </c>
      <c r="T444" s="45">
        <v>317.15780000000001</v>
      </c>
      <c r="U444" s="53">
        <v>318240.98190000001</v>
      </c>
      <c r="X444" s="76">
        <f t="shared" si="71"/>
        <v>563189.12</v>
      </c>
      <c r="Y444" s="53">
        <v>281594.56</v>
      </c>
      <c r="Z444" s="76">
        <f t="shared" si="73"/>
        <v>679962.06400000001</v>
      </c>
      <c r="AA444" s="53">
        <v>339981.03200000001</v>
      </c>
      <c r="AO444" s="53">
        <f t="shared" si="69"/>
        <v>0</v>
      </c>
      <c r="AP444" s="53">
        <f t="shared" si="69"/>
        <v>0</v>
      </c>
      <c r="AQ444" s="53">
        <f t="shared" si="69"/>
        <v>303193202.116</v>
      </c>
      <c r="AR444" s="53">
        <f t="shared" si="69"/>
        <v>0</v>
      </c>
      <c r="AS444" s="53">
        <f t="shared" si="69"/>
        <v>28172101.867520001</v>
      </c>
      <c r="AT444" s="53">
        <f t="shared" si="69"/>
        <v>34332928.4384</v>
      </c>
      <c r="AU444" s="53">
        <f t="shared" si="72"/>
        <v>0</v>
      </c>
      <c r="AV444" s="53">
        <f t="shared" si="72"/>
        <v>0</v>
      </c>
      <c r="AW444" s="53">
        <f t="shared" si="72"/>
        <v>0</v>
      </c>
      <c r="AX444" s="53">
        <f t="shared" si="70"/>
        <v>0</v>
      </c>
      <c r="AY444" s="41" t="s">
        <v>557</v>
      </c>
    </row>
    <row r="445" spans="1:51" x14ac:dyDescent="0.2">
      <c r="A445" s="41" t="s">
        <v>583</v>
      </c>
      <c r="B445" s="41">
        <v>1970</v>
      </c>
      <c r="C445" s="41" t="s">
        <v>91</v>
      </c>
      <c r="D445" s="41" t="s">
        <v>88</v>
      </c>
      <c r="E445" s="41">
        <v>0</v>
      </c>
      <c r="F445" s="41" t="s">
        <v>584</v>
      </c>
      <c r="G445" s="53">
        <v>2813425.92</v>
      </c>
      <c r="J445" s="53">
        <v>108.35913743909774</v>
      </c>
      <c r="L445" s="46">
        <v>10.096569733344889</v>
      </c>
      <c r="M445" s="46">
        <v>12.231763668602298</v>
      </c>
      <c r="S445" s="53">
        <v>4098.5439999999999</v>
      </c>
      <c r="T445" s="45">
        <v>319.55250000000001</v>
      </c>
      <c r="U445" s="53">
        <v>321011.05890000006</v>
      </c>
      <c r="X445" s="76">
        <f t="shared" si="71"/>
        <v>551293.79200000002</v>
      </c>
      <c r="Y445" s="53">
        <v>275646.89600000001</v>
      </c>
      <c r="Z445" s="76">
        <f t="shared" si="73"/>
        <v>569012.83200000005</v>
      </c>
      <c r="AA445" s="53">
        <v>284506.41600000003</v>
      </c>
      <c r="AO445" s="53">
        <f t="shared" si="69"/>
        <v>0</v>
      </c>
      <c r="AP445" s="53">
        <f t="shared" si="69"/>
        <v>0</v>
      </c>
      <c r="AQ445" s="53">
        <f t="shared" si="69"/>
        <v>304860405.94</v>
      </c>
      <c r="AR445" s="53">
        <f t="shared" si="69"/>
        <v>0</v>
      </c>
      <c r="AS445" s="53">
        <f t="shared" si="69"/>
        <v>28405950.990879998</v>
      </c>
      <c r="AT445" s="53">
        <f t="shared" si="69"/>
        <v>34413160.952559993</v>
      </c>
      <c r="AU445" s="53">
        <f t="shared" si="72"/>
        <v>0</v>
      </c>
      <c r="AV445" s="53">
        <f t="shared" si="72"/>
        <v>0</v>
      </c>
      <c r="AW445" s="53">
        <f t="shared" si="72"/>
        <v>0</v>
      </c>
      <c r="AX445" s="53">
        <f t="shared" si="70"/>
        <v>0</v>
      </c>
      <c r="AY445" s="41" t="s">
        <v>557</v>
      </c>
    </row>
    <row r="446" spans="1:51" x14ac:dyDescent="0.2">
      <c r="A446" s="41" t="s">
        <v>583</v>
      </c>
      <c r="B446" s="41">
        <v>1971</v>
      </c>
      <c r="C446" s="41" t="s">
        <v>91</v>
      </c>
      <c r="D446" s="41" t="s">
        <v>88</v>
      </c>
      <c r="E446" s="41">
        <v>0</v>
      </c>
      <c r="F446" s="41" t="s">
        <v>584</v>
      </c>
      <c r="G446" s="53">
        <v>2604045.5920000002</v>
      </c>
      <c r="J446" s="53">
        <v>108.97083724484959</v>
      </c>
      <c r="L446" s="46">
        <v>9.7746352549729085</v>
      </c>
      <c r="M446" s="46">
        <v>11.326193363576101</v>
      </c>
      <c r="S446" s="53">
        <v>3683</v>
      </c>
      <c r="T446" s="45">
        <v>303.94029999999998</v>
      </c>
      <c r="U446" s="53">
        <v>293305.43729999999</v>
      </c>
      <c r="X446" s="76">
        <f t="shared" si="71"/>
        <v>507146.56</v>
      </c>
      <c r="Y446" s="53">
        <v>253573.28</v>
      </c>
      <c r="Z446" s="76">
        <f t="shared" si="73"/>
        <v>609008.68799999997</v>
      </c>
      <c r="AA446" s="53">
        <v>304504.34399999998</v>
      </c>
      <c r="AO446" s="53">
        <f t="shared" si="69"/>
        <v>0</v>
      </c>
      <c r="AP446" s="53">
        <f t="shared" si="69"/>
        <v>0</v>
      </c>
      <c r="AQ446" s="53">
        <f t="shared" si="69"/>
        <v>283765028.384</v>
      </c>
      <c r="AR446" s="53">
        <f t="shared" si="69"/>
        <v>0</v>
      </c>
      <c r="AS446" s="53">
        <f t="shared" si="69"/>
        <v>25453595.849119999</v>
      </c>
      <c r="AT446" s="53">
        <f t="shared" si="69"/>
        <v>29493923.902559999</v>
      </c>
      <c r="AU446" s="53">
        <f t="shared" si="72"/>
        <v>0</v>
      </c>
      <c r="AV446" s="53">
        <f t="shared" si="72"/>
        <v>0</v>
      </c>
      <c r="AW446" s="53">
        <f t="shared" si="72"/>
        <v>0</v>
      </c>
      <c r="AX446" s="53">
        <f t="shared" si="70"/>
        <v>0</v>
      </c>
      <c r="AY446" s="41" t="s">
        <v>557</v>
      </c>
    </row>
    <row r="447" spans="1:51" x14ac:dyDescent="0.2">
      <c r="A447" s="41" t="s">
        <v>583</v>
      </c>
      <c r="B447" s="41">
        <v>1972</v>
      </c>
      <c r="C447" s="41" t="s">
        <v>91</v>
      </c>
      <c r="D447" s="41" t="s">
        <v>88</v>
      </c>
      <c r="E447" s="41">
        <v>0</v>
      </c>
      <c r="F447" s="41" t="s">
        <v>584</v>
      </c>
      <c r="G447" s="53">
        <v>2859828.5520000001</v>
      </c>
      <c r="J447" s="47">
        <v>109.87419199491927</v>
      </c>
      <c r="L447" s="46">
        <v>9.438138568049375</v>
      </c>
      <c r="M447" s="46">
        <v>11.055506403294347</v>
      </c>
      <c r="S447" s="53">
        <v>3665</v>
      </c>
      <c r="T447" s="53">
        <v>274</v>
      </c>
      <c r="U447" s="53">
        <v>286525</v>
      </c>
      <c r="X447" s="76">
        <f t="shared" si="71"/>
        <v>491048</v>
      </c>
      <c r="Y447" s="53">
        <v>245524</v>
      </c>
      <c r="Z447" s="76">
        <f t="shared" si="73"/>
        <v>599418</v>
      </c>
      <c r="AA447" s="53">
        <v>299709</v>
      </c>
      <c r="AO447" s="53">
        <f t="shared" si="69"/>
        <v>0</v>
      </c>
      <c r="AP447" s="53">
        <f t="shared" si="69"/>
        <v>0</v>
      </c>
      <c r="AQ447" s="53">
        <f t="shared" si="69"/>
        <v>314221351.39499998</v>
      </c>
      <c r="AR447" s="53">
        <f t="shared" si="69"/>
        <v>0</v>
      </c>
      <c r="AS447" s="53">
        <f t="shared" si="69"/>
        <v>26991458.15464</v>
      </c>
      <c r="AT447" s="53">
        <f t="shared" si="69"/>
        <v>31616852.868960001</v>
      </c>
      <c r="AU447" s="53">
        <f t="shared" si="72"/>
        <v>0</v>
      </c>
      <c r="AV447" s="53">
        <f t="shared" si="72"/>
        <v>0</v>
      </c>
      <c r="AW447" s="53">
        <f t="shared" si="72"/>
        <v>0</v>
      </c>
      <c r="AX447" s="53">
        <f t="shared" si="70"/>
        <v>0</v>
      </c>
      <c r="AY447" s="41" t="s">
        <v>557</v>
      </c>
    </row>
    <row r="448" spans="1:51" x14ac:dyDescent="0.2">
      <c r="A448" s="41" t="s">
        <v>583</v>
      </c>
      <c r="B448" s="41">
        <v>1973</v>
      </c>
      <c r="C448" s="41" t="s">
        <v>91</v>
      </c>
      <c r="D448" s="41" t="s">
        <v>88</v>
      </c>
      <c r="E448" s="41">
        <v>0</v>
      </c>
      <c r="F448" s="41" t="s">
        <v>584</v>
      </c>
      <c r="G448" s="53">
        <v>2429307</v>
      </c>
      <c r="J448" s="47">
        <v>111.11925376249276</v>
      </c>
      <c r="L448" s="46">
        <v>10.169144266245477</v>
      </c>
      <c r="M448" s="46">
        <v>11.316972309386998</v>
      </c>
      <c r="S448" s="53">
        <v>3583</v>
      </c>
      <c r="T448" s="53">
        <v>285</v>
      </c>
      <c r="U448" s="53">
        <v>285857</v>
      </c>
      <c r="X448" s="76">
        <f t="shared" si="71"/>
        <v>485352</v>
      </c>
      <c r="Y448" s="53">
        <v>242676</v>
      </c>
      <c r="Z448" s="76">
        <f t="shared" si="73"/>
        <v>560352</v>
      </c>
      <c r="AA448" s="53">
        <v>280176</v>
      </c>
      <c r="AO448" s="53">
        <f t="shared" si="69"/>
        <v>0</v>
      </c>
      <c r="AP448" s="53">
        <f t="shared" si="69"/>
        <v>0</v>
      </c>
      <c r="AQ448" s="53">
        <f t="shared" si="69"/>
        <v>269942781</v>
      </c>
      <c r="AR448" s="53">
        <f t="shared" si="69"/>
        <v>0</v>
      </c>
      <c r="AS448" s="53">
        <f t="shared" si="69"/>
        <v>24703973.350000001</v>
      </c>
      <c r="AT448" s="53">
        <f t="shared" si="69"/>
        <v>27492400.050000001</v>
      </c>
      <c r="AU448" s="53">
        <f t="shared" si="72"/>
        <v>0</v>
      </c>
      <c r="AV448" s="53">
        <f t="shared" si="72"/>
        <v>0</v>
      </c>
      <c r="AW448" s="53">
        <f t="shared" si="72"/>
        <v>0</v>
      </c>
      <c r="AX448" s="53">
        <f t="shared" si="70"/>
        <v>0</v>
      </c>
      <c r="AY448" s="41" t="s">
        <v>557</v>
      </c>
    </row>
    <row r="449" spans="1:51" x14ac:dyDescent="0.2">
      <c r="A449" s="41" t="s">
        <v>583</v>
      </c>
      <c r="B449" s="41">
        <v>1974</v>
      </c>
      <c r="C449" s="41" t="s">
        <v>91</v>
      </c>
      <c r="D449" s="41" t="s">
        <v>88</v>
      </c>
      <c r="E449" s="47">
        <v>0.52104128808346073</v>
      </c>
      <c r="F449" s="41" t="s">
        <v>584</v>
      </c>
      <c r="G449" s="53">
        <v>2466983</v>
      </c>
      <c r="J449" s="47">
        <v>111.06786832337312</v>
      </c>
      <c r="L449" s="46">
        <v>9.4082535874791198</v>
      </c>
      <c r="M449" s="46">
        <v>10.588500844959206</v>
      </c>
      <c r="S449" s="53">
        <v>3348</v>
      </c>
      <c r="T449" s="53">
        <v>265</v>
      </c>
      <c r="U449" s="53">
        <v>255921</v>
      </c>
      <c r="X449" s="76">
        <f t="shared" si="71"/>
        <v>450126</v>
      </c>
      <c r="Y449" s="53">
        <v>225063</v>
      </c>
      <c r="Z449" s="76">
        <f t="shared" si="73"/>
        <v>511968</v>
      </c>
      <c r="AA449" s="53">
        <v>255984</v>
      </c>
      <c r="AO449" s="53">
        <f t="shared" si="69"/>
        <v>0</v>
      </c>
      <c r="AP449" s="53">
        <f t="shared" si="69"/>
        <v>0</v>
      </c>
      <c r="AQ449" s="53">
        <f t="shared" si="69"/>
        <v>274002543</v>
      </c>
      <c r="AR449" s="53">
        <f t="shared" si="69"/>
        <v>0</v>
      </c>
      <c r="AS449" s="53">
        <f t="shared" si="69"/>
        <v>23210001.66</v>
      </c>
      <c r="AT449" s="53">
        <f t="shared" si="69"/>
        <v>26121651.579999998</v>
      </c>
      <c r="AU449" s="53">
        <f t="shared" si="72"/>
        <v>0</v>
      </c>
      <c r="AV449" s="53">
        <f t="shared" si="72"/>
        <v>0</v>
      </c>
      <c r="AW449" s="53">
        <f t="shared" si="72"/>
        <v>0</v>
      </c>
      <c r="AX449" s="53">
        <f t="shared" si="70"/>
        <v>1285400.0000000002</v>
      </c>
      <c r="AY449" s="41" t="s">
        <v>557</v>
      </c>
    </row>
    <row r="450" spans="1:51" x14ac:dyDescent="0.2">
      <c r="A450" s="41" t="s">
        <v>583</v>
      </c>
      <c r="B450" s="41">
        <v>1975</v>
      </c>
      <c r="C450" s="41" t="s">
        <v>91</v>
      </c>
      <c r="D450" s="41" t="s">
        <v>88</v>
      </c>
      <c r="E450" s="47">
        <v>2.0233968376245643</v>
      </c>
      <c r="F450" s="41" t="s">
        <v>584</v>
      </c>
      <c r="G450" s="53">
        <v>2835084</v>
      </c>
      <c r="J450" s="47">
        <v>107.98321178490654</v>
      </c>
      <c r="L450" s="46">
        <v>9.3628722111937428</v>
      </c>
      <c r="M450" s="46">
        <v>10.341938686825506</v>
      </c>
      <c r="S450" s="53">
        <v>3424</v>
      </c>
      <c r="T450" s="53">
        <v>303</v>
      </c>
      <c r="U450" s="53">
        <v>268964</v>
      </c>
      <c r="X450" s="76">
        <f t="shared" si="71"/>
        <v>484740</v>
      </c>
      <c r="Y450" s="53">
        <v>242370</v>
      </c>
      <c r="Z450" s="76">
        <f t="shared" si="73"/>
        <v>560980</v>
      </c>
      <c r="AA450" s="53">
        <v>280490</v>
      </c>
      <c r="AO450" s="53">
        <f t="shared" si="69"/>
        <v>0</v>
      </c>
      <c r="AP450" s="53">
        <f t="shared" si="69"/>
        <v>0</v>
      </c>
      <c r="AQ450" s="53">
        <f t="shared" si="69"/>
        <v>306141476</v>
      </c>
      <c r="AR450" s="53">
        <f t="shared" ref="AR450:AT490" si="74">$G450*K450</f>
        <v>0</v>
      </c>
      <c r="AS450" s="53">
        <f t="shared" si="74"/>
        <v>26544529.199999999</v>
      </c>
      <c r="AT450" s="53">
        <f t="shared" si="74"/>
        <v>29320264.900000002</v>
      </c>
      <c r="AU450" s="53">
        <f t="shared" si="72"/>
        <v>0</v>
      </c>
      <c r="AV450" s="53">
        <f t="shared" si="72"/>
        <v>0</v>
      </c>
      <c r="AW450" s="53">
        <f t="shared" si="72"/>
        <v>0</v>
      </c>
      <c r="AX450" s="53">
        <f t="shared" si="70"/>
        <v>5736500</v>
      </c>
      <c r="AY450" s="41" t="s">
        <v>557</v>
      </c>
    </row>
    <row r="451" spans="1:51" x14ac:dyDescent="0.2">
      <c r="A451" s="41" t="s">
        <v>583</v>
      </c>
      <c r="B451" s="41">
        <v>1976</v>
      </c>
      <c r="C451" s="41" t="s">
        <v>91</v>
      </c>
      <c r="D451" s="41" t="s">
        <v>88</v>
      </c>
      <c r="E451" s="41">
        <v>0</v>
      </c>
      <c r="F451" s="41" t="s">
        <v>584</v>
      </c>
      <c r="G451" s="53">
        <v>2791762</v>
      </c>
      <c r="J451" s="47">
        <v>101.3356256729621</v>
      </c>
      <c r="L451" s="46">
        <v>8.2905866975766553</v>
      </c>
      <c r="M451" s="46">
        <v>9.7962136457190834</v>
      </c>
      <c r="S451" s="53">
        <v>3323</v>
      </c>
      <c r="T451" s="53">
        <v>166</v>
      </c>
      <c r="U451" s="53">
        <v>249558</v>
      </c>
      <c r="X451" s="76">
        <f t="shared" si="71"/>
        <v>432302</v>
      </c>
      <c r="Y451" s="53">
        <v>216151</v>
      </c>
      <c r="Z451" s="76">
        <f t="shared" si="73"/>
        <v>531526</v>
      </c>
      <c r="AA451" s="53">
        <v>265763</v>
      </c>
      <c r="AO451" s="53">
        <f t="shared" ref="AO451:AQ490" si="75">$G451*H451</f>
        <v>0</v>
      </c>
      <c r="AP451" s="53">
        <f t="shared" si="75"/>
        <v>0</v>
      </c>
      <c r="AQ451" s="53">
        <f t="shared" si="75"/>
        <v>282904949</v>
      </c>
      <c r="AR451" s="53">
        <f t="shared" si="74"/>
        <v>0</v>
      </c>
      <c r="AS451" s="53">
        <f t="shared" si="74"/>
        <v>23145344.899999999</v>
      </c>
      <c r="AT451" s="53">
        <f t="shared" si="74"/>
        <v>27348697</v>
      </c>
      <c r="AU451" s="53">
        <f t="shared" si="72"/>
        <v>0</v>
      </c>
      <c r="AV451" s="53">
        <f t="shared" si="72"/>
        <v>0</v>
      </c>
      <c r="AW451" s="53">
        <f t="shared" si="72"/>
        <v>0</v>
      </c>
      <c r="AX451" s="53">
        <f t="shared" si="70"/>
        <v>0</v>
      </c>
      <c r="AY451" s="41" t="s">
        <v>557</v>
      </c>
    </row>
    <row r="452" spans="1:51" x14ac:dyDescent="0.2">
      <c r="A452" s="41" t="s">
        <v>583</v>
      </c>
      <c r="B452" s="41">
        <v>1977</v>
      </c>
      <c r="C452" s="41" t="s">
        <v>91</v>
      </c>
      <c r="D452" s="41" t="s">
        <v>88</v>
      </c>
      <c r="E452" s="47">
        <v>5.8107519673433723</v>
      </c>
      <c r="F452" s="41" t="s">
        <v>584</v>
      </c>
      <c r="G452" s="53">
        <v>2673148</v>
      </c>
      <c r="J452" s="47">
        <v>94.611214193901716</v>
      </c>
      <c r="L452" s="46">
        <v>8.9951943551198799</v>
      </c>
      <c r="M452" s="46">
        <v>10.088751240110911</v>
      </c>
      <c r="S452" s="53">
        <v>3782</v>
      </c>
      <c r="T452" s="53">
        <v>319</v>
      </c>
      <c r="U452" s="53">
        <v>258468</v>
      </c>
      <c r="X452" s="76">
        <f t="shared" si="71"/>
        <v>462212</v>
      </c>
      <c r="Y452" s="53">
        <v>231106</v>
      </c>
      <c r="Z452" s="76">
        <f t="shared" si="73"/>
        <v>547278</v>
      </c>
      <c r="AA452" s="53">
        <v>273639</v>
      </c>
      <c r="AO452" s="53">
        <f t="shared" si="75"/>
        <v>0</v>
      </c>
      <c r="AP452" s="53">
        <f t="shared" si="75"/>
        <v>0</v>
      </c>
      <c r="AQ452" s="53">
        <f t="shared" si="75"/>
        <v>252909778</v>
      </c>
      <c r="AR452" s="53">
        <f t="shared" si="74"/>
        <v>0</v>
      </c>
      <c r="AS452" s="53">
        <f t="shared" si="74"/>
        <v>24045485.799999997</v>
      </c>
      <c r="AT452" s="53">
        <f t="shared" si="74"/>
        <v>26968725.200000003</v>
      </c>
      <c r="AU452" s="53">
        <f t="shared" si="72"/>
        <v>0</v>
      </c>
      <c r="AV452" s="53">
        <f t="shared" si="72"/>
        <v>0</v>
      </c>
      <c r="AW452" s="53">
        <f t="shared" si="72"/>
        <v>0</v>
      </c>
      <c r="AX452" s="53">
        <f t="shared" si="70"/>
        <v>15533000.000000002</v>
      </c>
      <c r="AY452" s="41" t="s">
        <v>557</v>
      </c>
    </row>
    <row r="453" spans="1:51" x14ac:dyDescent="0.2">
      <c r="A453" s="41" t="s">
        <v>583</v>
      </c>
      <c r="B453" s="41">
        <v>1978</v>
      </c>
      <c r="C453" s="41" t="s">
        <v>91</v>
      </c>
      <c r="D453" s="41" t="s">
        <v>88</v>
      </c>
      <c r="E453" s="47">
        <v>9.4824387406766792</v>
      </c>
      <c r="F453" s="41" t="s">
        <v>584</v>
      </c>
      <c r="G453" s="53">
        <v>2697671</v>
      </c>
      <c r="J453" s="47">
        <v>95.5412049875615</v>
      </c>
      <c r="L453" s="46">
        <v>8.7650437358743893</v>
      </c>
      <c r="M453" s="46">
        <v>9.3730840788220657</v>
      </c>
      <c r="S453" s="53">
        <v>3783</v>
      </c>
      <c r="T453" s="41">
        <v>303</v>
      </c>
      <c r="U453" s="53">
        <v>254050</v>
      </c>
      <c r="X453" s="76">
        <f t="shared" si="71"/>
        <v>447388</v>
      </c>
      <c r="Y453" s="53">
        <v>223694</v>
      </c>
      <c r="Z453" s="76">
        <f t="shared" si="73"/>
        <v>501676</v>
      </c>
      <c r="AA453" s="53">
        <v>250838</v>
      </c>
      <c r="AO453" s="53">
        <f t="shared" si="75"/>
        <v>0</v>
      </c>
      <c r="AP453" s="53">
        <f t="shared" si="75"/>
        <v>0</v>
      </c>
      <c r="AQ453" s="53">
        <f t="shared" si="75"/>
        <v>257738738.00000003</v>
      </c>
      <c r="AR453" s="53">
        <f t="shared" si="74"/>
        <v>0</v>
      </c>
      <c r="AS453" s="53">
        <f t="shared" si="74"/>
        <v>23645204.300000001</v>
      </c>
      <c r="AT453" s="53">
        <f t="shared" si="74"/>
        <v>25285497.100000001</v>
      </c>
      <c r="AU453" s="53">
        <f t="shared" si="72"/>
        <v>0</v>
      </c>
      <c r="AV453" s="53">
        <f t="shared" si="72"/>
        <v>0</v>
      </c>
      <c r="AW453" s="53">
        <f t="shared" si="72"/>
        <v>0</v>
      </c>
      <c r="AX453" s="53">
        <f t="shared" si="70"/>
        <v>25580499.999999996</v>
      </c>
      <c r="AY453" s="41" t="s">
        <v>557</v>
      </c>
    </row>
    <row r="454" spans="1:51" x14ac:dyDescent="0.2">
      <c r="A454" s="41" t="s">
        <v>583</v>
      </c>
      <c r="B454" s="41">
        <v>1979</v>
      </c>
      <c r="C454" s="41" t="s">
        <v>91</v>
      </c>
      <c r="D454" s="41" t="s">
        <v>88</v>
      </c>
      <c r="E454" s="47">
        <v>9.3988173455978963</v>
      </c>
      <c r="F454" s="41" t="s">
        <v>584</v>
      </c>
      <c r="G454" s="53">
        <v>2800480</v>
      </c>
      <c r="J454" s="47">
        <v>90.819883734216987</v>
      </c>
      <c r="L454" s="46">
        <v>8.2632283037193623</v>
      </c>
      <c r="M454" s="46">
        <v>9.6814084014168991</v>
      </c>
      <c r="S454" s="53">
        <v>3451</v>
      </c>
      <c r="T454" s="41">
        <v>340</v>
      </c>
      <c r="U454" s="53">
        <v>253518</v>
      </c>
      <c r="X454" s="76">
        <f t="shared" si="71"/>
        <v>449490</v>
      </c>
      <c r="Y454" s="53">
        <v>224745</v>
      </c>
      <c r="Z454" s="76">
        <f t="shared" si="73"/>
        <v>539202</v>
      </c>
      <c r="AA454" s="53">
        <v>269601</v>
      </c>
      <c r="AO454" s="53">
        <f t="shared" si="75"/>
        <v>0</v>
      </c>
      <c r="AP454" s="53">
        <f t="shared" si="75"/>
        <v>0</v>
      </c>
      <c r="AQ454" s="53">
        <f t="shared" si="75"/>
        <v>254339268</v>
      </c>
      <c r="AR454" s="53">
        <f t="shared" si="74"/>
        <v>0</v>
      </c>
      <c r="AS454" s="53">
        <f t="shared" si="74"/>
        <v>23141005.600000001</v>
      </c>
      <c r="AT454" s="53">
        <f t="shared" si="74"/>
        <v>27112590.599999998</v>
      </c>
      <c r="AU454" s="53">
        <f t="shared" si="72"/>
        <v>0</v>
      </c>
      <c r="AV454" s="53">
        <f t="shared" si="72"/>
        <v>0</v>
      </c>
      <c r="AW454" s="53">
        <f t="shared" si="72"/>
        <v>0</v>
      </c>
      <c r="AX454" s="53">
        <f t="shared" si="70"/>
        <v>26321199.999999996</v>
      </c>
      <c r="AY454" s="41" t="s">
        <v>557</v>
      </c>
    </row>
    <row r="455" spans="1:51" x14ac:dyDescent="0.2">
      <c r="A455" s="41" t="s">
        <v>583</v>
      </c>
      <c r="B455" s="41">
        <v>1980</v>
      </c>
      <c r="C455" s="41" t="s">
        <v>91</v>
      </c>
      <c r="D455" s="41" t="s">
        <v>88</v>
      </c>
      <c r="E455" s="47">
        <v>8.2341892651166475</v>
      </c>
      <c r="F455" s="41" t="s">
        <v>584</v>
      </c>
      <c r="G455" s="53">
        <v>2730202</v>
      </c>
      <c r="J455" s="47">
        <v>86.789354047795726</v>
      </c>
      <c r="L455" s="46">
        <v>7.7765473030933245</v>
      </c>
      <c r="M455" s="46">
        <v>9.3346471799522526</v>
      </c>
      <c r="S455" s="53">
        <v>3596</v>
      </c>
      <c r="T455" s="41">
        <v>337</v>
      </c>
      <c r="U455" s="53">
        <v>291856</v>
      </c>
      <c r="X455" s="76">
        <f t="shared" si="71"/>
        <v>419306</v>
      </c>
      <c r="Y455" s="53">
        <v>209653</v>
      </c>
      <c r="Z455" s="76">
        <f t="shared" si="73"/>
        <v>500734</v>
      </c>
      <c r="AA455" s="53">
        <v>250367</v>
      </c>
      <c r="AO455" s="53">
        <f t="shared" si="75"/>
        <v>0</v>
      </c>
      <c r="AP455" s="53">
        <f t="shared" si="75"/>
        <v>0</v>
      </c>
      <c r="AQ455" s="53">
        <f t="shared" si="75"/>
        <v>236952468</v>
      </c>
      <c r="AR455" s="53">
        <f t="shared" si="74"/>
        <v>0</v>
      </c>
      <c r="AS455" s="53">
        <f t="shared" si="74"/>
        <v>21231545</v>
      </c>
      <c r="AT455" s="53">
        <f t="shared" si="74"/>
        <v>25485472.399999999</v>
      </c>
      <c r="AU455" s="53">
        <f t="shared" si="72"/>
        <v>0</v>
      </c>
      <c r="AV455" s="53">
        <f t="shared" si="72"/>
        <v>0</v>
      </c>
      <c r="AW455" s="53">
        <f t="shared" si="72"/>
        <v>0</v>
      </c>
      <c r="AX455" s="53">
        <f t="shared" si="70"/>
        <v>22481000</v>
      </c>
      <c r="AY455" s="41" t="s">
        <v>557</v>
      </c>
    </row>
    <row r="456" spans="1:51" x14ac:dyDescent="0.2">
      <c r="A456" s="41" t="s">
        <v>583</v>
      </c>
      <c r="B456" s="41">
        <v>1981</v>
      </c>
      <c r="C456" s="41" t="s">
        <v>91</v>
      </c>
      <c r="D456" s="41" t="s">
        <v>88</v>
      </c>
      <c r="E456" s="47">
        <v>9.0645909099949691</v>
      </c>
      <c r="F456" s="41" t="s">
        <v>584</v>
      </c>
      <c r="G456" s="53">
        <v>2715026</v>
      </c>
      <c r="J456" s="47">
        <v>84.130754180622944</v>
      </c>
      <c r="L456" s="46">
        <v>7.3220207467626457</v>
      </c>
      <c r="M456" s="46">
        <v>8.4381802605205252</v>
      </c>
      <c r="S456" s="53">
        <v>3576</v>
      </c>
      <c r="T456" s="41">
        <v>301</v>
      </c>
      <c r="U456" s="53">
        <v>225692</v>
      </c>
      <c r="X456" s="76">
        <f t="shared" si="71"/>
        <v>379368</v>
      </c>
      <c r="Y456" s="53">
        <v>189684</v>
      </c>
      <c r="Z456" s="76">
        <f t="shared" si="73"/>
        <v>448842</v>
      </c>
      <c r="AA456" s="53">
        <v>224421</v>
      </c>
      <c r="AO456" s="53">
        <f t="shared" si="75"/>
        <v>0</v>
      </c>
      <c r="AP456" s="53">
        <f t="shared" si="75"/>
        <v>0</v>
      </c>
      <c r="AQ456" s="53">
        <f t="shared" si="75"/>
        <v>228417185</v>
      </c>
      <c r="AR456" s="53">
        <f t="shared" si="74"/>
        <v>0</v>
      </c>
      <c r="AS456" s="53">
        <f t="shared" si="74"/>
        <v>19879476.699999999</v>
      </c>
      <c r="AT456" s="53">
        <f t="shared" si="74"/>
        <v>22909878.800000001</v>
      </c>
      <c r="AU456" s="53">
        <f t="shared" si="72"/>
        <v>0</v>
      </c>
      <c r="AV456" s="53">
        <f t="shared" si="72"/>
        <v>0</v>
      </c>
      <c r="AW456" s="53">
        <f t="shared" si="72"/>
        <v>0</v>
      </c>
      <c r="AX456" s="53">
        <f t="shared" si="70"/>
        <v>24610600</v>
      </c>
      <c r="AY456" s="41" t="s">
        <v>557</v>
      </c>
    </row>
    <row r="457" spans="1:51" x14ac:dyDescent="0.2">
      <c r="A457" s="41" t="s">
        <v>583</v>
      </c>
      <c r="B457" s="41">
        <v>1982</v>
      </c>
      <c r="C457" s="41" t="s">
        <v>91</v>
      </c>
      <c r="D457" s="41" t="s">
        <v>88</v>
      </c>
      <c r="E457" s="47">
        <v>7.8832814562197955</v>
      </c>
      <c r="F457" s="41" t="s">
        <v>584</v>
      </c>
      <c r="G457" s="53">
        <v>3023170</v>
      </c>
      <c r="J457" s="47">
        <v>84.474440074491341</v>
      </c>
      <c r="L457" s="46">
        <v>7.282407307561269</v>
      </c>
      <c r="M457" s="46">
        <v>9.6050479463609388</v>
      </c>
      <c r="S457" s="53">
        <v>3927</v>
      </c>
      <c r="T457" s="41">
        <v>290</v>
      </c>
      <c r="U457" s="53">
        <v>252194</v>
      </c>
      <c r="X457" s="76">
        <f t="shared" si="71"/>
        <v>434144</v>
      </c>
      <c r="Y457" s="53">
        <v>217072</v>
      </c>
      <c r="Z457" s="76">
        <f t="shared" si="73"/>
        <v>573758</v>
      </c>
      <c r="AA457" s="53">
        <v>286879</v>
      </c>
      <c r="AO457" s="53">
        <f t="shared" si="75"/>
        <v>0</v>
      </c>
      <c r="AP457" s="53">
        <f t="shared" si="75"/>
        <v>0</v>
      </c>
      <c r="AQ457" s="53">
        <f t="shared" si="75"/>
        <v>255380593</v>
      </c>
      <c r="AR457" s="53">
        <f t="shared" si="74"/>
        <v>0</v>
      </c>
      <c r="AS457" s="53">
        <f t="shared" si="74"/>
        <v>22015955.300000001</v>
      </c>
      <c r="AT457" s="53">
        <f t="shared" si="74"/>
        <v>29037692.800000001</v>
      </c>
      <c r="AU457" s="53">
        <f t="shared" si="72"/>
        <v>0</v>
      </c>
      <c r="AV457" s="53">
        <f t="shared" si="72"/>
        <v>0</v>
      </c>
      <c r="AW457" s="53">
        <f t="shared" si="72"/>
        <v>0</v>
      </c>
      <c r="AX457" s="53">
        <f t="shared" si="70"/>
        <v>23832500</v>
      </c>
      <c r="AY457" s="41" t="s">
        <v>557</v>
      </c>
    </row>
    <row r="458" spans="1:51" x14ac:dyDescent="0.2">
      <c r="A458" s="41" t="s">
        <v>583</v>
      </c>
      <c r="B458" s="41">
        <v>1983</v>
      </c>
      <c r="C458" s="41" t="s">
        <v>91</v>
      </c>
      <c r="D458" s="41" t="s">
        <v>88</v>
      </c>
      <c r="E458" s="47">
        <v>8.2964170691206984</v>
      </c>
      <c r="F458" s="41" t="s">
        <v>584</v>
      </c>
      <c r="G458" s="53">
        <v>2958723</v>
      </c>
      <c r="J458" s="47">
        <v>82.568014646859467</v>
      </c>
      <c r="L458" s="46">
        <v>6.9515528489824838</v>
      </c>
      <c r="M458" s="46">
        <v>9.2910850390523212</v>
      </c>
      <c r="S458" s="53">
        <v>3531</v>
      </c>
      <c r="T458" s="41">
        <v>260</v>
      </c>
      <c r="U458" s="53">
        <v>233914</v>
      </c>
      <c r="X458" s="76">
        <f t="shared" si="71"/>
        <v>393876</v>
      </c>
      <c r="Y458" s="53">
        <v>196938</v>
      </c>
      <c r="Z458" s="76">
        <f t="shared" si="73"/>
        <v>535822</v>
      </c>
      <c r="AA458" s="53">
        <v>267911</v>
      </c>
      <c r="AO458" s="53">
        <f t="shared" si="75"/>
        <v>0</v>
      </c>
      <c r="AP458" s="53">
        <f t="shared" si="75"/>
        <v>0</v>
      </c>
      <c r="AQ458" s="53">
        <f t="shared" si="75"/>
        <v>244295883.99999997</v>
      </c>
      <c r="AR458" s="53">
        <f t="shared" si="74"/>
        <v>0</v>
      </c>
      <c r="AS458" s="53">
        <f t="shared" si="74"/>
        <v>20567719.300000001</v>
      </c>
      <c r="AT458" s="53">
        <f t="shared" si="74"/>
        <v>27489747</v>
      </c>
      <c r="AU458" s="53">
        <f t="shared" si="72"/>
        <v>0</v>
      </c>
      <c r="AV458" s="53">
        <f t="shared" si="72"/>
        <v>0</v>
      </c>
      <c r="AW458" s="53">
        <f t="shared" si="72"/>
        <v>0</v>
      </c>
      <c r="AX458" s="53">
        <f t="shared" si="70"/>
        <v>24546800</v>
      </c>
      <c r="AY458" s="41" t="s">
        <v>557</v>
      </c>
    </row>
    <row r="459" spans="1:51" x14ac:dyDescent="0.2">
      <c r="A459" s="41" t="s">
        <v>583</v>
      </c>
      <c r="B459" s="41">
        <v>1984</v>
      </c>
      <c r="C459" s="41" t="s">
        <v>91</v>
      </c>
      <c r="D459" s="41" t="s">
        <v>88</v>
      </c>
      <c r="E459" s="47">
        <v>10.334586713749447</v>
      </c>
      <c r="F459" s="41" t="s">
        <v>584</v>
      </c>
      <c r="G459" s="53">
        <v>2550968</v>
      </c>
      <c r="J459" s="47">
        <v>79.444946388978622</v>
      </c>
      <c r="L459" s="46">
        <v>6.4551259757080448</v>
      </c>
      <c r="M459" s="46">
        <v>8.2749666009138494</v>
      </c>
      <c r="S459" s="53">
        <v>3179</v>
      </c>
      <c r="T459" s="53">
        <v>300</v>
      </c>
      <c r="U459" s="53">
        <v>201620</v>
      </c>
      <c r="X459" s="76">
        <f t="shared" si="71"/>
        <v>327426</v>
      </c>
      <c r="Y459" s="53">
        <v>163713</v>
      </c>
      <c r="Z459" s="76">
        <f t="shared" si="73"/>
        <v>422414</v>
      </c>
      <c r="AA459" s="53">
        <v>211207</v>
      </c>
      <c r="AO459" s="53">
        <f t="shared" si="75"/>
        <v>0</v>
      </c>
      <c r="AP459" s="53">
        <f t="shared" si="75"/>
        <v>0</v>
      </c>
      <c r="AQ459" s="53">
        <f t="shared" si="75"/>
        <v>202661516.00000003</v>
      </c>
      <c r="AR459" s="53">
        <f t="shared" si="74"/>
        <v>0</v>
      </c>
      <c r="AS459" s="53">
        <f t="shared" si="74"/>
        <v>16466819.799999999</v>
      </c>
      <c r="AT459" s="53">
        <f t="shared" si="74"/>
        <v>21109175</v>
      </c>
      <c r="AU459" s="53">
        <f t="shared" si="72"/>
        <v>0</v>
      </c>
      <c r="AV459" s="53">
        <f t="shared" si="72"/>
        <v>0</v>
      </c>
      <c r="AW459" s="53">
        <f t="shared" si="72"/>
        <v>0</v>
      </c>
      <c r="AX459" s="53">
        <f t="shared" si="70"/>
        <v>26363200</v>
      </c>
      <c r="AY459" s="41" t="s">
        <v>557</v>
      </c>
    </row>
    <row r="460" spans="1:51" x14ac:dyDescent="0.2">
      <c r="A460" s="41" t="s">
        <v>583</v>
      </c>
      <c r="B460" s="41">
        <v>1985</v>
      </c>
      <c r="C460" s="41" t="s">
        <v>91</v>
      </c>
      <c r="D460" s="41" t="s">
        <v>88</v>
      </c>
      <c r="E460" s="47">
        <v>9.0782684458072076</v>
      </c>
      <c r="F460" s="41" t="s">
        <v>584</v>
      </c>
      <c r="G460" s="53">
        <v>2979566</v>
      </c>
      <c r="J460" s="47">
        <v>75.050162674698257</v>
      </c>
      <c r="L460" s="46">
        <v>6.1368328474683898</v>
      </c>
      <c r="M460" s="46">
        <v>8.0124800054773075</v>
      </c>
      <c r="S460" s="53">
        <v>3605</v>
      </c>
      <c r="T460" s="53">
        <v>300</v>
      </c>
      <c r="U460" s="53">
        <v>221845</v>
      </c>
      <c r="X460" s="76">
        <f t="shared" si="71"/>
        <v>360794</v>
      </c>
      <c r="Y460" s="53">
        <v>180397</v>
      </c>
      <c r="Z460" s="76">
        <f t="shared" si="73"/>
        <v>464576</v>
      </c>
      <c r="AA460" s="53">
        <v>232288</v>
      </c>
      <c r="AO460" s="53">
        <f t="shared" si="75"/>
        <v>0</v>
      </c>
      <c r="AP460" s="53">
        <f t="shared" si="75"/>
        <v>0</v>
      </c>
      <c r="AQ460" s="53">
        <f t="shared" si="75"/>
        <v>223616913</v>
      </c>
      <c r="AR460" s="53">
        <f t="shared" si="74"/>
        <v>0</v>
      </c>
      <c r="AS460" s="53">
        <f t="shared" si="74"/>
        <v>18285098.5</v>
      </c>
      <c r="AT460" s="53">
        <f t="shared" si="74"/>
        <v>23873713</v>
      </c>
      <c r="AU460" s="53">
        <f t="shared" si="72"/>
        <v>0</v>
      </c>
      <c r="AV460" s="53">
        <f t="shared" si="72"/>
        <v>0</v>
      </c>
      <c r="AW460" s="53">
        <f t="shared" si="72"/>
        <v>0</v>
      </c>
      <c r="AX460" s="53">
        <f t="shared" si="70"/>
        <v>27049300</v>
      </c>
      <c r="AY460" s="41" t="s">
        <v>557</v>
      </c>
    </row>
    <row r="461" spans="1:51" x14ac:dyDescent="0.2">
      <c r="A461" s="41" t="s">
        <v>583</v>
      </c>
      <c r="B461" s="41">
        <v>1986</v>
      </c>
      <c r="C461" s="41" t="s">
        <v>91</v>
      </c>
      <c r="D461" s="41" t="s">
        <v>88</v>
      </c>
      <c r="E461" s="47">
        <v>14.960263461648115</v>
      </c>
      <c r="F461" s="41" t="s">
        <v>584</v>
      </c>
      <c r="G461" s="53">
        <v>1946697</v>
      </c>
      <c r="J461" s="47">
        <v>90.443252339732382</v>
      </c>
      <c r="L461" s="46">
        <v>6.9276788837708176</v>
      </c>
      <c r="M461" s="46">
        <v>7.7186696748389707</v>
      </c>
      <c r="S461" s="53">
        <v>2649</v>
      </c>
      <c r="T461" s="53">
        <v>300</v>
      </c>
      <c r="U461" s="53">
        <v>181819</v>
      </c>
      <c r="X461" s="76">
        <f t="shared" si="71"/>
        <v>273780</v>
      </c>
      <c r="Y461" s="53">
        <v>136890</v>
      </c>
      <c r="Z461" s="76">
        <f t="shared" si="73"/>
        <v>293796</v>
      </c>
      <c r="AA461" s="53">
        <v>146898</v>
      </c>
      <c r="AO461" s="53">
        <f t="shared" si="75"/>
        <v>0</v>
      </c>
      <c r="AP461" s="53">
        <f t="shared" si="75"/>
        <v>0</v>
      </c>
      <c r="AQ461" s="53">
        <f t="shared" si="75"/>
        <v>176065608</v>
      </c>
      <c r="AR461" s="53">
        <f t="shared" si="74"/>
        <v>0</v>
      </c>
      <c r="AS461" s="53">
        <f t="shared" si="74"/>
        <v>13486091.699999999</v>
      </c>
      <c r="AT461" s="53">
        <f t="shared" si="74"/>
        <v>15025911.1</v>
      </c>
      <c r="AU461" s="53">
        <f t="shared" si="72"/>
        <v>0</v>
      </c>
      <c r="AV461" s="53">
        <f t="shared" si="72"/>
        <v>0</v>
      </c>
      <c r="AW461" s="53">
        <f t="shared" si="72"/>
        <v>0</v>
      </c>
      <c r="AX461" s="53">
        <f t="shared" si="70"/>
        <v>29123100</v>
      </c>
      <c r="AY461" s="41" t="s">
        <v>557</v>
      </c>
    </row>
    <row r="462" spans="1:51" x14ac:dyDescent="0.2">
      <c r="A462" s="41" t="s">
        <v>583</v>
      </c>
      <c r="B462" s="41">
        <v>1987</v>
      </c>
      <c r="C462" s="41" t="s">
        <v>91</v>
      </c>
      <c r="D462" s="41" t="s">
        <v>88</v>
      </c>
      <c r="E462" s="47">
        <v>10.387402497620405</v>
      </c>
      <c r="F462" s="41" t="s">
        <v>584</v>
      </c>
      <c r="G462" s="53">
        <v>2539297</v>
      </c>
      <c r="J462" s="47">
        <v>75.457243388301947</v>
      </c>
      <c r="L462" s="46">
        <v>6.101542965836126</v>
      </c>
      <c r="M462" s="46">
        <v>9.2735600274901628</v>
      </c>
      <c r="S462" s="53">
        <v>3126</v>
      </c>
      <c r="T462" s="53">
        <v>300</v>
      </c>
      <c r="U462" s="53">
        <v>189130</v>
      </c>
      <c r="X462" s="76">
        <f t="shared" si="71"/>
        <v>279230</v>
      </c>
      <c r="Y462" s="53">
        <v>139615</v>
      </c>
      <c r="Z462" s="76">
        <f t="shared" si="73"/>
        <v>425206</v>
      </c>
      <c r="AA462" s="53">
        <v>212603</v>
      </c>
      <c r="AO462" s="53">
        <f t="shared" si="75"/>
        <v>0</v>
      </c>
      <c r="AP462" s="53">
        <f t="shared" si="75"/>
        <v>0</v>
      </c>
      <c r="AQ462" s="53">
        <f t="shared" si="75"/>
        <v>191608351.76418498</v>
      </c>
      <c r="AR462" s="53">
        <f t="shared" si="74"/>
        <v>0</v>
      </c>
      <c r="AS462" s="53">
        <f t="shared" si="74"/>
        <v>15493629.748518778</v>
      </c>
      <c r="AT462" s="53">
        <f t="shared" si="74"/>
        <v>23548323.157125689</v>
      </c>
      <c r="AU462" s="53">
        <f t="shared" si="72"/>
        <v>0</v>
      </c>
      <c r="AV462" s="53">
        <f t="shared" si="72"/>
        <v>0</v>
      </c>
      <c r="AW462" s="53">
        <f t="shared" si="72"/>
        <v>0</v>
      </c>
      <c r="AX462" s="53">
        <f t="shared" si="70"/>
        <v>26376700.000000004</v>
      </c>
      <c r="AY462" s="41" t="s">
        <v>557</v>
      </c>
    </row>
    <row r="463" spans="1:51" x14ac:dyDescent="0.2">
      <c r="A463" s="41" t="s">
        <v>583</v>
      </c>
      <c r="B463" s="41">
        <v>1988</v>
      </c>
      <c r="C463" s="41" t="s">
        <v>91</v>
      </c>
      <c r="D463" s="41" t="s">
        <v>88</v>
      </c>
      <c r="E463" s="47">
        <v>8</v>
      </c>
      <c r="F463" s="41" t="s">
        <v>584</v>
      </c>
      <c r="G463" s="53">
        <v>2535606</v>
      </c>
      <c r="J463" s="45">
        <v>81.938673043051637</v>
      </c>
      <c r="L463" s="46">
        <v>6.6674596526431946</v>
      </c>
      <c r="M463" s="46">
        <v>9.2504363453943554</v>
      </c>
      <c r="S463" s="53">
        <v>3000</v>
      </c>
      <c r="T463" s="53">
        <v>300</v>
      </c>
      <c r="U463" s="53">
        <v>182017.65599999999</v>
      </c>
      <c r="X463" s="76">
        <f t="shared" si="71"/>
        <v>309391.66200000001</v>
      </c>
      <c r="Y463" s="53">
        <v>154695.83100000001</v>
      </c>
      <c r="Z463" s="76">
        <f t="shared" si="73"/>
        <v>416225.89199999999</v>
      </c>
      <c r="AA463" s="53">
        <v>208112.946</v>
      </c>
      <c r="AO463" s="53">
        <f t="shared" si="75"/>
        <v>0</v>
      </c>
      <c r="AP463" s="53">
        <f t="shared" si="75"/>
        <v>0</v>
      </c>
      <c r="AQ463" s="53">
        <f t="shared" si="75"/>
        <v>207764191</v>
      </c>
      <c r="AR463" s="53">
        <f t="shared" si="74"/>
        <v>0</v>
      </c>
      <c r="AS463" s="53">
        <f t="shared" si="74"/>
        <v>16906050.699999999</v>
      </c>
      <c r="AT463" s="53">
        <f t="shared" si="74"/>
        <v>23455461.899999999</v>
      </c>
      <c r="AU463" s="53">
        <f t="shared" si="72"/>
        <v>0</v>
      </c>
      <c r="AV463" s="53">
        <f t="shared" si="72"/>
        <v>0</v>
      </c>
      <c r="AW463" s="53">
        <f t="shared" si="72"/>
        <v>0</v>
      </c>
      <c r="AX463" s="53">
        <f t="shared" si="70"/>
        <v>20284848</v>
      </c>
      <c r="AY463" s="41" t="s">
        <v>557</v>
      </c>
    </row>
    <row r="464" spans="1:51" x14ac:dyDescent="0.2">
      <c r="A464" s="41" t="s">
        <v>583</v>
      </c>
      <c r="B464" s="41">
        <v>1989</v>
      </c>
      <c r="C464" s="41" t="s">
        <v>91</v>
      </c>
      <c r="D464" s="41" t="s">
        <v>88</v>
      </c>
      <c r="E464" s="47">
        <v>6.1326956948358697</v>
      </c>
      <c r="F464" s="41" t="s">
        <v>584</v>
      </c>
      <c r="G464" s="53">
        <v>2545619</v>
      </c>
      <c r="J464" s="47">
        <v>73.9946040629018</v>
      </c>
      <c r="L464" s="46">
        <v>6.4587273272237518</v>
      </c>
      <c r="M464" s="46">
        <v>9.4076451739242994</v>
      </c>
      <c r="S464" s="53">
        <v>3203</v>
      </c>
      <c r="T464" s="53">
        <v>313</v>
      </c>
      <c r="U464" s="53">
        <v>167529.82199999999</v>
      </c>
      <c r="X464" s="76">
        <f t="shared" si="71"/>
        <v>309448.37400000001</v>
      </c>
      <c r="Y464" s="53">
        <v>154724.18700000001</v>
      </c>
      <c r="Z464" s="76">
        <f t="shared" si="73"/>
        <v>436945.19799999997</v>
      </c>
      <c r="AA464" s="53">
        <v>218472.59899999999</v>
      </c>
      <c r="AO464" s="53">
        <f t="shared" si="75"/>
        <v>0</v>
      </c>
      <c r="AP464" s="53">
        <f t="shared" si="75"/>
        <v>0</v>
      </c>
      <c r="AQ464" s="53">
        <f t="shared" si="75"/>
        <v>188362070.00000003</v>
      </c>
      <c r="AR464" s="53">
        <f t="shared" si="74"/>
        <v>0</v>
      </c>
      <c r="AS464" s="53">
        <f t="shared" si="74"/>
        <v>16441459</v>
      </c>
      <c r="AT464" s="53">
        <f t="shared" si="74"/>
        <v>23948280.300000001</v>
      </c>
      <c r="AU464" s="53">
        <f t="shared" si="72"/>
        <v>0</v>
      </c>
      <c r="AV464" s="53">
        <f t="shared" si="72"/>
        <v>0</v>
      </c>
      <c r="AW464" s="53">
        <f t="shared" si="72"/>
        <v>0</v>
      </c>
      <c r="AX464" s="53">
        <f t="shared" si="70"/>
        <v>15611506.681992391</v>
      </c>
      <c r="AY464" s="41" t="s">
        <v>557</v>
      </c>
    </row>
    <row r="465" spans="1:51" x14ac:dyDescent="0.2">
      <c r="A465" s="41" t="s">
        <v>583</v>
      </c>
      <c r="B465" s="41">
        <v>1990</v>
      </c>
      <c r="C465" s="41" t="s">
        <v>91</v>
      </c>
      <c r="D465" s="41" t="s">
        <v>88</v>
      </c>
      <c r="E465" s="47">
        <v>5.8215339542711142</v>
      </c>
      <c r="F465" s="41" t="s">
        <v>584</v>
      </c>
      <c r="G465" s="53">
        <v>2488949</v>
      </c>
      <c r="J465" s="47">
        <v>65.955473575392659</v>
      </c>
      <c r="L465" s="46">
        <v>6.4182165243241212</v>
      </c>
      <c r="M465" s="46">
        <v>9.6668028151641536</v>
      </c>
      <c r="S465" s="53">
        <v>3469</v>
      </c>
      <c r="T465" s="53">
        <v>310</v>
      </c>
      <c r="U465" s="53">
        <v>158446.42299999998</v>
      </c>
      <c r="X465" s="76">
        <f t="shared" si="71"/>
        <v>294256.34000000003</v>
      </c>
      <c r="Y465" s="53">
        <v>147128.17000000001</v>
      </c>
      <c r="Z465" s="76">
        <f t="shared" si="73"/>
        <v>444883.81</v>
      </c>
      <c r="AA465" s="53">
        <v>222441.905</v>
      </c>
      <c r="AO465" s="53">
        <f t="shared" si="75"/>
        <v>0</v>
      </c>
      <c r="AP465" s="53">
        <f t="shared" si="75"/>
        <v>0</v>
      </c>
      <c r="AQ465" s="53">
        <f t="shared" si="75"/>
        <v>164159809.99999997</v>
      </c>
      <c r="AR465" s="53">
        <f t="shared" si="74"/>
        <v>0</v>
      </c>
      <c r="AS465" s="53">
        <f t="shared" si="74"/>
        <v>15974613.599999998</v>
      </c>
      <c r="AT465" s="53">
        <f t="shared" si="74"/>
        <v>24060179.200000007</v>
      </c>
      <c r="AU465" s="53">
        <f t="shared" si="72"/>
        <v>0</v>
      </c>
      <c r="AV465" s="53">
        <f t="shared" si="72"/>
        <v>0</v>
      </c>
      <c r="AW465" s="53">
        <f t="shared" si="72"/>
        <v>0</v>
      </c>
      <c r="AX465" s="53">
        <f t="shared" si="70"/>
        <v>14489501.113949135</v>
      </c>
      <c r="AY465" s="41" t="s">
        <v>557</v>
      </c>
    </row>
    <row r="466" spans="1:51" x14ac:dyDescent="0.2">
      <c r="A466" s="41" t="s">
        <v>583</v>
      </c>
      <c r="B466" s="41">
        <v>1991</v>
      </c>
      <c r="C466" s="41" t="s">
        <v>91</v>
      </c>
      <c r="D466" s="41" t="s">
        <v>88</v>
      </c>
      <c r="E466" s="47">
        <v>5.6547241323914905</v>
      </c>
      <c r="F466" s="41" t="s">
        <v>584</v>
      </c>
      <c r="G466" s="53">
        <v>2554807</v>
      </c>
      <c r="J466" s="47">
        <v>71.303066337300621</v>
      </c>
      <c r="L466" s="46">
        <v>6.6158237393274719</v>
      </c>
      <c r="M466" s="46">
        <v>9.7362281377810547</v>
      </c>
      <c r="S466" s="53">
        <v>3505</v>
      </c>
      <c r="T466" s="53">
        <v>336</v>
      </c>
      <c r="U466" s="53">
        <v>157224</v>
      </c>
      <c r="X466" s="76">
        <f t="shared" si="71"/>
        <v>312300</v>
      </c>
      <c r="Y466" s="53">
        <v>156150</v>
      </c>
      <c r="Z466" s="76">
        <f t="shared" si="73"/>
        <v>456346</v>
      </c>
      <c r="AA466" s="53">
        <v>228173</v>
      </c>
      <c r="AO466" s="53">
        <f t="shared" si="75"/>
        <v>0</v>
      </c>
      <c r="AP466" s="53">
        <f t="shared" si="75"/>
        <v>0</v>
      </c>
      <c r="AQ466" s="53">
        <f t="shared" si="75"/>
        <v>182165573</v>
      </c>
      <c r="AR466" s="53">
        <f t="shared" si="74"/>
        <v>0</v>
      </c>
      <c r="AS466" s="53">
        <f t="shared" si="74"/>
        <v>16902152.800000001</v>
      </c>
      <c r="AT466" s="53">
        <f t="shared" si="74"/>
        <v>24874183.800000004</v>
      </c>
      <c r="AU466" s="53">
        <f t="shared" si="72"/>
        <v>0</v>
      </c>
      <c r="AV466" s="53">
        <f t="shared" si="72"/>
        <v>0</v>
      </c>
      <c r="AW466" s="53">
        <f t="shared" si="72"/>
        <v>0</v>
      </c>
      <c r="AX466" s="53">
        <f t="shared" si="70"/>
        <v>14446728.796502708</v>
      </c>
      <c r="AY466" s="41" t="s">
        <v>557</v>
      </c>
    </row>
    <row r="467" spans="1:51" x14ac:dyDescent="0.2">
      <c r="A467" s="41" t="s">
        <v>583</v>
      </c>
      <c r="B467" s="41">
        <v>1992</v>
      </c>
      <c r="C467" s="41" t="s">
        <v>91</v>
      </c>
      <c r="D467" s="41" t="s">
        <v>88</v>
      </c>
      <c r="E467" s="47">
        <v>4.8585672358224823</v>
      </c>
      <c r="F467" s="41" t="s">
        <v>584</v>
      </c>
      <c r="G467" s="53">
        <v>2569445</v>
      </c>
      <c r="J467" s="47">
        <v>75.836133873268352</v>
      </c>
      <c r="L467" s="46">
        <v>6.9266303423501947</v>
      </c>
      <c r="M467" s="46">
        <v>8.9677138058997166</v>
      </c>
      <c r="S467" s="53">
        <v>3203</v>
      </c>
      <c r="T467" s="52">
        <v>368</v>
      </c>
      <c r="U467" s="53">
        <v>169089</v>
      </c>
      <c r="X467" s="76">
        <f t="shared" si="71"/>
        <v>327440</v>
      </c>
      <c r="Y467" s="53">
        <v>163720</v>
      </c>
      <c r="Z467" s="76">
        <f t="shared" si="73"/>
        <v>410996</v>
      </c>
      <c r="AA467" s="53">
        <v>205498</v>
      </c>
      <c r="AO467" s="53">
        <f t="shared" si="75"/>
        <v>0</v>
      </c>
      <c r="AP467" s="53">
        <f t="shared" si="75"/>
        <v>0</v>
      </c>
      <c r="AQ467" s="53">
        <f t="shared" si="75"/>
        <v>194856775</v>
      </c>
      <c r="AR467" s="53">
        <f t="shared" si="74"/>
        <v>0</v>
      </c>
      <c r="AS467" s="53">
        <f t="shared" si="74"/>
        <v>17797595.699999996</v>
      </c>
      <c r="AT467" s="53">
        <f t="shared" si="74"/>
        <v>23042047.399999999</v>
      </c>
      <c r="AU467" s="53">
        <f t="shared" si="72"/>
        <v>0</v>
      </c>
      <c r="AV467" s="53">
        <f t="shared" si="72"/>
        <v>0</v>
      </c>
      <c r="AW467" s="53">
        <f t="shared" si="72"/>
        <v>0</v>
      </c>
      <c r="AX467" s="53">
        <f t="shared" si="70"/>
        <v>12483821.291247899</v>
      </c>
      <c r="AY467" s="41" t="s">
        <v>557</v>
      </c>
    </row>
    <row r="468" spans="1:51" x14ac:dyDescent="0.2">
      <c r="A468" s="41" t="s">
        <v>583</v>
      </c>
      <c r="B468" s="41">
        <v>1993</v>
      </c>
      <c r="C468" s="41" t="s">
        <v>91</v>
      </c>
      <c r="D468" s="41" t="s">
        <v>88</v>
      </c>
      <c r="E468" s="41">
        <v>0</v>
      </c>
      <c r="F468" s="41" t="s">
        <v>584</v>
      </c>
      <c r="G468" s="53">
        <v>2397899</v>
      </c>
      <c r="J468" s="47">
        <v>69.734902929606292</v>
      </c>
      <c r="L468" s="46">
        <v>7.059504841530023</v>
      </c>
      <c r="M468" s="46">
        <v>8.6662137562924872</v>
      </c>
      <c r="S468" s="53">
        <v>3267</v>
      </c>
      <c r="T468" s="52">
        <v>484</v>
      </c>
      <c r="U468" s="53">
        <v>151638</v>
      </c>
      <c r="X468" s="76">
        <f t="shared" si="71"/>
        <v>319004</v>
      </c>
      <c r="Y468" s="53">
        <v>159502</v>
      </c>
      <c r="Z468" s="76">
        <f t="shared" si="73"/>
        <v>374910</v>
      </c>
      <c r="AA468" s="53">
        <v>187455</v>
      </c>
      <c r="AO468" s="53">
        <f t="shared" si="75"/>
        <v>0</v>
      </c>
      <c r="AP468" s="53">
        <f t="shared" si="75"/>
        <v>0</v>
      </c>
      <c r="AQ468" s="53">
        <f t="shared" si="75"/>
        <v>167217254</v>
      </c>
      <c r="AR468" s="53">
        <f t="shared" si="74"/>
        <v>0</v>
      </c>
      <c r="AS468" s="53">
        <f t="shared" si="74"/>
        <v>16927979.600000001</v>
      </c>
      <c r="AT468" s="53">
        <f t="shared" si="74"/>
        <v>20780705.299999997</v>
      </c>
      <c r="AU468" s="53">
        <f t="shared" si="72"/>
        <v>0</v>
      </c>
      <c r="AV468" s="53">
        <f t="shared" si="72"/>
        <v>0</v>
      </c>
      <c r="AW468" s="53">
        <f t="shared" si="72"/>
        <v>0</v>
      </c>
      <c r="AX468" s="53">
        <f t="shared" si="70"/>
        <v>0</v>
      </c>
      <c r="AY468" s="41" t="s">
        <v>557</v>
      </c>
    </row>
    <row r="469" spans="1:51" x14ac:dyDescent="0.2">
      <c r="A469" s="41" t="s">
        <v>583</v>
      </c>
      <c r="B469" s="41">
        <v>1994</v>
      </c>
      <c r="C469" s="41" t="s">
        <v>91</v>
      </c>
      <c r="D469" s="41" t="s">
        <v>88</v>
      </c>
      <c r="E469" s="41">
        <v>0</v>
      </c>
      <c r="F469" s="41" t="s">
        <v>584</v>
      </c>
      <c r="G469" s="53">
        <v>2489315</v>
      </c>
      <c r="J469" s="47">
        <v>56.442828649648597</v>
      </c>
      <c r="L469" s="46">
        <v>6.0951675862636909</v>
      </c>
      <c r="M469" s="46">
        <v>8.5565383248001954</v>
      </c>
      <c r="S469" s="53">
        <v>3055</v>
      </c>
      <c r="T469" s="41">
        <v>500</v>
      </c>
      <c r="U469" s="53">
        <v>121933</v>
      </c>
      <c r="X469" s="76">
        <f t="shared" si="71"/>
        <v>283494</v>
      </c>
      <c r="Y469" s="53">
        <v>141747</v>
      </c>
      <c r="Z469" s="76">
        <f t="shared" si="73"/>
        <v>384634</v>
      </c>
      <c r="AA469" s="53">
        <v>192317</v>
      </c>
      <c r="AO469" s="53">
        <f t="shared" si="75"/>
        <v>0</v>
      </c>
      <c r="AP469" s="53">
        <f t="shared" si="75"/>
        <v>0</v>
      </c>
      <c r="AQ469" s="53">
        <f t="shared" si="75"/>
        <v>140503980</v>
      </c>
      <c r="AR469" s="53">
        <f t="shared" si="74"/>
        <v>0</v>
      </c>
      <c r="AS469" s="53">
        <f t="shared" si="74"/>
        <v>15172792.1</v>
      </c>
      <c r="AT469" s="53">
        <f t="shared" si="74"/>
        <v>21299919.199999999</v>
      </c>
      <c r="AU469" s="53">
        <f t="shared" si="72"/>
        <v>0</v>
      </c>
      <c r="AV469" s="53">
        <f t="shared" si="72"/>
        <v>0</v>
      </c>
      <c r="AW469" s="53">
        <f t="shared" si="72"/>
        <v>0</v>
      </c>
      <c r="AX469" s="53">
        <f t="shared" si="70"/>
        <v>0</v>
      </c>
      <c r="AY469" s="41" t="s">
        <v>557</v>
      </c>
    </row>
    <row r="470" spans="1:51" x14ac:dyDescent="0.2">
      <c r="A470" s="41" t="s">
        <v>583</v>
      </c>
      <c r="B470" s="41">
        <v>1995</v>
      </c>
      <c r="C470" s="41" t="s">
        <v>91</v>
      </c>
      <c r="D470" s="41" t="s">
        <v>88</v>
      </c>
      <c r="E470" s="41">
        <v>0</v>
      </c>
      <c r="F470" s="41" t="s">
        <v>584</v>
      </c>
      <c r="G470" s="53">
        <v>2506628</v>
      </c>
      <c r="J470" s="47">
        <v>53.989632286881019</v>
      </c>
      <c r="L470" s="46">
        <v>5.6770061213710212</v>
      </c>
      <c r="M470" s="46">
        <v>7.3873059345064362</v>
      </c>
      <c r="S470" s="53">
        <v>3834</v>
      </c>
      <c r="T470" s="41">
        <v>550</v>
      </c>
      <c r="U470" s="53">
        <v>117647</v>
      </c>
      <c r="X470" s="76">
        <f t="shared" si="71"/>
        <v>263452</v>
      </c>
      <c r="Y470" s="53">
        <v>131726</v>
      </c>
      <c r="Z470" s="76">
        <f t="shared" si="73"/>
        <v>327934</v>
      </c>
      <c r="AA470" s="53">
        <v>163967</v>
      </c>
      <c r="AO470" s="53">
        <f t="shared" si="75"/>
        <v>0</v>
      </c>
      <c r="AP470" s="53">
        <f t="shared" si="75"/>
        <v>0</v>
      </c>
      <c r="AQ470" s="53">
        <f t="shared" si="75"/>
        <v>135331924</v>
      </c>
      <c r="AR470" s="53">
        <f t="shared" si="74"/>
        <v>0</v>
      </c>
      <c r="AS470" s="53">
        <f t="shared" si="74"/>
        <v>14230142.5</v>
      </c>
      <c r="AT470" s="53">
        <f t="shared" si="74"/>
        <v>18517227.899999999</v>
      </c>
      <c r="AU470" s="53">
        <f t="shared" si="72"/>
        <v>0</v>
      </c>
      <c r="AV470" s="53">
        <f t="shared" si="72"/>
        <v>0</v>
      </c>
      <c r="AW470" s="53">
        <f t="shared" si="72"/>
        <v>0</v>
      </c>
      <c r="AX470" s="53">
        <f t="shared" si="70"/>
        <v>0</v>
      </c>
      <c r="AY470" s="41" t="s">
        <v>557</v>
      </c>
    </row>
    <row r="471" spans="1:51" x14ac:dyDescent="0.2">
      <c r="A471" s="41" t="s">
        <v>583</v>
      </c>
      <c r="B471" s="41">
        <v>1996</v>
      </c>
      <c r="C471" s="41" t="s">
        <v>91</v>
      </c>
      <c r="D471" s="41" t="s">
        <v>88</v>
      </c>
      <c r="E471" s="41">
        <v>0</v>
      </c>
      <c r="F471" s="41" t="s">
        <v>584</v>
      </c>
      <c r="G471" s="53">
        <v>2627139</v>
      </c>
      <c r="J471" s="47">
        <v>55.06135031302113</v>
      </c>
      <c r="L471" s="46">
        <v>5.5737069869542495</v>
      </c>
      <c r="M471" s="46">
        <v>8.1096824340090112</v>
      </c>
      <c r="S471" s="53">
        <v>4065</v>
      </c>
      <c r="T471" s="41">
        <v>661</v>
      </c>
      <c r="U471" s="53">
        <v>124479</v>
      </c>
      <c r="X471" s="76">
        <f t="shared" si="71"/>
        <v>270894</v>
      </c>
      <c r="Y471" s="53">
        <v>135447</v>
      </c>
      <c r="Z471" s="76">
        <f t="shared" si="73"/>
        <v>379928</v>
      </c>
      <c r="AA471" s="53">
        <v>189964</v>
      </c>
      <c r="AO471" s="53">
        <f t="shared" si="75"/>
        <v>0</v>
      </c>
      <c r="AP471" s="53">
        <f t="shared" si="75"/>
        <v>0</v>
      </c>
      <c r="AQ471" s="53">
        <f t="shared" si="75"/>
        <v>144653820.80000001</v>
      </c>
      <c r="AR471" s="53">
        <f t="shared" si="74"/>
        <v>0</v>
      </c>
      <c r="AS471" s="53">
        <f t="shared" si="74"/>
        <v>14642903</v>
      </c>
      <c r="AT471" s="53">
        <f t="shared" si="74"/>
        <v>21305263</v>
      </c>
      <c r="AU471" s="53">
        <f t="shared" si="72"/>
        <v>0</v>
      </c>
      <c r="AV471" s="53">
        <f t="shared" si="72"/>
        <v>0</v>
      </c>
      <c r="AW471" s="53">
        <f t="shared" si="72"/>
        <v>0</v>
      </c>
      <c r="AX471" s="53">
        <f t="shared" si="70"/>
        <v>0</v>
      </c>
      <c r="AY471" s="41" t="s">
        <v>557</v>
      </c>
    </row>
    <row r="472" spans="1:51" x14ac:dyDescent="0.2">
      <c r="A472" s="41" t="s">
        <v>583</v>
      </c>
      <c r="B472" s="41">
        <v>1997</v>
      </c>
      <c r="C472" s="41" t="s">
        <v>91</v>
      </c>
      <c r="D472" s="41" t="s">
        <v>88</v>
      </c>
      <c r="E472" s="47">
        <v>7.3268339431701452</v>
      </c>
      <c r="F472" s="41" t="s">
        <v>584</v>
      </c>
      <c r="G472" s="53">
        <v>2729692</v>
      </c>
      <c r="J472" s="47">
        <v>48.050326117378809</v>
      </c>
      <c r="L472" s="46">
        <v>5.1590113463350447</v>
      </c>
      <c r="M472" s="46">
        <v>7.9247214704076505</v>
      </c>
      <c r="S472" s="53">
        <v>3943</v>
      </c>
      <c r="T472" s="41">
        <v>700</v>
      </c>
      <c r="U472" s="53">
        <v>108096</v>
      </c>
      <c r="X472" s="76">
        <f t="shared" si="71"/>
        <v>256792</v>
      </c>
      <c r="Y472" s="53">
        <v>128396</v>
      </c>
      <c r="Z472" s="76">
        <f t="shared" si="73"/>
        <v>382752</v>
      </c>
      <c r="AA472" s="53">
        <v>191376</v>
      </c>
      <c r="AO472" s="53">
        <f t="shared" si="75"/>
        <v>0</v>
      </c>
      <c r="AP472" s="53">
        <f t="shared" si="75"/>
        <v>0</v>
      </c>
      <c r="AQ472" s="53">
        <f t="shared" si="75"/>
        <v>131162590.8</v>
      </c>
      <c r="AR472" s="53">
        <f t="shared" si="74"/>
        <v>0</v>
      </c>
      <c r="AS472" s="53">
        <f t="shared" si="74"/>
        <v>14082512</v>
      </c>
      <c r="AT472" s="53">
        <f t="shared" si="74"/>
        <v>21632048.800000001</v>
      </c>
      <c r="AU472" s="53">
        <f t="shared" si="72"/>
        <v>0</v>
      </c>
      <c r="AV472" s="53">
        <f t="shared" si="72"/>
        <v>0</v>
      </c>
      <c r="AW472" s="53">
        <f t="shared" si="72"/>
        <v>0</v>
      </c>
      <c r="AX472" s="53">
        <f t="shared" si="70"/>
        <v>20000000</v>
      </c>
      <c r="AY472" s="41" t="s">
        <v>557</v>
      </c>
    </row>
    <row r="473" spans="1:51" x14ac:dyDescent="0.2">
      <c r="A473" s="41" t="s">
        <v>583</v>
      </c>
      <c r="B473" s="41">
        <v>1998</v>
      </c>
      <c r="C473" s="41" t="s">
        <v>91</v>
      </c>
      <c r="D473" s="41" t="s">
        <v>88</v>
      </c>
      <c r="E473" s="47">
        <v>7.2223389833691201</v>
      </c>
      <c r="F473" s="41" t="s">
        <v>584</v>
      </c>
      <c r="G473" s="53">
        <v>2769186</v>
      </c>
      <c r="J473" s="47">
        <v>42.695027780726896</v>
      </c>
      <c r="L473" s="46">
        <v>4.1091049138627742</v>
      </c>
      <c r="M473" s="46">
        <v>7.4352812703805382</v>
      </c>
      <c r="S473" s="53">
        <v>3787</v>
      </c>
      <c r="T473" s="41">
        <v>311</v>
      </c>
      <c r="U473" s="53">
        <v>95910</v>
      </c>
      <c r="X473" s="76">
        <f t="shared" si="71"/>
        <v>157312</v>
      </c>
      <c r="Y473" s="53">
        <v>78656</v>
      </c>
      <c r="Z473" s="76">
        <f t="shared" si="73"/>
        <v>369446</v>
      </c>
      <c r="AA473" s="53">
        <v>184723</v>
      </c>
      <c r="AO473" s="53">
        <f t="shared" si="75"/>
        <v>0</v>
      </c>
      <c r="AP473" s="53">
        <f t="shared" si="75"/>
        <v>0</v>
      </c>
      <c r="AQ473" s="53">
        <f t="shared" si="75"/>
        <v>118230473.19999999</v>
      </c>
      <c r="AR473" s="53">
        <f t="shared" si="74"/>
        <v>0</v>
      </c>
      <c r="AS473" s="53">
        <f t="shared" si="74"/>
        <v>11378875.800000001</v>
      </c>
      <c r="AT473" s="53">
        <f t="shared" si="74"/>
        <v>20589676.800000001</v>
      </c>
      <c r="AU473" s="53">
        <f t="shared" si="72"/>
        <v>0</v>
      </c>
      <c r="AV473" s="53">
        <f t="shared" si="72"/>
        <v>0</v>
      </c>
      <c r="AW473" s="53">
        <f t="shared" si="72"/>
        <v>0</v>
      </c>
      <c r="AX473" s="53">
        <f t="shared" si="70"/>
        <v>20000000</v>
      </c>
      <c r="AY473" s="41" t="s">
        <v>557</v>
      </c>
    </row>
    <row r="474" spans="1:51" x14ac:dyDescent="0.2">
      <c r="A474" s="41" t="s">
        <v>583</v>
      </c>
      <c r="B474" s="41">
        <v>1999</v>
      </c>
      <c r="C474" s="41" t="s">
        <v>91</v>
      </c>
      <c r="D474" s="41" t="s">
        <v>88</v>
      </c>
      <c r="E474" s="47">
        <v>5.4343376230786902</v>
      </c>
      <c r="F474" s="41" t="s">
        <v>584</v>
      </c>
      <c r="G474" s="53">
        <v>2760226</v>
      </c>
      <c r="J474" s="47">
        <v>42.823003585677377</v>
      </c>
      <c r="L474" s="46">
        <v>4.1758256936028539</v>
      </c>
      <c r="M474" s="46">
        <v>7.832140332236289</v>
      </c>
      <c r="S474" s="53">
        <v>3273</v>
      </c>
      <c r="T474" s="41">
        <v>562</v>
      </c>
      <c r="U474" s="53">
        <v>94286</v>
      </c>
      <c r="X474" s="76">
        <f t="shared" si="71"/>
        <v>206646</v>
      </c>
      <c r="Y474" s="53">
        <v>103323</v>
      </c>
      <c r="Z474" s="76">
        <f t="shared" si="73"/>
        <v>381530</v>
      </c>
      <c r="AA474" s="53">
        <v>190765</v>
      </c>
      <c r="AO474" s="53">
        <f t="shared" si="75"/>
        <v>0</v>
      </c>
      <c r="AP474" s="53">
        <f t="shared" si="75"/>
        <v>0</v>
      </c>
      <c r="AQ474" s="53">
        <f t="shared" si="75"/>
        <v>118201167.89527993</v>
      </c>
      <c r="AR474" s="53">
        <f t="shared" si="74"/>
        <v>0</v>
      </c>
      <c r="AS474" s="53">
        <f t="shared" si="74"/>
        <v>11526222.650950631</v>
      </c>
      <c r="AT474" s="53">
        <f t="shared" si="74"/>
        <v>21618477.380687244</v>
      </c>
      <c r="AU474" s="53">
        <f t="shared" si="72"/>
        <v>0</v>
      </c>
      <c r="AV474" s="53">
        <f t="shared" si="72"/>
        <v>0</v>
      </c>
      <c r="AW474" s="53">
        <f t="shared" si="72"/>
        <v>0</v>
      </c>
      <c r="AX474" s="53">
        <f t="shared" si="70"/>
        <v>15000000</v>
      </c>
      <c r="AY474" s="41" t="s">
        <v>557</v>
      </c>
    </row>
    <row r="475" spans="1:51" x14ac:dyDescent="0.2">
      <c r="A475" s="41" t="s">
        <v>583</v>
      </c>
      <c r="B475" s="41">
        <v>2000</v>
      </c>
      <c r="C475" s="41" t="s">
        <v>91</v>
      </c>
      <c r="D475" s="41" t="s">
        <v>88</v>
      </c>
      <c r="E475" s="41">
        <v>0</v>
      </c>
      <c r="F475" s="41" t="s">
        <v>584</v>
      </c>
      <c r="G475" s="53">
        <v>2861269</v>
      </c>
      <c r="J475" s="47">
        <v>41.907396927726822</v>
      </c>
      <c r="L475" s="46">
        <v>3.8026732893691571</v>
      </c>
      <c r="M475" s="46">
        <v>7.1576540688764316</v>
      </c>
      <c r="S475" s="53">
        <v>3731</v>
      </c>
      <c r="T475" s="41">
        <v>807</v>
      </c>
      <c r="U475" s="53">
        <v>93243</v>
      </c>
      <c r="X475" s="76">
        <f t="shared" si="71"/>
        <v>187284</v>
      </c>
      <c r="Y475" s="53">
        <v>93642</v>
      </c>
      <c r="Z475" s="76">
        <f t="shared" si="73"/>
        <v>360840</v>
      </c>
      <c r="AA475" s="53">
        <v>180420</v>
      </c>
      <c r="AO475" s="53">
        <f t="shared" si="75"/>
        <v>0</v>
      </c>
      <c r="AP475" s="53">
        <f t="shared" si="75"/>
        <v>0</v>
      </c>
      <c r="AQ475" s="53">
        <f t="shared" si="75"/>
        <v>119908335.7</v>
      </c>
      <c r="AR475" s="53">
        <f t="shared" si="74"/>
        <v>0</v>
      </c>
      <c r="AS475" s="53">
        <f t="shared" si="74"/>
        <v>10880471.199999999</v>
      </c>
      <c r="AT475" s="53">
        <f t="shared" si="74"/>
        <v>20479973.699999999</v>
      </c>
      <c r="AU475" s="53">
        <f t="shared" si="72"/>
        <v>0</v>
      </c>
      <c r="AV475" s="53">
        <f t="shared" si="72"/>
        <v>0</v>
      </c>
      <c r="AW475" s="53">
        <f t="shared" si="72"/>
        <v>0</v>
      </c>
      <c r="AX475" s="53">
        <f t="shared" si="70"/>
        <v>0</v>
      </c>
      <c r="AY475" s="41" t="s">
        <v>557</v>
      </c>
    </row>
    <row r="476" spans="1:51" x14ac:dyDescent="0.2">
      <c r="A476" s="41" t="s">
        <v>583</v>
      </c>
      <c r="B476" s="41">
        <v>2001</v>
      </c>
      <c r="C476" s="41" t="s">
        <v>91</v>
      </c>
      <c r="D476" s="41" t="s">
        <v>88</v>
      </c>
      <c r="E476" s="41">
        <v>0</v>
      </c>
      <c r="F476" s="41" t="s">
        <v>584</v>
      </c>
      <c r="G476" s="53">
        <v>2737539</v>
      </c>
      <c r="J476" s="47">
        <v>36.873437784813291</v>
      </c>
      <c r="L476" s="46">
        <v>3.2512144301871131</v>
      </c>
      <c r="M476" s="46">
        <v>7.3046140566399238</v>
      </c>
      <c r="S476" s="53">
        <v>3782</v>
      </c>
      <c r="T476" s="41">
        <v>700</v>
      </c>
      <c r="U476" s="53">
        <v>75228</v>
      </c>
      <c r="X476" s="76">
        <f t="shared" si="71"/>
        <v>150848</v>
      </c>
      <c r="Y476" s="53">
        <v>75424</v>
      </c>
      <c r="Z476" s="76">
        <f t="shared" si="73"/>
        <v>357948</v>
      </c>
      <c r="AA476" s="53">
        <v>178974</v>
      </c>
      <c r="AO476" s="53">
        <f t="shared" si="75"/>
        <v>0</v>
      </c>
      <c r="AP476" s="53">
        <f t="shared" si="75"/>
        <v>0</v>
      </c>
      <c r="AQ476" s="53">
        <f t="shared" si="75"/>
        <v>100942473.99999999</v>
      </c>
      <c r="AR476" s="53">
        <f t="shared" si="74"/>
        <v>0</v>
      </c>
      <c r="AS476" s="53">
        <f t="shared" si="74"/>
        <v>8900326.2999999989</v>
      </c>
      <c r="AT476" s="53">
        <f t="shared" si="74"/>
        <v>19996665.859999999</v>
      </c>
      <c r="AU476" s="53">
        <f t="shared" si="72"/>
        <v>0</v>
      </c>
      <c r="AV476" s="53">
        <f t="shared" si="72"/>
        <v>0</v>
      </c>
      <c r="AW476" s="53">
        <f t="shared" si="72"/>
        <v>0</v>
      </c>
      <c r="AX476" s="53">
        <f t="shared" si="70"/>
        <v>0</v>
      </c>
      <c r="AY476" s="41" t="s">
        <v>557</v>
      </c>
    </row>
    <row r="477" spans="1:51" x14ac:dyDescent="0.2">
      <c r="A477" s="41" t="s">
        <v>583</v>
      </c>
      <c r="B477" s="41">
        <v>2002</v>
      </c>
      <c r="C477" s="41" t="s">
        <v>91</v>
      </c>
      <c r="D477" s="41" t="s">
        <v>88</v>
      </c>
      <c r="E477" s="41">
        <v>0</v>
      </c>
      <c r="F477" s="41" t="s">
        <v>584</v>
      </c>
      <c r="G477" s="53">
        <v>1767411</v>
      </c>
      <c r="J477" s="47">
        <v>30.377013382852095</v>
      </c>
      <c r="L477" s="46">
        <v>2.9576570475118689</v>
      </c>
      <c r="M477" s="46">
        <v>6.9872243637727722</v>
      </c>
      <c r="S477" s="53">
        <v>3622</v>
      </c>
      <c r="T477" s="41">
        <v>802</v>
      </c>
      <c r="U477" s="53">
        <v>41257.5</v>
      </c>
      <c r="X477" s="76">
        <f t="shared" si="71"/>
        <v>89239.186000000002</v>
      </c>
      <c r="Y477" s="53">
        <v>44619.593000000001</v>
      </c>
      <c r="Z477" s="76">
        <f t="shared" si="73"/>
        <v>224054.24</v>
      </c>
      <c r="AA477" s="53">
        <v>112027.12</v>
      </c>
      <c r="AO477" s="53">
        <f t="shared" si="75"/>
        <v>0</v>
      </c>
      <c r="AP477" s="53">
        <f t="shared" si="75"/>
        <v>0</v>
      </c>
      <c r="AQ477" s="53">
        <f t="shared" si="75"/>
        <v>53688667.600000001</v>
      </c>
      <c r="AR477" s="53">
        <f t="shared" si="74"/>
        <v>0</v>
      </c>
      <c r="AS477" s="53">
        <f t="shared" si="74"/>
        <v>5227395.5999999996</v>
      </c>
      <c r="AT477" s="53">
        <f t="shared" si="74"/>
        <v>12349297.199999999</v>
      </c>
      <c r="AU477" s="53">
        <f t="shared" si="72"/>
        <v>0</v>
      </c>
      <c r="AV477" s="53">
        <f t="shared" si="72"/>
        <v>0</v>
      </c>
      <c r="AW477" s="53">
        <f t="shared" si="72"/>
        <v>0</v>
      </c>
      <c r="AX477" s="53">
        <f t="shared" si="70"/>
        <v>0</v>
      </c>
      <c r="AY477" s="41" t="s">
        <v>557</v>
      </c>
    </row>
    <row r="478" spans="1:51" x14ac:dyDescent="0.2">
      <c r="A478" s="41" t="s">
        <v>583</v>
      </c>
      <c r="B478" s="41">
        <v>2003</v>
      </c>
      <c r="C478" s="41" t="s">
        <v>91</v>
      </c>
      <c r="D478" s="41" t="s">
        <v>88</v>
      </c>
      <c r="E478" s="41">
        <v>0</v>
      </c>
      <c r="F478" s="41" t="s">
        <v>584</v>
      </c>
      <c r="G478" s="53">
        <v>2171000</v>
      </c>
      <c r="J478" s="47">
        <v>34.9032703823123</v>
      </c>
      <c r="L478" s="46">
        <v>3.3818977429755872</v>
      </c>
      <c r="M478" s="46">
        <v>8.6800552740672501</v>
      </c>
      <c r="S478" s="53">
        <v>3735</v>
      </c>
      <c r="T478" s="41">
        <v>834</v>
      </c>
      <c r="U478" s="53">
        <v>59283.597893432467</v>
      </c>
      <c r="X478" s="76">
        <f t="shared" si="71"/>
        <v>123600</v>
      </c>
      <c r="Y478" s="53">
        <v>61800</v>
      </c>
      <c r="Z478" s="76">
        <f t="shared" si="73"/>
        <v>340800</v>
      </c>
      <c r="AA478" s="53">
        <v>170400</v>
      </c>
      <c r="AO478" s="53">
        <f t="shared" si="75"/>
        <v>0</v>
      </c>
      <c r="AP478" s="53">
        <f t="shared" si="75"/>
        <v>0</v>
      </c>
      <c r="AQ478" s="53">
        <f t="shared" si="75"/>
        <v>75775000</v>
      </c>
      <c r="AR478" s="53">
        <f t="shared" si="74"/>
        <v>0</v>
      </c>
      <c r="AS478" s="53">
        <f t="shared" si="74"/>
        <v>7342100</v>
      </c>
      <c r="AT478" s="53">
        <f t="shared" si="74"/>
        <v>18844400</v>
      </c>
      <c r="AU478" s="53">
        <f t="shared" si="72"/>
        <v>0</v>
      </c>
      <c r="AV478" s="53">
        <f t="shared" si="72"/>
        <v>0</v>
      </c>
      <c r="AW478" s="53">
        <f t="shared" si="72"/>
        <v>0</v>
      </c>
      <c r="AX478" s="53">
        <f t="shared" si="70"/>
        <v>0</v>
      </c>
      <c r="AY478" s="41" t="s">
        <v>557</v>
      </c>
    </row>
    <row r="479" spans="1:51" x14ac:dyDescent="0.2">
      <c r="A479" s="41" t="s">
        <v>583</v>
      </c>
      <c r="B479" s="41">
        <v>2004</v>
      </c>
      <c r="C479" s="41" t="s">
        <v>91</v>
      </c>
      <c r="D479" s="41" t="s">
        <v>88</v>
      </c>
      <c r="E479" s="41">
        <v>0</v>
      </c>
      <c r="F479" s="41" t="s">
        <v>584</v>
      </c>
      <c r="G479" s="53">
        <v>1994000</v>
      </c>
      <c r="J479" s="47">
        <v>34.9493480441324</v>
      </c>
      <c r="L479" s="46">
        <v>3.2521564694082246</v>
      </c>
      <c r="M479" s="46">
        <v>7.2577231695085258</v>
      </c>
      <c r="S479" s="53">
        <v>4155</v>
      </c>
      <c r="T479" s="53">
        <v>800</v>
      </c>
      <c r="U479" s="53">
        <v>52810.956054168884</v>
      </c>
      <c r="X479" s="76">
        <f t="shared" si="71"/>
        <v>107400</v>
      </c>
      <c r="Y479" s="53">
        <v>53700</v>
      </c>
      <c r="Z479" s="76">
        <f t="shared" si="73"/>
        <v>262200</v>
      </c>
      <c r="AA479" s="53">
        <v>131100</v>
      </c>
      <c r="AO479" s="53">
        <f t="shared" si="75"/>
        <v>0</v>
      </c>
      <c r="AP479" s="53">
        <f t="shared" si="75"/>
        <v>0</v>
      </c>
      <c r="AQ479" s="53">
        <f t="shared" si="75"/>
        <v>69689000</v>
      </c>
      <c r="AR479" s="53">
        <f t="shared" si="74"/>
        <v>0</v>
      </c>
      <c r="AS479" s="53">
        <f t="shared" si="74"/>
        <v>6484800</v>
      </c>
      <c r="AT479" s="53">
        <f t="shared" si="74"/>
        <v>14471900</v>
      </c>
      <c r="AU479" s="53">
        <f t="shared" si="72"/>
        <v>0</v>
      </c>
      <c r="AV479" s="53">
        <f t="shared" si="72"/>
        <v>0</v>
      </c>
      <c r="AW479" s="53">
        <f t="shared" si="72"/>
        <v>0</v>
      </c>
      <c r="AX479" s="53">
        <f t="shared" si="70"/>
        <v>0</v>
      </c>
      <c r="AY479" s="41" t="s">
        <v>557</v>
      </c>
    </row>
    <row r="480" spans="1:51" x14ac:dyDescent="0.2">
      <c r="A480" s="41" t="s">
        <v>583</v>
      </c>
      <c r="B480" s="41">
        <v>2005</v>
      </c>
      <c r="C480" s="41" t="s">
        <v>91</v>
      </c>
      <c r="D480" s="41" t="s">
        <v>88</v>
      </c>
      <c r="E480" s="41">
        <v>0</v>
      </c>
      <c r="F480" s="41" t="s">
        <v>584</v>
      </c>
      <c r="G480" s="53">
        <v>1940000</v>
      </c>
      <c r="J480" s="47">
        <v>44.931752577319585</v>
      </c>
      <c r="L480" s="46">
        <v>4.1697938144329898</v>
      </c>
      <c r="M480" s="46">
        <v>7.5831958762886602</v>
      </c>
      <c r="S480" s="53">
        <v>4138</v>
      </c>
      <c r="T480" s="41">
        <v>599</v>
      </c>
      <c r="U480" s="53">
        <v>65216.7</v>
      </c>
      <c r="X480" s="76">
        <f t="shared" si="71"/>
        <v>140600</v>
      </c>
      <c r="Y480" s="53">
        <v>70300</v>
      </c>
      <c r="Z480" s="76">
        <f t="shared" si="73"/>
        <v>260000</v>
      </c>
      <c r="AA480" s="53">
        <v>130000</v>
      </c>
      <c r="AO480" s="53">
        <f t="shared" si="75"/>
        <v>0</v>
      </c>
      <c r="AP480" s="53">
        <f t="shared" si="75"/>
        <v>0</v>
      </c>
      <c r="AQ480" s="53">
        <f t="shared" si="75"/>
        <v>87167600</v>
      </c>
      <c r="AR480" s="53">
        <f t="shared" si="74"/>
        <v>0</v>
      </c>
      <c r="AS480" s="53">
        <f t="shared" si="74"/>
        <v>8089400</v>
      </c>
      <c r="AT480" s="53">
        <f t="shared" si="74"/>
        <v>14711400</v>
      </c>
      <c r="AU480" s="53">
        <f t="shared" si="72"/>
        <v>0</v>
      </c>
      <c r="AV480" s="53">
        <f t="shared" si="72"/>
        <v>0</v>
      </c>
      <c r="AW480" s="53">
        <f t="shared" si="72"/>
        <v>0</v>
      </c>
      <c r="AX480" s="53">
        <f t="shared" si="70"/>
        <v>0</v>
      </c>
      <c r="AY480" s="41" t="s">
        <v>557</v>
      </c>
    </row>
    <row r="481" spans="1:51" x14ac:dyDescent="0.2">
      <c r="A481" s="41" t="s">
        <v>583</v>
      </c>
      <c r="B481" s="41">
        <v>2006</v>
      </c>
      <c r="C481" s="41" t="s">
        <v>91</v>
      </c>
      <c r="D481" s="41" t="s">
        <v>88</v>
      </c>
      <c r="E481" s="41">
        <v>0</v>
      </c>
      <c r="F481" s="41" t="s">
        <v>584</v>
      </c>
      <c r="G481" s="53">
        <v>2075800</v>
      </c>
      <c r="J481" s="47">
        <v>43.884767318624142</v>
      </c>
      <c r="L481" s="46">
        <v>4.2247326332016568</v>
      </c>
      <c r="M481" s="46">
        <v>6.8866942865401288</v>
      </c>
      <c r="S481" s="53">
        <v>3560</v>
      </c>
      <c r="T481" s="41">
        <v>515</v>
      </c>
      <c r="U481" s="53">
        <v>65807.600000000006</v>
      </c>
      <c r="X481" s="76">
        <f t="shared" si="71"/>
        <v>151800</v>
      </c>
      <c r="Y481" s="53">
        <v>75900</v>
      </c>
      <c r="Z481" s="76">
        <f t="shared" si="73"/>
        <v>263000</v>
      </c>
      <c r="AA481" s="53">
        <v>131500</v>
      </c>
      <c r="AO481" s="53">
        <f t="shared" si="75"/>
        <v>0</v>
      </c>
      <c r="AP481" s="53">
        <f t="shared" si="75"/>
        <v>0</v>
      </c>
      <c r="AQ481" s="53">
        <f t="shared" si="75"/>
        <v>91096000</v>
      </c>
      <c r="AR481" s="53">
        <f t="shared" si="74"/>
        <v>0</v>
      </c>
      <c r="AS481" s="53">
        <f t="shared" si="74"/>
        <v>8769700</v>
      </c>
      <c r="AT481" s="53">
        <f t="shared" si="74"/>
        <v>14295400</v>
      </c>
      <c r="AU481" s="53">
        <f t="shared" si="72"/>
        <v>0</v>
      </c>
      <c r="AV481" s="53">
        <f t="shared" si="72"/>
        <v>0</v>
      </c>
      <c r="AW481" s="53">
        <f t="shared" si="72"/>
        <v>0</v>
      </c>
      <c r="AX481" s="53">
        <f t="shared" si="70"/>
        <v>0</v>
      </c>
      <c r="AY481" s="41" t="s">
        <v>557</v>
      </c>
    </row>
    <row r="482" spans="1:51" x14ac:dyDescent="0.2">
      <c r="A482" s="41" t="s">
        <v>583</v>
      </c>
      <c r="B482" s="41">
        <v>2007</v>
      </c>
      <c r="C482" s="41" t="s">
        <v>91</v>
      </c>
      <c r="D482" s="41" t="s">
        <v>88</v>
      </c>
      <c r="E482" s="41">
        <v>0</v>
      </c>
      <c r="F482" s="41" t="s">
        <v>584</v>
      </c>
      <c r="G482" s="53">
        <v>1493400</v>
      </c>
      <c r="J482" s="47">
        <v>41.840377661711528</v>
      </c>
      <c r="L482" s="46">
        <v>3.7692245881880275</v>
      </c>
      <c r="M482" s="46">
        <v>5.5922860586580958</v>
      </c>
      <c r="S482" s="53">
        <v>3170</v>
      </c>
      <c r="T482" s="53">
        <v>427</v>
      </c>
      <c r="U482" s="53">
        <v>43384.5</v>
      </c>
      <c r="X482" s="76">
        <f t="shared" si="71"/>
        <v>94000</v>
      </c>
      <c r="Y482" s="53">
        <v>47000</v>
      </c>
      <c r="Z482" s="76">
        <f t="shared" si="73"/>
        <v>131400</v>
      </c>
      <c r="AA482" s="53">
        <v>65700</v>
      </c>
      <c r="AO482" s="53">
        <f t="shared" si="75"/>
        <v>0</v>
      </c>
      <c r="AP482" s="53">
        <f t="shared" si="75"/>
        <v>0</v>
      </c>
      <c r="AQ482" s="53">
        <f t="shared" si="75"/>
        <v>62484420</v>
      </c>
      <c r="AR482" s="53">
        <f t="shared" si="74"/>
        <v>0</v>
      </c>
      <c r="AS482" s="53">
        <f t="shared" si="74"/>
        <v>5628960</v>
      </c>
      <c r="AT482" s="53">
        <f t="shared" si="74"/>
        <v>8351520</v>
      </c>
      <c r="AU482" s="53">
        <f t="shared" si="72"/>
        <v>0</v>
      </c>
      <c r="AV482" s="53">
        <f t="shared" si="72"/>
        <v>0</v>
      </c>
      <c r="AW482" s="53">
        <f t="shared" si="72"/>
        <v>0</v>
      </c>
      <c r="AX482" s="53">
        <f t="shared" si="70"/>
        <v>0</v>
      </c>
      <c r="AY482" s="41" t="s">
        <v>557</v>
      </c>
    </row>
    <row r="483" spans="1:51" x14ac:dyDescent="0.2">
      <c r="A483" s="41" t="s">
        <v>583</v>
      </c>
      <c r="B483" s="41">
        <v>2008</v>
      </c>
      <c r="C483" s="41" t="s">
        <v>91</v>
      </c>
      <c r="D483" s="41" t="s">
        <v>88</v>
      </c>
      <c r="E483" s="41">
        <v>0</v>
      </c>
      <c r="F483" s="41" t="s">
        <v>584</v>
      </c>
      <c r="G483" s="53">
        <v>1770900</v>
      </c>
      <c r="J483" s="47">
        <v>33.175334575639503</v>
      </c>
      <c r="L483" s="46">
        <v>3.1765260601953811</v>
      </c>
      <c r="M483" s="46">
        <v>5.5735614659212827</v>
      </c>
      <c r="S483" s="53">
        <v>3800</v>
      </c>
      <c r="T483" s="53">
        <v>499.43490000000003</v>
      </c>
      <c r="U483" s="53">
        <v>41798.400000000001</v>
      </c>
      <c r="X483" s="76">
        <f t="shared" si="71"/>
        <v>89400</v>
      </c>
      <c r="Y483" s="53">
        <v>44700</v>
      </c>
      <c r="Z483" s="76">
        <f t="shared" si="73"/>
        <v>151800</v>
      </c>
      <c r="AA483" s="53">
        <v>75900</v>
      </c>
      <c r="AO483" s="53">
        <f t="shared" si="75"/>
        <v>0</v>
      </c>
      <c r="AP483" s="53">
        <f t="shared" si="75"/>
        <v>0</v>
      </c>
      <c r="AQ483" s="53">
        <f t="shared" si="75"/>
        <v>58750200</v>
      </c>
      <c r="AR483" s="53">
        <f t="shared" si="74"/>
        <v>0</v>
      </c>
      <c r="AS483" s="53">
        <f t="shared" si="74"/>
        <v>5625310</v>
      </c>
      <c r="AT483" s="53">
        <f t="shared" si="74"/>
        <v>9870220</v>
      </c>
      <c r="AU483" s="53">
        <f t="shared" si="72"/>
        <v>0</v>
      </c>
      <c r="AV483" s="53">
        <f t="shared" si="72"/>
        <v>0</v>
      </c>
      <c r="AW483" s="53">
        <f t="shared" si="72"/>
        <v>0</v>
      </c>
      <c r="AX483" s="53">
        <f t="shared" si="70"/>
        <v>0</v>
      </c>
      <c r="AY483" s="41" t="s">
        <v>557</v>
      </c>
    </row>
    <row r="484" spans="1:51" x14ac:dyDescent="0.2">
      <c r="A484" s="41" t="s">
        <v>583</v>
      </c>
      <c r="B484" s="41">
        <v>2009</v>
      </c>
      <c r="C484" s="41" t="s">
        <v>91</v>
      </c>
      <c r="D484" s="41" t="s">
        <v>88</v>
      </c>
      <c r="E484" s="41">
        <v>0</v>
      </c>
      <c r="F484" s="41" t="s">
        <v>584</v>
      </c>
      <c r="G484" s="53">
        <v>1528000</v>
      </c>
      <c r="J484" s="47">
        <v>49.320955497382201</v>
      </c>
      <c r="L484" s="46">
        <v>4.3649672774869108</v>
      </c>
      <c r="M484" s="46">
        <v>5.2687303664921465</v>
      </c>
      <c r="S484" s="53">
        <v>4000</v>
      </c>
      <c r="T484" s="53">
        <v>746.4</v>
      </c>
      <c r="U484" s="53">
        <v>56570.9</v>
      </c>
      <c r="X484" s="76">
        <f t="shared" si="71"/>
        <v>108200</v>
      </c>
      <c r="Y484" s="53">
        <v>54100</v>
      </c>
      <c r="Z484" s="76">
        <f t="shared" si="73"/>
        <v>117600</v>
      </c>
      <c r="AA484" s="53">
        <v>58800</v>
      </c>
      <c r="AO484" s="53">
        <f t="shared" si="75"/>
        <v>0</v>
      </c>
      <c r="AP484" s="53">
        <f t="shared" si="75"/>
        <v>0</v>
      </c>
      <c r="AQ484" s="53">
        <f t="shared" si="75"/>
        <v>75362420</v>
      </c>
      <c r="AR484" s="53">
        <f t="shared" si="74"/>
        <v>0</v>
      </c>
      <c r="AS484" s="53">
        <f t="shared" si="74"/>
        <v>6669670</v>
      </c>
      <c r="AT484" s="53">
        <f t="shared" si="74"/>
        <v>8050620</v>
      </c>
      <c r="AU484" s="53">
        <f t="shared" si="72"/>
        <v>0</v>
      </c>
      <c r="AV484" s="53">
        <f t="shared" si="72"/>
        <v>0</v>
      </c>
      <c r="AW484" s="53">
        <f t="shared" si="72"/>
        <v>0</v>
      </c>
      <c r="AX484" s="53">
        <f t="shared" si="70"/>
        <v>0</v>
      </c>
      <c r="AY484" s="41" t="s">
        <v>557</v>
      </c>
    </row>
    <row r="485" spans="1:51" x14ac:dyDescent="0.2">
      <c r="A485" s="41" t="s">
        <v>583</v>
      </c>
      <c r="B485" s="41">
        <v>2010</v>
      </c>
      <c r="C485" s="41" t="s">
        <v>91</v>
      </c>
      <c r="D485" s="41" t="s">
        <v>88</v>
      </c>
      <c r="E485" s="41">
        <v>0</v>
      </c>
      <c r="F485" s="41" t="s">
        <v>584</v>
      </c>
      <c r="G485" s="53">
        <v>1637600</v>
      </c>
      <c r="J485" s="47">
        <v>37.900641182217882</v>
      </c>
      <c r="L485" s="46">
        <v>3.6272655105031752</v>
      </c>
      <c r="M485" s="46">
        <v>4.4028273082559846</v>
      </c>
      <c r="S485" s="53">
        <v>4000</v>
      </c>
      <c r="T485" s="53">
        <v>684.2</v>
      </c>
      <c r="U485" s="53">
        <v>44690.7</v>
      </c>
      <c r="X485" s="76">
        <f t="shared" si="71"/>
        <v>102400</v>
      </c>
      <c r="Y485" s="53">
        <v>51200</v>
      </c>
      <c r="Z485" s="76">
        <f t="shared" si="73"/>
        <v>127200</v>
      </c>
      <c r="AA485" s="53">
        <v>63600</v>
      </c>
      <c r="AO485" s="53">
        <f t="shared" si="75"/>
        <v>0</v>
      </c>
      <c r="AP485" s="53">
        <f t="shared" si="75"/>
        <v>0</v>
      </c>
      <c r="AQ485" s="53">
        <f t="shared" si="75"/>
        <v>62066090</v>
      </c>
      <c r="AR485" s="53">
        <f t="shared" si="74"/>
        <v>0</v>
      </c>
      <c r="AS485" s="53">
        <f t="shared" si="74"/>
        <v>5940010</v>
      </c>
      <c r="AT485" s="53">
        <f t="shared" si="74"/>
        <v>7210070</v>
      </c>
      <c r="AU485" s="53">
        <f t="shared" si="72"/>
        <v>0</v>
      </c>
      <c r="AV485" s="53">
        <f t="shared" si="72"/>
        <v>0</v>
      </c>
      <c r="AW485" s="53">
        <f t="shared" si="72"/>
        <v>0</v>
      </c>
      <c r="AX485" s="53">
        <f t="shared" si="70"/>
        <v>0</v>
      </c>
      <c r="AY485" s="41" t="s">
        <v>557</v>
      </c>
    </row>
    <row r="486" spans="1:51" x14ac:dyDescent="0.2">
      <c r="A486" s="41" t="s">
        <v>583</v>
      </c>
      <c r="B486" s="41">
        <v>2011</v>
      </c>
      <c r="C486" s="41" t="s">
        <v>91</v>
      </c>
      <c r="D486" s="41" t="s">
        <v>88</v>
      </c>
      <c r="E486" s="41">
        <v>0</v>
      </c>
      <c r="F486" s="41" t="s">
        <v>584</v>
      </c>
      <c r="G486" s="53">
        <v>1749200</v>
      </c>
      <c r="J486" s="47">
        <v>36.033260919277382</v>
      </c>
      <c r="L486" s="46">
        <v>3.3857191859135605</v>
      </c>
      <c r="M486" s="46">
        <v>4.4609650125771783</v>
      </c>
      <c r="S486" s="53">
        <v>4000</v>
      </c>
      <c r="T486" s="53">
        <v>1119.5999999999999</v>
      </c>
      <c r="U486" s="53">
        <v>46339</v>
      </c>
      <c r="X486" s="76">
        <f t="shared" si="71"/>
        <v>99000</v>
      </c>
      <c r="Y486" s="53">
        <v>49500</v>
      </c>
      <c r="Z486" s="76">
        <f t="shared" si="73"/>
        <v>127200</v>
      </c>
      <c r="AA486" s="53">
        <v>63600</v>
      </c>
      <c r="AO486" s="53">
        <f t="shared" si="75"/>
        <v>0</v>
      </c>
      <c r="AP486" s="53">
        <f t="shared" si="75"/>
        <v>0</v>
      </c>
      <c r="AQ486" s="53">
        <f t="shared" si="75"/>
        <v>63029379.999999993</v>
      </c>
      <c r="AR486" s="53">
        <f t="shared" si="74"/>
        <v>0</v>
      </c>
      <c r="AS486" s="53">
        <f t="shared" si="74"/>
        <v>5922300</v>
      </c>
      <c r="AT486" s="53">
        <f t="shared" si="74"/>
        <v>7803120</v>
      </c>
      <c r="AU486" s="53">
        <f t="shared" si="72"/>
        <v>0</v>
      </c>
      <c r="AV486" s="53">
        <f t="shared" si="72"/>
        <v>0</v>
      </c>
      <c r="AW486" s="53">
        <f t="shared" si="72"/>
        <v>0</v>
      </c>
      <c r="AX486" s="53">
        <f>$G486*E486</f>
        <v>0</v>
      </c>
      <c r="AY486" s="41" t="s">
        <v>557</v>
      </c>
    </row>
    <row r="487" spans="1:51" x14ac:dyDescent="0.2">
      <c r="A487" s="41" t="s">
        <v>583</v>
      </c>
      <c r="B487" s="41">
        <v>2012</v>
      </c>
      <c r="C487" s="41" t="s">
        <v>91</v>
      </c>
      <c r="D487" s="41" t="s">
        <v>88</v>
      </c>
      <c r="E487" s="41">
        <v>0</v>
      </c>
      <c r="F487" s="41" t="s">
        <v>584</v>
      </c>
      <c r="G487" s="53">
        <v>1692400</v>
      </c>
      <c r="J487" s="47">
        <v>39.514104230678328</v>
      </c>
      <c r="L487" s="46">
        <v>3.7222110612148427</v>
      </c>
      <c r="M487" s="46">
        <v>5.0119475301347203</v>
      </c>
      <c r="S487" s="53">
        <v>3000</v>
      </c>
      <c r="T487" s="53">
        <v>1741.6</v>
      </c>
      <c r="U487" s="53">
        <v>49013.600000000006</v>
      </c>
      <c r="X487" s="76">
        <f t="shared" si="71"/>
        <v>102800</v>
      </c>
      <c r="Y487" s="53">
        <v>51400</v>
      </c>
      <c r="Z487" s="76">
        <f t="shared" si="73"/>
        <v>128400</v>
      </c>
      <c r="AA487" s="53">
        <v>64200</v>
      </c>
      <c r="AO487" s="53">
        <f t="shared" si="75"/>
        <v>0</v>
      </c>
      <c r="AP487" s="53">
        <f t="shared" si="75"/>
        <v>0</v>
      </c>
      <c r="AQ487" s="53">
        <f t="shared" si="75"/>
        <v>66873670</v>
      </c>
      <c r="AR487" s="53">
        <f t="shared" si="74"/>
        <v>0</v>
      </c>
      <c r="AS487" s="53">
        <f t="shared" si="74"/>
        <v>6299470</v>
      </c>
      <c r="AT487" s="53">
        <f t="shared" si="74"/>
        <v>8482220</v>
      </c>
      <c r="AU487" s="53">
        <f t="shared" si="72"/>
        <v>0</v>
      </c>
      <c r="AV487" s="53">
        <f t="shared" si="72"/>
        <v>0</v>
      </c>
      <c r="AW487" s="53">
        <f t="shared" si="72"/>
        <v>0</v>
      </c>
      <c r="AX487" s="53">
        <f>$G487*E487</f>
        <v>0</v>
      </c>
      <c r="AY487" s="41" t="s">
        <v>557</v>
      </c>
    </row>
    <row r="488" spans="1:51" x14ac:dyDescent="0.2">
      <c r="A488" s="41" t="s">
        <v>583</v>
      </c>
      <c r="B488" s="41">
        <v>2013</v>
      </c>
      <c r="C488" s="41" t="s">
        <v>91</v>
      </c>
      <c r="D488" s="41" t="s">
        <v>88</v>
      </c>
      <c r="E488" s="41">
        <v>0</v>
      </c>
      <c r="F488" s="41" t="s">
        <v>584</v>
      </c>
      <c r="G488" s="53">
        <v>1604000</v>
      </c>
      <c r="J488" s="47">
        <v>34.593241895261848</v>
      </c>
      <c r="L488" s="46">
        <v>3.3657418952618454</v>
      </c>
      <c r="M488" s="46">
        <v>4.848372817955112</v>
      </c>
      <c r="S488" s="53">
        <v>4000</v>
      </c>
      <c r="T488" s="53">
        <v>2052.6</v>
      </c>
      <c r="U488" s="53">
        <v>38994.5</v>
      </c>
      <c r="X488" s="76">
        <f t="shared" si="71"/>
        <v>86480</v>
      </c>
      <c r="Y488" s="53">
        <v>43240</v>
      </c>
      <c r="Z488" s="76">
        <f t="shared" si="73"/>
        <v>119100.8</v>
      </c>
      <c r="AA488" s="53">
        <v>59550.400000000001</v>
      </c>
      <c r="AO488" s="53">
        <f t="shared" si="75"/>
        <v>0</v>
      </c>
      <c r="AP488" s="53">
        <f t="shared" si="75"/>
        <v>0</v>
      </c>
      <c r="AQ488" s="53">
        <f t="shared" si="75"/>
        <v>55487560</v>
      </c>
      <c r="AR488" s="53">
        <f t="shared" si="74"/>
        <v>0</v>
      </c>
      <c r="AS488" s="53">
        <f t="shared" si="74"/>
        <v>5398650</v>
      </c>
      <c r="AT488" s="53">
        <f t="shared" si="74"/>
        <v>7776790</v>
      </c>
      <c r="AU488" s="53">
        <f t="shared" si="72"/>
        <v>0</v>
      </c>
      <c r="AV488" s="53">
        <f t="shared" si="72"/>
        <v>0</v>
      </c>
      <c r="AW488" s="53">
        <f t="shared" si="72"/>
        <v>0</v>
      </c>
      <c r="AX488" s="53">
        <f>$G488*E488</f>
        <v>0</v>
      </c>
      <c r="AY488" s="41" t="s">
        <v>557</v>
      </c>
    </row>
    <row r="489" spans="1:51" x14ac:dyDescent="0.2">
      <c r="A489" s="41" t="s">
        <v>583</v>
      </c>
      <c r="B489" s="41">
        <v>2014</v>
      </c>
      <c r="C489" s="41" t="s">
        <v>91</v>
      </c>
      <c r="D489" s="41" t="s">
        <v>88</v>
      </c>
      <c r="E489" s="41">
        <v>0</v>
      </c>
      <c r="F489" s="41" t="s">
        <v>584</v>
      </c>
      <c r="G489" s="53">
        <v>1600000</v>
      </c>
      <c r="J489" s="41">
        <v>43</v>
      </c>
      <c r="L489" s="41">
        <v>4</v>
      </c>
      <c r="M489" s="41">
        <v>5.3</v>
      </c>
      <c r="S489" s="53">
        <v>4000</v>
      </c>
      <c r="T489" s="53">
        <v>1051.18</v>
      </c>
      <c r="U489" s="53">
        <v>47128</v>
      </c>
      <c r="X489" s="76">
        <f t="shared" si="71"/>
        <v>107520</v>
      </c>
      <c r="Y489" s="53">
        <v>53760</v>
      </c>
      <c r="Z489" s="76">
        <f t="shared" si="73"/>
        <v>142803.20000000001</v>
      </c>
      <c r="AA489" s="53">
        <v>71401.600000000006</v>
      </c>
      <c r="AO489" s="53">
        <f t="shared" si="75"/>
        <v>0</v>
      </c>
      <c r="AP489" s="53">
        <f t="shared" si="75"/>
        <v>0</v>
      </c>
      <c r="AQ489" s="53">
        <f t="shared" si="75"/>
        <v>68800000</v>
      </c>
      <c r="AR489" s="53">
        <f t="shared" si="74"/>
        <v>0</v>
      </c>
      <c r="AS489" s="53">
        <f t="shared" si="74"/>
        <v>6400000</v>
      </c>
      <c r="AT489" s="53">
        <f t="shared" si="74"/>
        <v>8480000</v>
      </c>
      <c r="AU489" s="53">
        <f t="shared" si="72"/>
        <v>0</v>
      </c>
      <c r="AV489" s="53">
        <f t="shared" si="72"/>
        <v>0</v>
      </c>
      <c r="AW489" s="53">
        <f t="shared" si="72"/>
        <v>0</v>
      </c>
      <c r="AX489" s="53">
        <f>$G489*E489</f>
        <v>0</v>
      </c>
      <c r="AY489" s="41" t="s">
        <v>557</v>
      </c>
    </row>
    <row r="490" spans="1:51" x14ac:dyDescent="0.2">
      <c r="A490" s="41" t="s">
        <v>583</v>
      </c>
      <c r="B490" s="41">
        <v>2015</v>
      </c>
      <c r="C490" s="41" t="s">
        <v>91</v>
      </c>
      <c r="D490" s="41" t="s">
        <v>88</v>
      </c>
      <c r="E490" s="41">
        <v>0</v>
      </c>
      <c r="F490" s="41" t="s">
        <v>584</v>
      </c>
      <c r="G490" s="53">
        <v>1600000</v>
      </c>
      <c r="J490" s="41">
        <v>43</v>
      </c>
      <c r="L490" s="41">
        <v>4</v>
      </c>
      <c r="M490" s="41">
        <v>5.3</v>
      </c>
      <c r="S490" s="53">
        <v>4000</v>
      </c>
      <c r="T490" s="53">
        <v>2404.0300000000002</v>
      </c>
      <c r="U490" s="53">
        <v>47128</v>
      </c>
      <c r="X490" s="76">
        <f>Y490*2</f>
        <v>107520</v>
      </c>
      <c r="Y490" s="53">
        <v>53760</v>
      </c>
      <c r="Z490" s="76">
        <f t="shared" si="73"/>
        <v>142803.20000000001</v>
      </c>
      <c r="AA490" s="53">
        <v>71401.600000000006</v>
      </c>
      <c r="AO490" s="53">
        <f t="shared" si="75"/>
        <v>0</v>
      </c>
      <c r="AP490" s="53">
        <f t="shared" si="75"/>
        <v>0</v>
      </c>
      <c r="AQ490" s="53">
        <f t="shared" si="75"/>
        <v>68800000</v>
      </c>
      <c r="AR490" s="53">
        <f t="shared" si="74"/>
        <v>0</v>
      </c>
      <c r="AS490" s="53">
        <f t="shared" si="74"/>
        <v>6400000</v>
      </c>
      <c r="AT490" s="53">
        <f t="shared" si="74"/>
        <v>8480000</v>
      </c>
      <c r="AU490" s="53">
        <f t="shared" si="72"/>
        <v>0</v>
      </c>
      <c r="AV490" s="53">
        <f t="shared" si="72"/>
        <v>0</v>
      </c>
      <c r="AW490" s="53">
        <f t="shared" si="72"/>
        <v>0</v>
      </c>
      <c r="AX490" s="53">
        <f>$G490*E490</f>
        <v>0</v>
      </c>
      <c r="AY490" s="41" t="s">
        <v>557</v>
      </c>
    </row>
    <row r="491" spans="1:51" x14ac:dyDescent="0.2">
      <c r="A491" s="41" t="s">
        <v>583</v>
      </c>
      <c r="B491" s="60" t="s">
        <v>559</v>
      </c>
      <c r="C491" s="60" t="s">
        <v>91</v>
      </c>
      <c r="D491" s="60" t="s">
        <v>88</v>
      </c>
      <c r="E491" s="78">
        <f>AX491/$G491</f>
        <v>2.194444973313971</v>
      </c>
      <c r="F491" s="60" t="s">
        <v>584</v>
      </c>
      <c r="G491" s="79">
        <f>SUM(G358:G490)</f>
        <v>219890487.52240002</v>
      </c>
      <c r="J491" s="98">
        <f>AQ491/$G491</f>
        <v>151.37006703280213</v>
      </c>
      <c r="K491" s="59"/>
      <c r="L491" s="78">
        <f>AS491/$G491</f>
        <v>10.001198683789749</v>
      </c>
      <c r="M491" s="78">
        <f>AT491/$G491</f>
        <v>9.8004900714879195</v>
      </c>
      <c r="S491" s="79">
        <f>SUM(S358:S490)</f>
        <v>264729.21600000001</v>
      </c>
      <c r="T491" s="79">
        <f>SUM(T358:T490)</f>
        <v>38312.247940000001</v>
      </c>
      <c r="U491" s="79">
        <f>SUM(U358:U490)</f>
        <v>30626221.409730427</v>
      </c>
      <c r="X491" s="79">
        <f>SUM(X358:X490)</f>
        <v>41205377.39150095</v>
      </c>
      <c r="Y491" s="79">
        <f>SUM(Y358:Y490)</f>
        <v>20602688.695750475</v>
      </c>
      <c r="Z491" s="79">
        <f>SUM(Z358:Z490)</f>
        <v>39434804.647292808</v>
      </c>
      <c r="AA491" s="79">
        <f>SUM(AA358:AA490)</f>
        <v>19717402.323646404</v>
      </c>
      <c r="AO491" s="79">
        <f t="shared" ref="AO491:AX491" si="76">SUM(AO358:AO490)</f>
        <v>0</v>
      </c>
      <c r="AP491" s="79">
        <f t="shared" si="76"/>
        <v>0</v>
      </c>
      <c r="AQ491" s="79">
        <f t="shared" si="76"/>
        <v>33284837836.141228</v>
      </c>
      <c r="AR491" s="79">
        <f t="shared" si="76"/>
        <v>0</v>
      </c>
      <c r="AS491" s="79">
        <f t="shared" si="76"/>
        <v>2199168454.3869133</v>
      </c>
      <c r="AT491" s="79">
        <f t="shared" si="76"/>
        <v>2155034539.7779198</v>
      </c>
      <c r="AU491" s="79">
        <f t="shared" si="76"/>
        <v>0</v>
      </c>
      <c r="AV491" s="79">
        <f t="shared" si="76"/>
        <v>0</v>
      </c>
      <c r="AW491" s="79">
        <f t="shared" si="76"/>
        <v>0</v>
      </c>
      <c r="AX491" s="79">
        <f t="shared" si="76"/>
        <v>482537575.02308917</v>
      </c>
      <c r="AY491" s="41" t="s">
        <v>557</v>
      </c>
    </row>
    <row r="492" spans="1:51" x14ac:dyDescent="0.2">
      <c r="A492" s="41" t="s">
        <v>583</v>
      </c>
      <c r="B492" s="43" t="s">
        <v>560</v>
      </c>
      <c r="G492" s="53">
        <f>STDEV(G358:G490)</f>
        <v>798196.95003994182</v>
      </c>
      <c r="J492" s="52">
        <f>STDEV(J358:J490)</f>
        <v>528.35700257578173</v>
      </c>
      <c r="K492" s="59"/>
      <c r="L492" s="46">
        <f>STDEV(L358:L490)</f>
        <v>4.5858990264849107</v>
      </c>
      <c r="M492" s="46">
        <f>STDEV(M358:M490)</f>
        <v>2.9533681780981453</v>
      </c>
      <c r="S492" s="53">
        <f>STDEV(S358:S490)</f>
        <v>1425.652843523284</v>
      </c>
      <c r="T492" s="53">
        <f>STDEV(T358:T490)</f>
        <v>354.12809066281721</v>
      </c>
      <c r="U492" s="53">
        <f>STDEV(U358:U490)</f>
        <v>115521.93248633918</v>
      </c>
      <c r="X492" s="53">
        <f>STDEV(X358:X490)</f>
        <v>146342.8919272731</v>
      </c>
      <c r="Y492" s="53">
        <f>STDEV(Y358:Y490)</f>
        <v>73171.44596363655</v>
      </c>
      <c r="Z492" s="53">
        <f>STDEV(Z358:Z490)</f>
        <v>153793.01644000201</v>
      </c>
      <c r="AA492" s="53">
        <f>STDEV(AA358:AA490)</f>
        <v>76896.508220001007</v>
      </c>
      <c r="AY492" s="41" t="s">
        <v>557</v>
      </c>
    </row>
    <row r="493" spans="1:51" x14ac:dyDescent="0.2">
      <c r="A493" s="41" t="s">
        <v>583</v>
      </c>
      <c r="B493" s="81" t="s">
        <v>249</v>
      </c>
      <c r="G493" s="41">
        <f>COUNT(G358:G490)</f>
        <v>133</v>
      </c>
      <c r="J493" s="59">
        <f>COUNT(J358:J490)</f>
        <v>133</v>
      </c>
      <c r="K493" s="59"/>
      <c r="L493" s="59">
        <f>COUNT(L358:L490)</f>
        <v>131</v>
      </c>
      <c r="M493" s="59">
        <f>COUNT(M358:M490)</f>
        <v>119</v>
      </c>
      <c r="S493" s="41">
        <f>COUNT(S358:S490)</f>
        <v>117</v>
      </c>
      <c r="T493" s="41">
        <f>COUNT(T358:T490)</f>
        <v>124</v>
      </c>
      <c r="U493" s="41">
        <f>COUNT(U358:U490)</f>
        <v>133</v>
      </c>
      <c r="X493" s="41">
        <f>COUNT(X358:X490)</f>
        <v>130</v>
      </c>
      <c r="Y493" s="41">
        <f>COUNT(Y358:Y490)</f>
        <v>130</v>
      </c>
      <c r="Z493" s="41">
        <f>COUNT(Z358:Z490)</f>
        <v>119</v>
      </c>
      <c r="AA493" s="41">
        <f>COUNT(AA358:AA490)</f>
        <v>119</v>
      </c>
      <c r="AY493" s="41" t="s">
        <v>557</v>
      </c>
    </row>
    <row r="494" spans="1:51" x14ac:dyDescent="0.2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8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41" t="s">
        <v>557</v>
      </c>
    </row>
    <row r="495" spans="1:51" x14ac:dyDescent="0.2">
      <c r="A495" s="41" t="s">
        <v>585</v>
      </c>
      <c r="B495" s="41" t="s">
        <v>586</v>
      </c>
      <c r="C495" s="41" t="s">
        <v>96</v>
      </c>
      <c r="D495" s="41" t="s">
        <v>88</v>
      </c>
      <c r="E495" s="47">
        <v>100</v>
      </c>
      <c r="F495" s="46" t="s">
        <v>587</v>
      </c>
      <c r="G495" s="53">
        <v>14451000</v>
      </c>
      <c r="H495" s="46">
        <v>0.21357889221704876</v>
      </c>
      <c r="I495" s="46">
        <v>0.77</v>
      </c>
      <c r="J495" s="58">
        <v>0.62</v>
      </c>
      <c r="R495" s="53">
        <v>99693.80109863737</v>
      </c>
      <c r="S495" s="53">
        <v>21605</v>
      </c>
      <c r="T495" s="53">
        <v>7889.1369999999997</v>
      </c>
      <c r="U495" s="76">
        <f t="shared" ref="U495:U503" si="77">((1000*T495)/(G495*I495))*(G495*J495)/1000</f>
        <v>6352.2921298701294</v>
      </c>
      <c r="AH495" s="53">
        <f t="shared" ref="AH495:AH511" si="78">G495-R495</f>
        <v>14351306.198901363</v>
      </c>
      <c r="AM495" s="53">
        <v>44381640</v>
      </c>
      <c r="AO495" s="53">
        <f t="shared" ref="AO495:AW512" si="79">$G495*H495</f>
        <v>3086428.5714285718</v>
      </c>
      <c r="AP495" s="53">
        <f t="shared" si="79"/>
        <v>11127270</v>
      </c>
      <c r="AQ495" s="53">
        <f t="shared" si="79"/>
        <v>8959620</v>
      </c>
      <c r="AR495" s="53">
        <f t="shared" si="79"/>
        <v>0</v>
      </c>
      <c r="AS495" s="53">
        <f t="shared" si="79"/>
        <v>0</v>
      </c>
      <c r="AT495" s="53">
        <f t="shared" si="79"/>
        <v>0</v>
      </c>
      <c r="AU495" s="53">
        <f t="shared" si="79"/>
        <v>0</v>
      </c>
      <c r="AV495" s="53">
        <f t="shared" si="79"/>
        <v>0</v>
      </c>
      <c r="AW495" s="53">
        <f t="shared" si="79"/>
        <v>0</v>
      </c>
      <c r="AX495" s="53">
        <f t="shared" ref="AX495:AX512" si="80">$G495*E495</f>
        <v>1445100000</v>
      </c>
      <c r="AY495" s="41" t="s">
        <v>557</v>
      </c>
    </row>
    <row r="496" spans="1:51" x14ac:dyDescent="0.2">
      <c r="A496" s="41" t="s">
        <v>585</v>
      </c>
      <c r="B496" s="41" t="s">
        <v>588</v>
      </c>
      <c r="C496" s="41" t="s">
        <v>96</v>
      </c>
      <c r="D496" s="41" t="s">
        <v>88</v>
      </c>
      <c r="E496" s="47">
        <v>98.779500591568592</v>
      </c>
      <c r="F496" s="46" t="s">
        <v>587</v>
      </c>
      <c r="G496" s="53">
        <v>16059000</v>
      </c>
      <c r="H496" s="46">
        <v>0.20938414596176599</v>
      </c>
      <c r="I496" s="46">
        <v>0.85147269443925522</v>
      </c>
      <c r="J496" s="58">
        <v>0.62</v>
      </c>
      <c r="R496" s="53">
        <v>123240.20012163806</v>
      </c>
      <c r="S496" s="53">
        <v>26979</v>
      </c>
      <c r="T496" s="53">
        <v>10420.055</v>
      </c>
      <c r="U496" s="76">
        <f t="shared" si="77"/>
        <v>7587.364976224605</v>
      </c>
      <c r="AH496" s="53">
        <f t="shared" si="78"/>
        <v>15935759.799878363</v>
      </c>
      <c r="AM496" s="53">
        <v>43036000</v>
      </c>
      <c r="AO496" s="53">
        <f t="shared" si="79"/>
        <v>3362500</v>
      </c>
      <c r="AP496" s="53">
        <f t="shared" si="79"/>
        <v>13673800</v>
      </c>
      <c r="AQ496" s="53">
        <f t="shared" si="79"/>
        <v>9956580</v>
      </c>
      <c r="AR496" s="53">
        <f t="shared" si="79"/>
        <v>0</v>
      </c>
      <c r="AS496" s="53">
        <f t="shared" si="79"/>
        <v>0</v>
      </c>
      <c r="AT496" s="53">
        <f t="shared" si="79"/>
        <v>0</v>
      </c>
      <c r="AU496" s="53">
        <f t="shared" si="79"/>
        <v>0</v>
      </c>
      <c r="AV496" s="53">
        <f t="shared" si="79"/>
        <v>0</v>
      </c>
      <c r="AW496" s="53">
        <f t="shared" si="79"/>
        <v>0</v>
      </c>
      <c r="AX496" s="53">
        <f t="shared" si="80"/>
        <v>1586300000</v>
      </c>
      <c r="AY496" s="41" t="s">
        <v>557</v>
      </c>
    </row>
    <row r="497" spans="1:51" x14ac:dyDescent="0.2">
      <c r="A497" s="41" t="s">
        <v>585</v>
      </c>
      <c r="B497" s="41" t="s">
        <v>589</v>
      </c>
      <c r="C497" s="41" t="s">
        <v>96</v>
      </c>
      <c r="D497" s="41" t="s">
        <v>88</v>
      </c>
      <c r="E497" s="47">
        <v>95.840760546642898</v>
      </c>
      <c r="F497" s="46" t="s">
        <v>587</v>
      </c>
      <c r="G497" s="53">
        <v>16830000</v>
      </c>
      <c r="H497" s="46">
        <v>0.22994652406417113</v>
      </c>
      <c r="I497" s="46">
        <v>0.8815210932857992</v>
      </c>
      <c r="J497" s="58">
        <v>0.62</v>
      </c>
      <c r="R497" s="53">
        <v>144591.75007688819</v>
      </c>
      <c r="S497" s="53">
        <v>32726</v>
      </c>
      <c r="T497" s="53">
        <v>10914.327300000001</v>
      </c>
      <c r="U497" s="76">
        <f t="shared" si="77"/>
        <v>7676.3709655284447</v>
      </c>
      <c r="AH497" s="53">
        <f t="shared" si="78"/>
        <v>16685408.249923112</v>
      </c>
      <c r="AM497" s="53">
        <v>40000000</v>
      </c>
      <c r="AO497" s="53">
        <f t="shared" si="79"/>
        <v>3870000</v>
      </c>
      <c r="AP497" s="53">
        <f t="shared" si="79"/>
        <v>14836000</v>
      </c>
      <c r="AQ497" s="53">
        <f t="shared" si="79"/>
        <v>10434600</v>
      </c>
      <c r="AR497" s="53">
        <f t="shared" si="79"/>
        <v>0</v>
      </c>
      <c r="AS497" s="53">
        <f t="shared" si="79"/>
        <v>0</v>
      </c>
      <c r="AT497" s="53">
        <f t="shared" si="79"/>
        <v>0</v>
      </c>
      <c r="AU497" s="53">
        <f t="shared" si="79"/>
        <v>0</v>
      </c>
      <c r="AV497" s="53">
        <f t="shared" si="79"/>
        <v>0</v>
      </c>
      <c r="AW497" s="53">
        <f t="shared" si="79"/>
        <v>0</v>
      </c>
      <c r="AX497" s="53">
        <f t="shared" si="80"/>
        <v>1613000000</v>
      </c>
      <c r="AY497" s="41" t="s">
        <v>557</v>
      </c>
    </row>
    <row r="498" spans="1:51" x14ac:dyDescent="0.2">
      <c r="A498" s="41" t="s">
        <v>585</v>
      </c>
      <c r="B498" s="41" t="s">
        <v>590</v>
      </c>
      <c r="C498" s="41" t="s">
        <v>96</v>
      </c>
      <c r="D498" s="41" t="s">
        <v>88</v>
      </c>
      <c r="E498" s="47">
        <v>88.717806701744664</v>
      </c>
      <c r="F498" s="46" t="s">
        <v>587</v>
      </c>
      <c r="G498" s="53">
        <v>18055000</v>
      </c>
      <c r="H498" s="46">
        <v>0.26529603987815009</v>
      </c>
      <c r="I498" s="46">
        <v>0.86292218222099137</v>
      </c>
      <c r="J498" s="58">
        <v>0.62</v>
      </c>
      <c r="R498" s="53">
        <v>156310</v>
      </c>
      <c r="S498" s="53">
        <v>40055</v>
      </c>
      <c r="T498" s="53">
        <v>12421.464400000001</v>
      </c>
      <c r="U498" s="76">
        <f t="shared" si="77"/>
        <v>8924.684156546251</v>
      </c>
      <c r="AH498" s="53">
        <f t="shared" si="78"/>
        <v>17898690</v>
      </c>
      <c r="AM498" s="53">
        <v>42722000</v>
      </c>
      <c r="AO498" s="53">
        <f t="shared" si="79"/>
        <v>4789920</v>
      </c>
      <c r="AP498" s="53">
        <f t="shared" si="79"/>
        <v>15580060</v>
      </c>
      <c r="AQ498" s="53">
        <f t="shared" si="79"/>
        <v>11194100</v>
      </c>
      <c r="AR498" s="53">
        <f t="shared" si="79"/>
        <v>0</v>
      </c>
      <c r="AS498" s="53">
        <f t="shared" si="79"/>
        <v>0</v>
      </c>
      <c r="AT498" s="53">
        <f t="shared" si="79"/>
        <v>0</v>
      </c>
      <c r="AU498" s="53">
        <f t="shared" si="79"/>
        <v>0</v>
      </c>
      <c r="AV498" s="53">
        <f t="shared" si="79"/>
        <v>0</v>
      </c>
      <c r="AW498" s="53">
        <f t="shared" si="79"/>
        <v>0</v>
      </c>
      <c r="AX498" s="53">
        <f t="shared" si="80"/>
        <v>1601800000</v>
      </c>
      <c r="AY498" s="41" t="s">
        <v>557</v>
      </c>
    </row>
    <row r="499" spans="1:51" x14ac:dyDescent="0.2">
      <c r="A499" s="41" t="s">
        <v>585</v>
      </c>
      <c r="B499" s="41" t="s">
        <v>591</v>
      </c>
      <c r="C499" s="41" t="s">
        <v>96</v>
      </c>
      <c r="D499" s="41" t="s">
        <v>88</v>
      </c>
      <c r="E499" s="47">
        <v>77.540598978699919</v>
      </c>
      <c r="F499" s="46" t="s">
        <v>587</v>
      </c>
      <c r="G499" s="53">
        <v>21737000</v>
      </c>
      <c r="H499" s="46">
        <v>0.35536596586465474</v>
      </c>
      <c r="I499" s="46">
        <v>1.2009757556240512</v>
      </c>
      <c r="J499" s="58">
        <v>0.62</v>
      </c>
      <c r="R499" s="53">
        <v>258378</v>
      </c>
      <c r="S499" s="53">
        <v>67738</v>
      </c>
      <c r="T499" s="53">
        <v>21035.635699999999</v>
      </c>
      <c r="U499" s="76">
        <f t="shared" si="77"/>
        <v>10859.581530205884</v>
      </c>
      <c r="AH499" s="53">
        <f t="shared" si="78"/>
        <v>21478622</v>
      </c>
      <c r="AM499" s="53">
        <v>59295000</v>
      </c>
      <c r="AO499" s="53">
        <f t="shared" si="79"/>
        <v>7724590</v>
      </c>
      <c r="AP499" s="53">
        <f t="shared" si="79"/>
        <v>26105610</v>
      </c>
      <c r="AQ499" s="53">
        <f t="shared" si="79"/>
        <v>13476940</v>
      </c>
      <c r="AR499" s="53">
        <f t="shared" si="79"/>
        <v>0</v>
      </c>
      <c r="AS499" s="53">
        <f t="shared" si="79"/>
        <v>0</v>
      </c>
      <c r="AT499" s="53">
        <f t="shared" si="79"/>
        <v>0</v>
      </c>
      <c r="AU499" s="53">
        <f t="shared" si="79"/>
        <v>0</v>
      </c>
      <c r="AV499" s="53">
        <f t="shared" si="79"/>
        <v>0</v>
      </c>
      <c r="AW499" s="53">
        <f t="shared" si="79"/>
        <v>0</v>
      </c>
      <c r="AX499" s="53">
        <f t="shared" si="80"/>
        <v>1685500000.0000002</v>
      </c>
      <c r="AY499" s="41" t="s">
        <v>557</v>
      </c>
    </row>
    <row r="500" spans="1:51" x14ac:dyDescent="0.2">
      <c r="A500" s="41" t="s">
        <v>585</v>
      </c>
      <c r="B500" s="41" t="s">
        <v>592</v>
      </c>
      <c r="C500" s="41" t="s">
        <v>96</v>
      </c>
      <c r="D500" s="41" t="s">
        <v>88</v>
      </c>
      <c r="E500" s="47">
        <v>76.202329095919637</v>
      </c>
      <c r="F500" s="46" t="s">
        <v>587</v>
      </c>
      <c r="G500" s="53">
        <v>22498000</v>
      </c>
      <c r="H500" s="46">
        <v>0.4236629922659792</v>
      </c>
      <c r="I500" s="46">
        <v>1.1662458885234244</v>
      </c>
      <c r="J500" s="58">
        <v>0.62</v>
      </c>
      <c r="R500" s="53">
        <v>328791</v>
      </c>
      <c r="S500" s="53">
        <v>84758</v>
      </c>
      <c r="T500" s="53">
        <v>21219.125700000004</v>
      </c>
      <c r="U500" s="76">
        <f t="shared" si="77"/>
        <v>11280.518168133944</v>
      </c>
      <c r="AH500" s="53">
        <f t="shared" si="78"/>
        <v>22169209</v>
      </c>
      <c r="AM500" s="53">
        <v>59456000</v>
      </c>
      <c r="AO500" s="53">
        <f t="shared" si="79"/>
        <v>9531570</v>
      </c>
      <c r="AP500" s="53">
        <f t="shared" si="79"/>
        <v>26238200</v>
      </c>
      <c r="AQ500" s="53">
        <f t="shared" si="79"/>
        <v>13948760</v>
      </c>
      <c r="AR500" s="53">
        <f t="shared" si="79"/>
        <v>0</v>
      </c>
      <c r="AS500" s="53">
        <f t="shared" si="79"/>
        <v>0</v>
      </c>
      <c r="AT500" s="53">
        <f t="shared" si="79"/>
        <v>0</v>
      </c>
      <c r="AU500" s="53">
        <f t="shared" si="79"/>
        <v>0</v>
      </c>
      <c r="AV500" s="53">
        <f t="shared" si="79"/>
        <v>0</v>
      </c>
      <c r="AW500" s="53">
        <f t="shared" si="79"/>
        <v>0</v>
      </c>
      <c r="AX500" s="53">
        <f t="shared" si="80"/>
        <v>1714400000</v>
      </c>
      <c r="AY500" s="41" t="s">
        <v>557</v>
      </c>
    </row>
    <row r="501" spans="1:51" x14ac:dyDescent="0.2">
      <c r="A501" s="41" t="s">
        <v>585</v>
      </c>
      <c r="B501" s="41" t="s">
        <v>593</v>
      </c>
      <c r="C501" s="41" t="s">
        <v>96</v>
      </c>
      <c r="D501" s="41" t="s">
        <v>88</v>
      </c>
      <c r="E501" s="47">
        <v>74.648398511931774</v>
      </c>
      <c r="F501" s="46" t="s">
        <v>587</v>
      </c>
      <c r="G501" s="53">
        <v>22042000</v>
      </c>
      <c r="H501" s="46">
        <v>0.37075673713819074</v>
      </c>
      <c r="I501" s="46">
        <v>1.203288267852282</v>
      </c>
      <c r="J501" s="58">
        <v>0.62</v>
      </c>
      <c r="R501" s="53">
        <v>272293</v>
      </c>
      <c r="S501" s="53">
        <v>72157</v>
      </c>
      <c r="T501" s="53">
        <v>21476.1361</v>
      </c>
      <c r="U501" s="76">
        <f t="shared" si="77"/>
        <v>11065.681215163813</v>
      </c>
      <c r="AH501" s="53">
        <f t="shared" si="78"/>
        <v>21769707</v>
      </c>
      <c r="AM501" s="53">
        <v>60646000</v>
      </c>
      <c r="AO501" s="53">
        <f t="shared" si="79"/>
        <v>8172220</v>
      </c>
      <c r="AP501" s="53">
        <f t="shared" si="79"/>
        <v>26522880</v>
      </c>
      <c r="AQ501" s="53">
        <f t="shared" si="79"/>
        <v>13666040</v>
      </c>
      <c r="AR501" s="53">
        <f t="shared" si="79"/>
        <v>0</v>
      </c>
      <c r="AS501" s="53">
        <f t="shared" si="79"/>
        <v>0</v>
      </c>
      <c r="AT501" s="53">
        <f t="shared" si="79"/>
        <v>0</v>
      </c>
      <c r="AU501" s="53">
        <f t="shared" si="79"/>
        <v>0</v>
      </c>
      <c r="AV501" s="53">
        <f t="shared" si="79"/>
        <v>0</v>
      </c>
      <c r="AW501" s="53">
        <f t="shared" si="79"/>
        <v>0</v>
      </c>
      <c r="AX501" s="53">
        <f t="shared" si="80"/>
        <v>1645400000.0000002</v>
      </c>
      <c r="AY501" s="41" t="s">
        <v>557</v>
      </c>
    </row>
    <row r="502" spans="1:51" x14ac:dyDescent="0.2">
      <c r="A502" s="41" t="s">
        <v>585</v>
      </c>
      <c r="B502" s="41" t="s">
        <v>594</v>
      </c>
      <c r="C502" s="41" t="s">
        <v>96</v>
      </c>
      <c r="D502" s="41" t="s">
        <v>88</v>
      </c>
      <c r="E502" s="47">
        <v>73.67745615285898</v>
      </c>
      <c r="F502" s="46" t="s">
        <v>587</v>
      </c>
      <c r="G502" s="53">
        <v>21039000</v>
      </c>
      <c r="H502" s="46">
        <v>0.33331812348495649</v>
      </c>
      <c r="I502" s="46">
        <v>1.1110475783069538</v>
      </c>
      <c r="J502" s="58">
        <v>0.62</v>
      </c>
      <c r="R502" s="53">
        <v>236586</v>
      </c>
      <c r="S502" s="53">
        <v>62147</v>
      </c>
      <c r="T502" s="53">
        <v>19121.3063</v>
      </c>
      <c r="U502" s="76">
        <f t="shared" si="77"/>
        <v>10670.299038017176</v>
      </c>
      <c r="AH502" s="53">
        <f t="shared" si="78"/>
        <v>20802414</v>
      </c>
      <c r="AM502" s="53">
        <v>41999000</v>
      </c>
      <c r="AO502" s="53">
        <f t="shared" si="79"/>
        <v>7012679.9999999991</v>
      </c>
      <c r="AP502" s="53">
        <f t="shared" si="79"/>
        <v>23375330</v>
      </c>
      <c r="AQ502" s="53">
        <f t="shared" si="79"/>
        <v>13044180</v>
      </c>
      <c r="AR502" s="53">
        <f t="shared" si="79"/>
        <v>0</v>
      </c>
      <c r="AS502" s="53">
        <f t="shared" si="79"/>
        <v>0</v>
      </c>
      <c r="AT502" s="53">
        <f t="shared" si="79"/>
        <v>0</v>
      </c>
      <c r="AU502" s="53">
        <f t="shared" si="79"/>
        <v>0</v>
      </c>
      <c r="AV502" s="53">
        <f t="shared" si="79"/>
        <v>0</v>
      </c>
      <c r="AW502" s="53">
        <f t="shared" si="79"/>
        <v>0</v>
      </c>
      <c r="AX502" s="53">
        <f t="shared" si="80"/>
        <v>1550100000</v>
      </c>
      <c r="AY502" s="41" t="s">
        <v>557</v>
      </c>
    </row>
    <row r="503" spans="1:51" x14ac:dyDescent="0.2">
      <c r="A503" s="41" t="s">
        <v>585</v>
      </c>
      <c r="B503" s="41" t="s">
        <v>595</v>
      </c>
      <c r="C503" s="41" t="s">
        <v>96</v>
      </c>
      <c r="D503" s="41" t="s">
        <v>88</v>
      </c>
      <c r="E503" s="47">
        <v>74.313813142601703</v>
      </c>
      <c r="F503" s="46" t="s">
        <v>587</v>
      </c>
      <c r="G503" s="53">
        <v>22370000</v>
      </c>
      <c r="H503" s="46">
        <v>0.30643942780509609</v>
      </c>
      <c r="I503" s="46">
        <v>0.94722306660706301</v>
      </c>
      <c r="J503" s="58">
        <v>0.62</v>
      </c>
      <c r="R503" s="53">
        <v>244333</v>
      </c>
      <c r="S503" s="53">
        <v>61121</v>
      </c>
      <c r="T503" s="53">
        <v>17437.459000000003</v>
      </c>
      <c r="U503" s="76">
        <f t="shared" si="77"/>
        <v>11413.599352817309</v>
      </c>
      <c r="AH503" s="53">
        <f t="shared" si="78"/>
        <v>22125667</v>
      </c>
      <c r="AM503" s="53">
        <v>34697000</v>
      </c>
      <c r="AO503" s="53">
        <f t="shared" si="79"/>
        <v>6855049.9999999991</v>
      </c>
      <c r="AP503" s="53">
        <f t="shared" si="79"/>
        <v>21189380</v>
      </c>
      <c r="AQ503" s="53">
        <f t="shared" si="79"/>
        <v>13869400</v>
      </c>
      <c r="AR503" s="53">
        <f t="shared" si="79"/>
        <v>0</v>
      </c>
      <c r="AS503" s="53">
        <f t="shared" si="79"/>
        <v>0</v>
      </c>
      <c r="AT503" s="53">
        <f t="shared" si="79"/>
        <v>0</v>
      </c>
      <c r="AU503" s="53">
        <f t="shared" si="79"/>
        <v>0</v>
      </c>
      <c r="AV503" s="53">
        <f t="shared" si="79"/>
        <v>0</v>
      </c>
      <c r="AW503" s="53">
        <f t="shared" si="79"/>
        <v>0</v>
      </c>
      <c r="AX503" s="53">
        <f t="shared" si="80"/>
        <v>1662400000</v>
      </c>
      <c r="AY503" s="41" t="s">
        <v>557</v>
      </c>
    </row>
    <row r="504" spans="1:51" x14ac:dyDescent="0.2">
      <c r="A504" s="41" t="s">
        <v>585</v>
      </c>
      <c r="B504" s="41" t="s">
        <v>596</v>
      </c>
      <c r="C504" s="41" t="s">
        <v>96</v>
      </c>
      <c r="D504" s="41" t="s">
        <v>88</v>
      </c>
      <c r="E504" s="47">
        <v>74.26473840166291</v>
      </c>
      <c r="F504" s="46" t="s">
        <v>587</v>
      </c>
      <c r="G504" s="53">
        <v>22611000</v>
      </c>
      <c r="H504" s="46">
        <v>0.30229578523727391</v>
      </c>
      <c r="I504" s="46">
        <v>1.1908022643845915</v>
      </c>
      <c r="J504" s="58">
        <v>0.62</v>
      </c>
      <c r="R504" s="53">
        <v>253455</v>
      </c>
      <c r="S504" s="53">
        <v>60686</v>
      </c>
      <c r="T504" s="53">
        <v>22254.724600000001</v>
      </c>
      <c r="U504" s="76">
        <f>((1000*T504)/(G504*I504))*(G504*J504)/1000</f>
        <v>11587.086844456744</v>
      </c>
      <c r="AH504" s="53">
        <f t="shared" si="78"/>
        <v>22357545</v>
      </c>
      <c r="AM504" s="53">
        <v>30131000</v>
      </c>
      <c r="AO504" s="53">
        <f t="shared" si="79"/>
        <v>6835210</v>
      </c>
      <c r="AP504" s="53">
        <f t="shared" si="79"/>
        <v>26925229.999999996</v>
      </c>
      <c r="AQ504" s="53">
        <f t="shared" si="79"/>
        <v>14018820</v>
      </c>
      <c r="AR504" s="53">
        <f t="shared" si="79"/>
        <v>0</v>
      </c>
      <c r="AS504" s="53">
        <f t="shared" si="79"/>
        <v>0</v>
      </c>
      <c r="AT504" s="53">
        <f t="shared" si="79"/>
        <v>0</v>
      </c>
      <c r="AU504" s="53">
        <f t="shared" si="79"/>
        <v>0</v>
      </c>
      <c r="AV504" s="53">
        <f t="shared" si="79"/>
        <v>0</v>
      </c>
      <c r="AW504" s="53">
        <f t="shared" si="79"/>
        <v>0</v>
      </c>
      <c r="AX504" s="53">
        <f t="shared" si="80"/>
        <v>1679200000</v>
      </c>
      <c r="AY504" s="41" t="s">
        <v>557</v>
      </c>
    </row>
    <row r="505" spans="1:51" x14ac:dyDescent="0.2">
      <c r="A505" s="41" t="s">
        <v>585</v>
      </c>
      <c r="B505" s="41" t="s">
        <v>576</v>
      </c>
      <c r="C505" s="41" t="s">
        <v>96</v>
      </c>
      <c r="D505" s="41" t="s">
        <v>88</v>
      </c>
      <c r="E505" s="47">
        <v>74.546086352184872</v>
      </c>
      <c r="F505" s="46" t="s">
        <v>587</v>
      </c>
      <c r="G505" s="53">
        <v>23022000</v>
      </c>
      <c r="H505" s="46">
        <v>0.28356050734080446</v>
      </c>
      <c r="I505" s="46">
        <v>0.91308748153939712</v>
      </c>
      <c r="J505" s="58">
        <v>0.62</v>
      </c>
      <c r="R505" s="53">
        <v>246253</v>
      </c>
      <c r="S505" s="53">
        <v>56971</v>
      </c>
      <c r="T505" s="53">
        <v>16551.0157</v>
      </c>
      <c r="U505" s="76">
        <f>((1000*T505)/(G505*I505))*(G505*J505)/1000</f>
        <v>11238.386180368676</v>
      </c>
      <c r="AH505" s="53">
        <f t="shared" si="78"/>
        <v>22775747</v>
      </c>
      <c r="AM505" s="53">
        <v>16843000</v>
      </c>
      <c r="AO505" s="53">
        <f t="shared" si="79"/>
        <v>6528130</v>
      </c>
      <c r="AP505" s="53">
        <f t="shared" si="79"/>
        <v>21021100</v>
      </c>
      <c r="AQ505" s="53">
        <f t="shared" si="79"/>
        <v>14273640</v>
      </c>
      <c r="AR505" s="53">
        <f t="shared" si="79"/>
        <v>0</v>
      </c>
      <c r="AS505" s="53">
        <f t="shared" si="79"/>
        <v>0</v>
      </c>
      <c r="AT505" s="53">
        <f t="shared" si="79"/>
        <v>0</v>
      </c>
      <c r="AU505" s="53">
        <f t="shared" si="79"/>
        <v>0</v>
      </c>
      <c r="AV505" s="53">
        <f t="shared" si="79"/>
        <v>0</v>
      </c>
      <c r="AW505" s="53">
        <f t="shared" si="79"/>
        <v>0</v>
      </c>
      <c r="AX505" s="53">
        <f t="shared" si="80"/>
        <v>1716200000.0000002</v>
      </c>
      <c r="AY505" s="41" t="s">
        <v>557</v>
      </c>
    </row>
    <row r="506" spans="1:51" x14ac:dyDescent="0.2">
      <c r="A506" s="41" t="s">
        <v>585</v>
      </c>
      <c r="B506" s="41" t="s">
        <v>578</v>
      </c>
      <c r="C506" s="41" t="s">
        <v>96</v>
      </c>
      <c r="D506" s="41" t="s">
        <v>88</v>
      </c>
      <c r="E506" s="47">
        <v>77.153458786111841</v>
      </c>
      <c r="F506" s="46" t="s">
        <v>587</v>
      </c>
      <c r="G506" s="53">
        <v>22638000</v>
      </c>
      <c r="H506" s="46">
        <v>0.25792251965721352</v>
      </c>
      <c r="I506" s="46">
        <v>0.84590644049827723</v>
      </c>
      <c r="J506" s="58">
        <v>0.62</v>
      </c>
      <c r="R506" s="53">
        <v>244134</v>
      </c>
      <c r="S506" s="53">
        <v>51759</v>
      </c>
      <c r="T506" s="53">
        <v>15478.065699999999</v>
      </c>
      <c r="U506" s="76">
        <f>((1000*T506)/(G506*I506))*(G506*J506)/1000</f>
        <v>11344.517874042056</v>
      </c>
      <c r="AH506" s="53">
        <f t="shared" si="78"/>
        <v>22393866</v>
      </c>
      <c r="AM506" s="53">
        <v>14426000</v>
      </c>
      <c r="AO506" s="53">
        <f t="shared" si="79"/>
        <v>5838850</v>
      </c>
      <c r="AP506" s="53">
        <f t="shared" si="79"/>
        <v>19149630</v>
      </c>
      <c r="AQ506" s="53">
        <f t="shared" si="79"/>
        <v>14035560</v>
      </c>
      <c r="AR506" s="53">
        <f t="shared" si="79"/>
        <v>0</v>
      </c>
      <c r="AS506" s="53">
        <f t="shared" si="79"/>
        <v>0</v>
      </c>
      <c r="AT506" s="53">
        <f t="shared" si="79"/>
        <v>0</v>
      </c>
      <c r="AU506" s="53">
        <f t="shared" si="79"/>
        <v>0</v>
      </c>
      <c r="AV506" s="53">
        <f t="shared" si="79"/>
        <v>0</v>
      </c>
      <c r="AW506" s="53">
        <f t="shared" si="79"/>
        <v>0</v>
      </c>
      <c r="AX506" s="53">
        <f t="shared" si="80"/>
        <v>1746599999.9999998</v>
      </c>
      <c r="AY506" s="41" t="s">
        <v>557</v>
      </c>
    </row>
    <row r="507" spans="1:51" x14ac:dyDescent="0.2">
      <c r="A507" s="41" t="s">
        <v>585</v>
      </c>
      <c r="B507" s="41" t="s">
        <v>579</v>
      </c>
      <c r="C507" s="41" t="s">
        <v>96</v>
      </c>
      <c r="D507" s="41" t="s">
        <v>88</v>
      </c>
      <c r="E507" s="47">
        <v>77.471925499863048</v>
      </c>
      <c r="F507" s="46" t="s">
        <v>587</v>
      </c>
      <c r="G507" s="53">
        <v>21906000</v>
      </c>
      <c r="H507" s="46">
        <v>0.23032091664384188</v>
      </c>
      <c r="I507" s="46">
        <v>0.91619601935542772</v>
      </c>
      <c r="J507" s="58">
        <v>0.62</v>
      </c>
      <c r="R507" s="53">
        <v>207954.80670817217</v>
      </c>
      <c r="S507" s="53">
        <v>43553</v>
      </c>
      <c r="T507" s="53">
        <v>16029.530900000002</v>
      </c>
      <c r="U507" s="53">
        <v>13131.632900000001</v>
      </c>
      <c r="AH507" s="53">
        <f t="shared" si="78"/>
        <v>21698045.193291828</v>
      </c>
      <c r="AM507" s="53">
        <v>909000</v>
      </c>
      <c r="AO507" s="53">
        <f t="shared" si="79"/>
        <v>5045410</v>
      </c>
      <c r="AP507" s="53">
        <f t="shared" si="79"/>
        <v>20070190</v>
      </c>
      <c r="AQ507" s="53">
        <f t="shared" si="79"/>
        <v>13581720</v>
      </c>
      <c r="AR507" s="53">
        <f t="shared" si="79"/>
        <v>0</v>
      </c>
      <c r="AS507" s="53">
        <f t="shared" si="79"/>
        <v>0</v>
      </c>
      <c r="AT507" s="53">
        <f t="shared" si="79"/>
        <v>0</v>
      </c>
      <c r="AU507" s="53">
        <f t="shared" si="79"/>
        <v>0</v>
      </c>
      <c r="AV507" s="53">
        <f t="shared" si="79"/>
        <v>0</v>
      </c>
      <c r="AW507" s="53">
        <f t="shared" si="79"/>
        <v>0</v>
      </c>
      <c r="AX507" s="53">
        <f t="shared" si="80"/>
        <v>1697100000</v>
      </c>
      <c r="AY507" s="41" t="s">
        <v>557</v>
      </c>
    </row>
    <row r="508" spans="1:51" x14ac:dyDescent="0.2">
      <c r="A508" s="41" t="s">
        <v>585</v>
      </c>
      <c r="B508" s="41" t="s">
        <v>571</v>
      </c>
      <c r="C508" s="41" t="s">
        <v>96</v>
      </c>
      <c r="D508" s="41" t="s">
        <v>88</v>
      </c>
      <c r="E508" s="47">
        <v>65.799952026864958</v>
      </c>
      <c r="F508" s="46" t="s">
        <v>587</v>
      </c>
      <c r="G508" s="53">
        <v>20845000</v>
      </c>
      <c r="H508" s="46">
        <v>0.25047205564883668</v>
      </c>
      <c r="I508" s="46">
        <v>0.89409306788198606</v>
      </c>
      <c r="J508" s="58">
        <v>0.62</v>
      </c>
      <c r="R508" s="53">
        <v>207952.10497862624</v>
      </c>
      <c r="S508" s="53">
        <v>44778</v>
      </c>
      <c r="T508" s="53">
        <v>14716.364500000001</v>
      </c>
      <c r="U508" s="53">
        <v>13090.705299999998</v>
      </c>
      <c r="AH508" s="53">
        <f t="shared" si="78"/>
        <v>20637047.895021375</v>
      </c>
      <c r="AM508" s="53">
        <v>526000</v>
      </c>
      <c r="AO508" s="53">
        <f t="shared" si="79"/>
        <v>5221090.0000000009</v>
      </c>
      <c r="AP508" s="53">
        <f t="shared" si="79"/>
        <v>18637370</v>
      </c>
      <c r="AQ508" s="53">
        <f t="shared" si="79"/>
        <v>12923900</v>
      </c>
      <c r="AR508" s="53">
        <f t="shared" si="79"/>
        <v>0</v>
      </c>
      <c r="AS508" s="53">
        <f t="shared" si="79"/>
        <v>0</v>
      </c>
      <c r="AT508" s="53">
        <f t="shared" si="79"/>
        <v>0</v>
      </c>
      <c r="AU508" s="53">
        <f t="shared" si="79"/>
        <v>0</v>
      </c>
      <c r="AV508" s="53">
        <f t="shared" si="79"/>
        <v>0</v>
      </c>
      <c r="AW508" s="53">
        <f t="shared" si="79"/>
        <v>0</v>
      </c>
      <c r="AX508" s="53">
        <f t="shared" si="80"/>
        <v>1371600000</v>
      </c>
      <c r="AY508" s="41" t="s">
        <v>557</v>
      </c>
    </row>
    <row r="509" spans="1:51" x14ac:dyDescent="0.2">
      <c r="A509" s="41" t="s">
        <v>585</v>
      </c>
      <c r="B509" s="41" t="s">
        <v>573</v>
      </c>
      <c r="C509" s="41" t="s">
        <v>96</v>
      </c>
      <c r="D509" s="41" t="s">
        <v>88</v>
      </c>
      <c r="E509" s="47">
        <v>58.375853677682706</v>
      </c>
      <c r="F509" s="46" t="s">
        <v>587</v>
      </c>
      <c r="G509" s="53">
        <v>25478000</v>
      </c>
      <c r="H509" s="46">
        <v>0.25572650914514483</v>
      </c>
      <c r="I509" s="46">
        <v>0.71409098045372477</v>
      </c>
      <c r="J509" s="58">
        <v>0.62</v>
      </c>
      <c r="R509" s="53">
        <v>238522.96185243648</v>
      </c>
      <c r="S509" s="53">
        <v>53914</v>
      </c>
      <c r="T509" s="53">
        <v>13897.936900000001</v>
      </c>
      <c r="U509" s="53">
        <v>12916.514200000001</v>
      </c>
      <c r="AH509" s="53">
        <f t="shared" si="78"/>
        <v>25239477.038147565</v>
      </c>
      <c r="AM509" s="53">
        <v>0</v>
      </c>
      <c r="AO509" s="53">
        <f t="shared" si="79"/>
        <v>6515400</v>
      </c>
      <c r="AP509" s="53">
        <f t="shared" si="79"/>
        <v>18193610</v>
      </c>
      <c r="AQ509" s="53">
        <f t="shared" si="79"/>
        <v>15796360</v>
      </c>
      <c r="AR509" s="53">
        <f t="shared" si="79"/>
        <v>0</v>
      </c>
      <c r="AS509" s="53">
        <f t="shared" si="79"/>
        <v>0</v>
      </c>
      <c r="AT509" s="53">
        <f t="shared" si="79"/>
        <v>0</v>
      </c>
      <c r="AU509" s="53">
        <f t="shared" si="79"/>
        <v>0</v>
      </c>
      <c r="AV509" s="53">
        <f t="shared" si="79"/>
        <v>0</v>
      </c>
      <c r="AW509" s="53">
        <f t="shared" si="79"/>
        <v>0</v>
      </c>
      <c r="AX509" s="53">
        <f t="shared" si="80"/>
        <v>1487300000</v>
      </c>
      <c r="AY509" s="41" t="s">
        <v>557</v>
      </c>
    </row>
    <row r="510" spans="1:51" x14ac:dyDescent="0.2">
      <c r="A510" s="41" t="s">
        <v>585</v>
      </c>
      <c r="B510" s="41" t="s">
        <v>580</v>
      </c>
      <c r="C510" s="41" t="s">
        <v>96</v>
      </c>
      <c r="D510" s="41" t="s">
        <v>88</v>
      </c>
      <c r="E510" s="47">
        <v>17.12530589821705</v>
      </c>
      <c r="F510" s="46" t="s">
        <v>587</v>
      </c>
      <c r="G510" s="53">
        <v>20023000</v>
      </c>
      <c r="H510" s="46">
        <v>0.35484392948109672</v>
      </c>
      <c r="I510" s="46">
        <v>1.1233351645607552</v>
      </c>
      <c r="J510" s="58">
        <v>0.62</v>
      </c>
      <c r="R510" s="53">
        <v>275232</v>
      </c>
      <c r="S510" s="53">
        <v>60610</v>
      </c>
      <c r="T510" s="53">
        <v>18437.012999999999</v>
      </c>
      <c r="U510" s="53">
        <v>15139.169000000002</v>
      </c>
      <c r="AH510" s="53">
        <f t="shared" si="78"/>
        <v>19747768</v>
      </c>
      <c r="AM510" s="53">
        <v>0</v>
      </c>
      <c r="AO510" s="53">
        <f t="shared" si="79"/>
        <v>7105040</v>
      </c>
      <c r="AP510" s="53">
        <f t="shared" si="79"/>
        <v>22492540</v>
      </c>
      <c r="AQ510" s="53">
        <f t="shared" si="79"/>
        <v>12414260</v>
      </c>
      <c r="AR510" s="53">
        <f t="shared" si="79"/>
        <v>0</v>
      </c>
      <c r="AS510" s="53">
        <f t="shared" si="79"/>
        <v>0</v>
      </c>
      <c r="AT510" s="53">
        <f t="shared" si="79"/>
        <v>0</v>
      </c>
      <c r="AU510" s="53">
        <f t="shared" si="79"/>
        <v>0</v>
      </c>
      <c r="AV510" s="53">
        <f t="shared" si="79"/>
        <v>0</v>
      </c>
      <c r="AW510" s="53">
        <f t="shared" si="79"/>
        <v>0</v>
      </c>
      <c r="AX510" s="53">
        <f t="shared" si="80"/>
        <v>342900000</v>
      </c>
      <c r="AY510" s="41" t="s">
        <v>557</v>
      </c>
    </row>
    <row r="511" spans="1:51" x14ac:dyDescent="0.2">
      <c r="A511" s="41" t="s">
        <v>585</v>
      </c>
      <c r="B511" s="41" t="s">
        <v>581</v>
      </c>
      <c r="C511" s="41" t="s">
        <v>96</v>
      </c>
      <c r="D511" s="41" t="s">
        <v>88</v>
      </c>
      <c r="E511" s="47">
        <v>0</v>
      </c>
      <c r="F511" s="46" t="s">
        <v>587</v>
      </c>
      <c r="G511" s="53">
        <v>23143000</v>
      </c>
      <c r="H511" s="46">
        <v>0.37152141036166442</v>
      </c>
      <c r="I511" s="46">
        <v>1.0927368966858229</v>
      </c>
      <c r="J511" s="58">
        <v>0.62</v>
      </c>
      <c r="R511" s="53">
        <v>330940</v>
      </c>
      <c r="S511" s="53">
        <v>73697</v>
      </c>
      <c r="T511" s="53">
        <v>20756.668700000002</v>
      </c>
      <c r="U511" s="53">
        <v>16205.6813</v>
      </c>
      <c r="AH511" s="53">
        <f t="shared" si="78"/>
        <v>22812060</v>
      </c>
      <c r="AM511" s="53">
        <v>0</v>
      </c>
      <c r="AO511" s="53">
        <f t="shared" si="79"/>
        <v>8598120</v>
      </c>
      <c r="AP511" s="53">
        <f t="shared" si="79"/>
        <v>25289210</v>
      </c>
      <c r="AQ511" s="53">
        <f t="shared" si="79"/>
        <v>14348660</v>
      </c>
      <c r="AR511" s="53">
        <f t="shared" si="79"/>
        <v>0</v>
      </c>
      <c r="AS511" s="53">
        <f t="shared" si="79"/>
        <v>0</v>
      </c>
      <c r="AT511" s="53">
        <f t="shared" si="79"/>
        <v>0</v>
      </c>
      <c r="AU511" s="53">
        <f t="shared" si="79"/>
        <v>0</v>
      </c>
      <c r="AV511" s="53">
        <f t="shared" si="79"/>
        <v>0</v>
      </c>
      <c r="AW511" s="53">
        <f t="shared" si="79"/>
        <v>0</v>
      </c>
      <c r="AX511" s="53">
        <f t="shared" si="80"/>
        <v>0</v>
      </c>
      <c r="AY511" s="41" t="s">
        <v>557</v>
      </c>
    </row>
    <row r="512" spans="1:51" x14ac:dyDescent="0.2">
      <c r="A512" s="41" t="s">
        <v>585</v>
      </c>
      <c r="B512" s="41" t="s">
        <v>597</v>
      </c>
      <c r="C512" s="41" t="s">
        <v>96</v>
      </c>
      <c r="D512" s="41" t="s">
        <v>88</v>
      </c>
      <c r="E512" s="47">
        <v>0</v>
      </c>
      <c r="F512" s="46" t="s">
        <v>587</v>
      </c>
      <c r="G512" s="53">
        <v>22021000</v>
      </c>
      <c r="H512" s="46">
        <v>0.33730711593478951</v>
      </c>
      <c r="I512" s="46">
        <v>1.1375800372371827</v>
      </c>
      <c r="J512" s="58">
        <v>0.62</v>
      </c>
      <c r="R512" s="53">
        <v>270395</v>
      </c>
      <c r="S512" s="53">
        <v>64130</v>
      </c>
      <c r="T512" s="53">
        <v>20798.8403</v>
      </c>
      <c r="U512" s="53">
        <v>12412.507600000001</v>
      </c>
      <c r="AH512" s="53">
        <f>G512-R512</f>
        <v>21750605</v>
      </c>
      <c r="AM512" s="53">
        <v>0</v>
      </c>
      <c r="AO512" s="53">
        <f t="shared" si="79"/>
        <v>7427840</v>
      </c>
      <c r="AP512" s="53">
        <f t="shared" si="79"/>
        <v>25050650</v>
      </c>
      <c r="AQ512" s="53">
        <f t="shared" si="79"/>
        <v>13653020</v>
      </c>
      <c r="AR512" s="53">
        <f t="shared" si="79"/>
        <v>0</v>
      </c>
      <c r="AS512" s="53">
        <f t="shared" si="79"/>
        <v>0</v>
      </c>
      <c r="AT512" s="53">
        <f t="shared" si="79"/>
        <v>0</v>
      </c>
      <c r="AU512" s="53">
        <f t="shared" si="79"/>
        <v>0</v>
      </c>
      <c r="AV512" s="53">
        <f t="shared" si="79"/>
        <v>0</v>
      </c>
      <c r="AW512" s="53">
        <f t="shared" si="79"/>
        <v>0</v>
      </c>
      <c r="AX512" s="53">
        <f t="shared" si="80"/>
        <v>0</v>
      </c>
      <c r="AY512" s="41" t="s">
        <v>557</v>
      </c>
    </row>
    <row r="513" spans="1:51" x14ac:dyDescent="0.2">
      <c r="A513" s="41" t="s">
        <v>585</v>
      </c>
      <c r="B513" s="60" t="s">
        <v>559</v>
      </c>
      <c r="C513" s="60" t="s">
        <v>96</v>
      </c>
      <c r="D513" s="60" t="s">
        <v>88</v>
      </c>
      <c r="E513" s="78">
        <f>AX513/G513</f>
        <v>65.145925343978263</v>
      </c>
      <c r="F513" s="60" t="s">
        <v>587</v>
      </c>
      <c r="G513" s="79">
        <f>SUM(G495:G512)</f>
        <v>376768000</v>
      </c>
      <c r="H513" s="80">
        <f>AO513/SUM($G500:$G512)</f>
        <v>0.39194039612281817</v>
      </c>
      <c r="I513" s="80">
        <f>AP513/$G513</f>
        <v>0.9965763015967386</v>
      </c>
      <c r="J513" s="80">
        <f>AQ513/$G513</f>
        <v>0.62</v>
      </c>
      <c r="R513" s="79">
        <f>SUM(R495:R512)</f>
        <v>4139055.6248363983</v>
      </c>
      <c r="S513" s="79">
        <f>SUM(S495:S512)</f>
        <v>979384</v>
      </c>
      <c r="T513" s="79">
        <f>SUM(T495:T512)</f>
        <v>300854.80679999996</v>
      </c>
      <c r="U513" s="79">
        <f>SUM(U495:U512)</f>
        <v>202896.59273137504</v>
      </c>
      <c r="AH513" s="79">
        <f>SUM(AH495:AH512)</f>
        <v>372628944.37516361</v>
      </c>
      <c r="AM513" s="79">
        <f>SUM(AM495:AM512)</f>
        <v>489067640</v>
      </c>
      <c r="AO513" s="79">
        <f>SUM(AO495:AO512)</f>
        <v>113520048.57142857</v>
      </c>
      <c r="AP513" s="79">
        <f t="shared" ref="AP513:AX513" si="81">SUM(AP495:AP512)</f>
        <v>375478060</v>
      </c>
      <c r="AQ513" s="79">
        <f t="shared" si="81"/>
        <v>233596160</v>
      </c>
      <c r="AR513" s="79">
        <f t="shared" si="81"/>
        <v>0</v>
      </c>
      <c r="AS513" s="79">
        <f t="shared" si="81"/>
        <v>0</v>
      </c>
      <c r="AT513" s="79">
        <f t="shared" si="81"/>
        <v>0</v>
      </c>
      <c r="AU513" s="79">
        <f t="shared" si="81"/>
        <v>0</v>
      </c>
      <c r="AV513" s="79">
        <f t="shared" si="81"/>
        <v>0</v>
      </c>
      <c r="AW513" s="79">
        <f t="shared" si="81"/>
        <v>0</v>
      </c>
      <c r="AX513" s="79">
        <f t="shared" si="81"/>
        <v>24544900000</v>
      </c>
      <c r="AY513" s="41" t="s">
        <v>557</v>
      </c>
    </row>
    <row r="514" spans="1:51" x14ac:dyDescent="0.2">
      <c r="A514" s="41" t="s">
        <v>585</v>
      </c>
      <c r="B514" s="43" t="s">
        <v>560</v>
      </c>
      <c r="G514" s="53">
        <f>STDEV(G495:G512)</f>
        <v>2827235.757085667</v>
      </c>
      <c r="H514" s="46">
        <f>STDEV(H495:H512)</f>
        <v>6.2782334577980992E-2</v>
      </c>
      <c r="I514" s="46">
        <f>STDEV(I495:I512)</f>
        <v>0.16105124354109435</v>
      </c>
      <c r="R514" s="53">
        <f>STDEV(R495:R512)</f>
        <v>63999.06170685812</v>
      </c>
      <c r="S514" s="53">
        <f>STDEV(S495:S512)</f>
        <v>16789.629868588025</v>
      </c>
      <c r="T514" s="53">
        <f>STDEV(T495:T512)</f>
        <v>4326.1449539296873</v>
      </c>
      <c r="U514" s="53">
        <f>STDEV(U495:U512)</f>
        <v>2508.647488110259</v>
      </c>
      <c r="AH514" s="53">
        <f>STDEV(AH495:AH512)</f>
        <v>2775140.030994419</v>
      </c>
      <c r="AM514" s="53">
        <f>STDEV(AM495:AM512)</f>
        <v>23080734.923367485</v>
      </c>
      <c r="AY514" s="41" t="s">
        <v>557</v>
      </c>
    </row>
    <row r="515" spans="1:51" x14ac:dyDescent="0.2">
      <c r="A515" s="41" t="s">
        <v>585</v>
      </c>
      <c r="B515" s="81" t="s">
        <v>249</v>
      </c>
      <c r="G515" s="41">
        <f>COUNT(G495:G512)</f>
        <v>18</v>
      </c>
      <c r="H515" s="41">
        <f>COUNT(H495:H512)</f>
        <v>18</v>
      </c>
      <c r="I515" s="41">
        <f>COUNT(I495:I512)</f>
        <v>18</v>
      </c>
      <c r="R515" s="41">
        <f>COUNT(R495:R512)</f>
        <v>18</v>
      </c>
      <c r="S515" s="41">
        <f>COUNT(S495:S512)</f>
        <v>18</v>
      </c>
      <c r="T515" s="41">
        <f>COUNT(T495:T512)</f>
        <v>18</v>
      </c>
      <c r="U515" s="41">
        <f>COUNT(U495:U512)</f>
        <v>18</v>
      </c>
      <c r="AH515" s="41">
        <f>COUNT(AH495:AH512)</f>
        <v>18</v>
      </c>
      <c r="AM515" s="41">
        <f>COUNT(AM495:AM512)</f>
        <v>18</v>
      </c>
      <c r="AY515" s="41" t="s">
        <v>557</v>
      </c>
    </row>
    <row r="516" spans="1:51" x14ac:dyDescent="0.2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2"/>
      <c r="AG516" s="82"/>
      <c r="AH516" s="82"/>
      <c r="AI516" s="82"/>
      <c r="AJ516" s="82"/>
      <c r="AK516" s="82"/>
      <c r="AL516" s="82"/>
      <c r="AM516" s="82"/>
      <c r="AN516" s="82"/>
      <c r="AO516" s="82"/>
      <c r="AP516" s="82"/>
      <c r="AQ516" s="82"/>
      <c r="AR516" s="82"/>
      <c r="AS516" s="82"/>
      <c r="AT516" s="82"/>
      <c r="AU516" s="82"/>
      <c r="AV516" s="82"/>
      <c r="AW516" s="82"/>
      <c r="AX516" s="82"/>
      <c r="AY516" s="41" t="s">
        <v>557</v>
      </c>
    </row>
    <row r="517" spans="1:51" x14ac:dyDescent="0.2">
      <c r="A517" s="41" t="s">
        <v>265</v>
      </c>
      <c r="B517" s="41" t="s">
        <v>598</v>
      </c>
      <c r="C517" s="41" t="s">
        <v>91</v>
      </c>
      <c r="D517" s="41" t="s">
        <v>88</v>
      </c>
      <c r="E517" s="41">
        <v>0</v>
      </c>
      <c r="F517" s="41" t="s">
        <v>599</v>
      </c>
      <c r="G517" s="53">
        <v>765000</v>
      </c>
      <c r="J517" s="52">
        <v>609.57843137254906</v>
      </c>
      <c r="L517" s="47">
        <v>12.781098039215687</v>
      </c>
      <c r="M517" s="47">
        <v>4.9179607843137259</v>
      </c>
      <c r="U517" s="53">
        <v>362050.64999999997</v>
      </c>
      <c r="X517" s="76">
        <f>Y517*2</f>
        <v>153015</v>
      </c>
      <c r="Y517" s="53">
        <v>76507.5</v>
      </c>
      <c r="Z517" s="76">
        <f>AA517*2</f>
        <v>41904</v>
      </c>
      <c r="AA517" s="53">
        <v>20952</v>
      </c>
      <c r="AH517" s="53">
        <f t="shared" ref="AH517:AH536" si="82">G517-X517-Z517</f>
        <v>570081</v>
      </c>
      <c r="AO517" s="53">
        <f t="shared" ref="AO517:AX532" si="83">$G517*H517</f>
        <v>0</v>
      </c>
      <c r="AP517" s="53">
        <f t="shared" si="83"/>
        <v>0</v>
      </c>
      <c r="AQ517" s="53">
        <f t="shared" si="83"/>
        <v>466327500.00000006</v>
      </c>
      <c r="AR517" s="53">
        <f t="shared" si="83"/>
        <v>0</v>
      </c>
      <c r="AS517" s="53">
        <f t="shared" si="83"/>
        <v>9777540</v>
      </c>
      <c r="AT517" s="53">
        <f t="shared" si="83"/>
        <v>3762240.0000000005</v>
      </c>
      <c r="AU517" s="53">
        <f t="shared" si="83"/>
        <v>0</v>
      </c>
      <c r="AV517" s="53">
        <f t="shared" si="83"/>
        <v>0</v>
      </c>
      <c r="AW517" s="53">
        <f t="shared" si="83"/>
        <v>0</v>
      </c>
      <c r="AX517" s="53">
        <f t="shared" si="83"/>
        <v>0</v>
      </c>
      <c r="AY517" s="41" t="s">
        <v>557</v>
      </c>
    </row>
    <row r="518" spans="1:51" x14ac:dyDescent="0.2">
      <c r="A518" s="41" t="s">
        <v>265</v>
      </c>
      <c r="B518" s="41" t="s">
        <v>586</v>
      </c>
      <c r="C518" s="41" t="s">
        <v>91</v>
      </c>
      <c r="D518" s="41" t="s">
        <v>88</v>
      </c>
      <c r="E518" s="41">
        <v>0</v>
      </c>
      <c r="F518" s="41" t="s">
        <v>599</v>
      </c>
      <c r="G518" s="53">
        <v>1427529</v>
      </c>
      <c r="J518" s="52">
        <v>568.98532078857943</v>
      </c>
      <c r="L518" s="47">
        <v>12.615797920742766</v>
      </c>
      <c r="M518" s="47">
        <v>4.5957622577194579</v>
      </c>
      <c r="U518" s="53">
        <v>735981.5</v>
      </c>
      <c r="X518" s="76">
        <f t="shared" ref="X518:Z533" si="84">Y518*2</f>
        <v>319405</v>
      </c>
      <c r="Y518" s="53">
        <v>159702.5</v>
      </c>
      <c r="Z518" s="76">
        <f t="shared" si="84"/>
        <v>97063</v>
      </c>
      <c r="AA518" s="53">
        <v>48531.5</v>
      </c>
      <c r="AH518" s="53">
        <f t="shared" si="82"/>
        <v>1011061</v>
      </c>
      <c r="AO518" s="53">
        <f t="shared" si="83"/>
        <v>0</v>
      </c>
      <c r="AP518" s="53">
        <f t="shared" si="83"/>
        <v>0</v>
      </c>
      <c r="AQ518" s="53">
        <f t="shared" si="83"/>
        <v>812243046</v>
      </c>
      <c r="AR518" s="53">
        <f t="shared" si="83"/>
        <v>0</v>
      </c>
      <c r="AS518" s="53">
        <f t="shared" si="83"/>
        <v>18009417.390000001</v>
      </c>
      <c r="AT518" s="53">
        <f t="shared" si="83"/>
        <v>6560583.9000000004</v>
      </c>
      <c r="AU518" s="53">
        <f t="shared" si="83"/>
        <v>0</v>
      </c>
      <c r="AV518" s="53">
        <f t="shared" si="83"/>
        <v>0</v>
      </c>
      <c r="AW518" s="53">
        <f t="shared" si="83"/>
        <v>0</v>
      </c>
      <c r="AX518" s="53">
        <f t="shared" si="83"/>
        <v>0</v>
      </c>
      <c r="AY518" s="41" t="s">
        <v>557</v>
      </c>
    </row>
    <row r="519" spans="1:51" x14ac:dyDescent="0.2">
      <c r="A519" s="41" t="s">
        <v>265</v>
      </c>
      <c r="B519" s="41" t="s">
        <v>588</v>
      </c>
      <c r="C519" s="41" t="s">
        <v>91</v>
      </c>
      <c r="D519" s="41" t="s">
        <v>88</v>
      </c>
      <c r="E519" s="41">
        <v>0</v>
      </c>
      <c r="F519" s="41" t="s">
        <v>599</v>
      </c>
      <c r="G519" s="53">
        <v>1606000</v>
      </c>
      <c r="J519" s="41">
        <v>636</v>
      </c>
      <c r="L519" s="41">
        <v>14.1</v>
      </c>
      <c r="M519" s="41">
        <v>5.0999999999999996</v>
      </c>
      <c r="U519" s="53">
        <f>29664000*31.1/1000</f>
        <v>922550.4</v>
      </c>
      <c r="X519" s="76">
        <f t="shared" si="84"/>
        <v>400960</v>
      </c>
      <c r="Y519" s="53">
        <v>200480</v>
      </c>
      <c r="Z519" s="76">
        <f t="shared" si="84"/>
        <v>123508</v>
      </c>
      <c r="AA519" s="53">
        <v>61754</v>
      </c>
      <c r="AH519" s="53">
        <f t="shared" si="82"/>
        <v>1081532</v>
      </c>
      <c r="AO519" s="53">
        <f t="shared" si="83"/>
        <v>0</v>
      </c>
      <c r="AP519" s="53">
        <f t="shared" si="83"/>
        <v>0</v>
      </c>
      <c r="AQ519" s="53">
        <f t="shared" si="83"/>
        <v>1021416000</v>
      </c>
      <c r="AR519" s="53">
        <f t="shared" si="83"/>
        <v>0</v>
      </c>
      <c r="AS519" s="53">
        <f t="shared" si="83"/>
        <v>22644600</v>
      </c>
      <c r="AT519" s="53">
        <f t="shared" si="83"/>
        <v>8190599.9999999991</v>
      </c>
      <c r="AU519" s="53">
        <f t="shared" si="83"/>
        <v>0</v>
      </c>
      <c r="AV519" s="53">
        <f t="shared" si="83"/>
        <v>0</v>
      </c>
      <c r="AW519" s="53">
        <f t="shared" si="83"/>
        <v>0</v>
      </c>
      <c r="AX519" s="53">
        <f t="shared" si="83"/>
        <v>0</v>
      </c>
      <c r="AY519" s="41" t="s">
        <v>557</v>
      </c>
    </row>
    <row r="520" spans="1:51" x14ac:dyDescent="0.2">
      <c r="A520" s="41" t="s">
        <v>265</v>
      </c>
      <c r="B520" s="41" t="s">
        <v>589</v>
      </c>
      <c r="C520" s="41" t="s">
        <v>91</v>
      </c>
      <c r="D520" s="41" t="s">
        <v>88</v>
      </c>
      <c r="E520" s="41">
        <v>0</v>
      </c>
      <c r="F520" s="41" t="s">
        <v>599</v>
      </c>
      <c r="G520" s="53">
        <v>1786000</v>
      </c>
      <c r="J520" s="41">
        <v>599</v>
      </c>
      <c r="L520" s="41">
        <v>13.3</v>
      </c>
      <c r="M520" s="41">
        <v>5.4</v>
      </c>
      <c r="U520" s="53">
        <f>31770000*31.1/1000</f>
        <v>988047</v>
      </c>
      <c r="X520" s="76">
        <f t="shared" si="84"/>
        <v>421744</v>
      </c>
      <c r="Y520" s="53">
        <v>210872</v>
      </c>
      <c r="Z520" s="76">
        <f t="shared" si="84"/>
        <v>152244</v>
      </c>
      <c r="AA520" s="53">
        <v>76122</v>
      </c>
      <c r="AH520" s="53">
        <f t="shared" si="82"/>
        <v>1212012</v>
      </c>
      <c r="AO520" s="53">
        <f t="shared" si="83"/>
        <v>0</v>
      </c>
      <c r="AP520" s="53">
        <f t="shared" si="83"/>
        <v>0</v>
      </c>
      <c r="AQ520" s="53">
        <f t="shared" si="83"/>
        <v>1069814000</v>
      </c>
      <c r="AR520" s="53">
        <f t="shared" si="83"/>
        <v>0</v>
      </c>
      <c r="AS520" s="53">
        <f t="shared" si="83"/>
        <v>23753800</v>
      </c>
      <c r="AT520" s="53">
        <f t="shared" si="83"/>
        <v>9644400</v>
      </c>
      <c r="AU520" s="53">
        <f t="shared" si="83"/>
        <v>0</v>
      </c>
      <c r="AV520" s="53">
        <f t="shared" si="83"/>
        <v>0</v>
      </c>
      <c r="AW520" s="53">
        <f t="shared" si="83"/>
        <v>0</v>
      </c>
      <c r="AX520" s="53">
        <f t="shared" si="83"/>
        <v>0</v>
      </c>
      <c r="AY520" s="41" t="s">
        <v>557</v>
      </c>
    </row>
    <row r="521" spans="1:51" x14ac:dyDescent="0.2">
      <c r="A521" s="41" t="s">
        <v>265</v>
      </c>
      <c r="B521" s="41" t="s">
        <v>590</v>
      </c>
      <c r="C521" s="41" t="s">
        <v>91</v>
      </c>
      <c r="D521" s="41" t="s">
        <v>88</v>
      </c>
      <c r="E521" s="41">
        <v>0</v>
      </c>
      <c r="F521" s="41" t="s">
        <v>599</v>
      </c>
      <c r="G521" s="53">
        <v>2176000</v>
      </c>
      <c r="J521" s="41">
        <v>615</v>
      </c>
      <c r="L521" s="41">
        <v>12.9</v>
      </c>
      <c r="M521" s="41">
        <v>4.5999999999999996</v>
      </c>
      <c r="U521" s="53">
        <f>35964000*31.1/1000</f>
        <v>1118480.3999999999</v>
      </c>
      <c r="X521" s="76">
        <f t="shared" si="84"/>
        <v>463528</v>
      </c>
      <c r="Y521" s="53">
        <v>231764</v>
      </c>
      <c r="Z521" s="76">
        <f t="shared" si="84"/>
        <v>117712</v>
      </c>
      <c r="AA521" s="53">
        <v>58856</v>
      </c>
      <c r="AH521" s="53">
        <f t="shared" si="82"/>
        <v>1594760</v>
      </c>
      <c r="AO521" s="53">
        <f t="shared" si="83"/>
        <v>0</v>
      </c>
      <c r="AP521" s="53">
        <f t="shared" si="83"/>
        <v>0</v>
      </c>
      <c r="AQ521" s="53">
        <f t="shared" si="83"/>
        <v>1338240000</v>
      </c>
      <c r="AR521" s="53">
        <f t="shared" si="83"/>
        <v>0</v>
      </c>
      <c r="AS521" s="53">
        <f t="shared" si="83"/>
        <v>28070400</v>
      </c>
      <c r="AT521" s="53">
        <f t="shared" si="83"/>
        <v>10009600</v>
      </c>
      <c r="AU521" s="53">
        <f t="shared" si="83"/>
        <v>0</v>
      </c>
      <c r="AV521" s="53">
        <f t="shared" si="83"/>
        <v>0</v>
      </c>
      <c r="AW521" s="53">
        <f t="shared" si="83"/>
        <v>0</v>
      </c>
      <c r="AX521" s="53">
        <f t="shared" si="83"/>
        <v>0</v>
      </c>
      <c r="AY521" s="41" t="s">
        <v>557</v>
      </c>
    </row>
    <row r="522" spans="1:51" x14ac:dyDescent="0.2">
      <c r="A522" s="41" t="s">
        <v>265</v>
      </c>
      <c r="B522" s="41" t="s">
        <v>591</v>
      </c>
      <c r="C522" s="41" t="s">
        <v>91</v>
      </c>
      <c r="D522" s="41" t="s">
        <v>88</v>
      </c>
      <c r="E522" s="41">
        <v>0</v>
      </c>
      <c r="F522" s="41" t="s">
        <v>599</v>
      </c>
      <c r="G522" s="53">
        <v>2312000</v>
      </c>
      <c r="J522" s="41">
        <v>544</v>
      </c>
      <c r="L522" s="41">
        <v>11.9</v>
      </c>
      <c r="M522" s="41">
        <v>4.5</v>
      </c>
      <c r="U522" s="53">
        <f>34872000*31.1/1000</f>
        <v>1084519.2</v>
      </c>
      <c r="X522" s="76">
        <f t="shared" si="84"/>
        <v>474854</v>
      </c>
      <c r="Y522" s="53">
        <v>237427</v>
      </c>
      <c r="Z522" s="76">
        <f t="shared" si="84"/>
        <v>127724</v>
      </c>
      <c r="AA522" s="53">
        <v>63862</v>
      </c>
      <c r="AH522" s="53">
        <f t="shared" si="82"/>
        <v>1709422</v>
      </c>
      <c r="AO522" s="53">
        <f t="shared" si="83"/>
        <v>0</v>
      </c>
      <c r="AP522" s="53">
        <f t="shared" si="83"/>
        <v>0</v>
      </c>
      <c r="AQ522" s="53">
        <f t="shared" si="83"/>
        <v>1257728000</v>
      </c>
      <c r="AR522" s="53">
        <f t="shared" si="83"/>
        <v>0</v>
      </c>
      <c r="AS522" s="53">
        <f t="shared" si="83"/>
        <v>27512800</v>
      </c>
      <c r="AT522" s="53">
        <f t="shared" si="83"/>
        <v>10404000</v>
      </c>
      <c r="AU522" s="53">
        <f t="shared" si="83"/>
        <v>0</v>
      </c>
      <c r="AV522" s="53">
        <f t="shared" si="83"/>
        <v>0</v>
      </c>
      <c r="AW522" s="53">
        <f t="shared" si="83"/>
        <v>0</v>
      </c>
      <c r="AX522" s="53">
        <f t="shared" si="83"/>
        <v>0</v>
      </c>
      <c r="AY522" s="41" t="s">
        <v>557</v>
      </c>
    </row>
    <row r="523" spans="1:51" x14ac:dyDescent="0.2">
      <c r="A523" s="41" t="s">
        <v>265</v>
      </c>
      <c r="B523" s="41" t="s">
        <v>592</v>
      </c>
      <c r="C523" s="41" t="s">
        <v>91</v>
      </c>
      <c r="D523" s="41" t="s">
        <v>88</v>
      </c>
      <c r="E523" s="41">
        <v>0</v>
      </c>
      <c r="F523" s="41" t="s">
        <v>599</v>
      </c>
      <c r="G523" s="53">
        <v>2609000</v>
      </c>
      <c r="J523" s="41">
        <v>520</v>
      </c>
      <c r="L523" s="41">
        <v>11.1</v>
      </c>
      <c r="M523" s="41">
        <v>3.6</v>
      </c>
      <c r="U523" s="53">
        <f>37420000*31.1/1000</f>
        <v>1163762</v>
      </c>
      <c r="X523" s="76">
        <f t="shared" si="84"/>
        <v>499770</v>
      </c>
      <c r="Y523" s="53">
        <v>249885</v>
      </c>
      <c r="Z523" s="76">
        <f t="shared" si="84"/>
        <v>107248</v>
      </c>
      <c r="AA523" s="53">
        <v>53624</v>
      </c>
      <c r="AH523" s="53">
        <f t="shared" si="82"/>
        <v>2001982</v>
      </c>
      <c r="AO523" s="53">
        <f t="shared" si="83"/>
        <v>0</v>
      </c>
      <c r="AP523" s="53">
        <f t="shared" si="83"/>
        <v>0</v>
      </c>
      <c r="AQ523" s="53">
        <f t="shared" si="83"/>
        <v>1356680000</v>
      </c>
      <c r="AR523" s="53">
        <f t="shared" si="83"/>
        <v>0</v>
      </c>
      <c r="AS523" s="53">
        <f t="shared" si="83"/>
        <v>28959900</v>
      </c>
      <c r="AT523" s="53">
        <f t="shared" si="83"/>
        <v>9392400</v>
      </c>
      <c r="AU523" s="53">
        <f t="shared" si="83"/>
        <v>0</v>
      </c>
      <c r="AV523" s="53">
        <f t="shared" si="83"/>
        <v>0</v>
      </c>
      <c r="AW523" s="53">
        <f t="shared" si="83"/>
        <v>0</v>
      </c>
      <c r="AX523" s="53">
        <f t="shared" si="83"/>
        <v>0</v>
      </c>
      <c r="AY523" s="41" t="s">
        <v>557</v>
      </c>
    </row>
    <row r="524" spans="1:51" x14ac:dyDescent="0.2">
      <c r="A524" s="41" t="s">
        <v>265</v>
      </c>
      <c r="B524" s="41" t="s">
        <v>593</v>
      </c>
      <c r="C524" s="41" t="s">
        <v>91</v>
      </c>
      <c r="D524" s="41" t="s">
        <v>88</v>
      </c>
      <c r="E524" s="41">
        <v>0</v>
      </c>
      <c r="F524" s="41" t="s">
        <v>599</v>
      </c>
      <c r="G524" s="53">
        <v>3089000</v>
      </c>
      <c r="J524" s="41">
        <v>515</v>
      </c>
      <c r="L524" s="41">
        <v>10.5</v>
      </c>
      <c r="M524" s="41">
        <v>3.2</v>
      </c>
      <c r="U524" s="53">
        <f>44030000*31.1/1000</f>
        <v>1369333</v>
      </c>
      <c r="X524" s="76">
        <f t="shared" si="84"/>
        <v>563940</v>
      </c>
      <c r="Y524" s="53">
        <v>281970</v>
      </c>
      <c r="Z524" s="76">
        <f t="shared" si="84"/>
        <v>105682</v>
      </c>
      <c r="AA524" s="53">
        <v>52841</v>
      </c>
      <c r="AH524" s="53">
        <f t="shared" si="82"/>
        <v>2419378</v>
      </c>
      <c r="AO524" s="53">
        <f t="shared" si="83"/>
        <v>0</v>
      </c>
      <c r="AP524" s="53">
        <f t="shared" si="83"/>
        <v>0</v>
      </c>
      <c r="AQ524" s="53">
        <f t="shared" si="83"/>
        <v>1590835000</v>
      </c>
      <c r="AR524" s="53">
        <f t="shared" si="83"/>
        <v>0</v>
      </c>
      <c r="AS524" s="53">
        <f t="shared" si="83"/>
        <v>32434500</v>
      </c>
      <c r="AT524" s="53">
        <f t="shared" si="83"/>
        <v>9884800</v>
      </c>
      <c r="AU524" s="53">
        <f t="shared" si="83"/>
        <v>0</v>
      </c>
      <c r="AV524" s="53">
        <f t="shared" si="83"/>
        <v>0</v>
      </c>
      <c r="AW524" s="53">
        <f t="shared" si="83"/>
        <v>0</v>
      </c>
      <c r="AX524" s="53">
        <f t="shared" si="83"/>
        <v>0</v>
      </c>
      <c r="AY524" s="41" t="s">
        <v>557</v>
      </c>
    </row>
    <row r="525" spans="1:51" x14ac:dyDescent="0.2">
      <c r="A525" s="41" t="s">
        <v>265</v>
      </c>
      <c r="B525" s="41" t="s">
        <v>594</v>
      </c>
      <c r="C525" s="41" t="s">
        <v>91</v>
      </c>
      <c r="D525" s="41" t="s">
        <v>88</v>
      </c>
      <c r="E525" s="41">
        <v>0</v>
      </c>
      <c r="F525" s="41" t="s">
        <v>599</v>
      </c>
      <c r="G525" s="53">
        <v>3020000</v>
      </c>
      <c r="J525" s="41">
        <v>460</v>
      </c>
      <c r="L525" s="41">
        <v>10.3</v>
      </c>
      <c r="M525" s="41">
        <v>3.7</v>
      </c>
      <c r="U525" s="53">
        <f>38447000*31.1/1000</f>
        <v>1195701.7</v>
      </c>
      <c r="X525" s="76">
        <f t="shared" si="84"/>
        <v>532642</v>
      </c>
      <c r="Y525" s="53">
        <v>266321</v>
      </c>
      <c r="Z525" s="76">
        <f t="shared" si="84"/>
        <v>137558</v>
      </c>
      <c r="AA525" s="53">
        <v>68779</v>
      </c>
      <c r="AH525" s="53">
        <f t="shared" si="82"/>
        <v>2349800</v>
      </c>
      <c r="AO525" s="53">
        <f t="shared" si="83"/>
        <v>0</v>
      </c>
      <c r="AP525" s="53">
        <f t="shared" si="83"/>
        <v>0</v>
      </c>
      <c r="AQ525" s="53">
        <f t="shared" si="83"/>
        <v>1389200000</v>
      </c>
      <c r="AR525" s="53">
        <f t="shared" si="83"/>
        <v>0</v>
      </c>
      <c r="AS525" s="53">
        <f t="shared" si="83"/>
        <v>31106000.000000004</v>
      </c>
      <c r="AT525" s="53">
        <f t="shared" si="83"/>
        <v>11174000</v>
      </c>
      <c r="AU525" s="53">
        <f t="shared" si="83"/>
        <v>0</v>
      </c>
      <c r="AV525" s="53">
        <f t="shared" si="83"/>
        <v>0</v>
      </c>
      <c r="AW525" s="53">
        <f t="shared" si="83"/>
        <v>0</v>
      </c>
      <c r="AX525" s="53">
        <f t="shared" si="83"/>
        <v>0</v>
      </c>
      <c r="AY525" s="41" t="s">
        <v>557</v>
      </c>
    </row>
    <row r="526" spans="1:51" x14ac:dyDescent="0.2">
      <c r="A526" s="41" t="s">
        <v>265</v>
      </c>
      <c r="B526" s="41" t="s">
        <v>595</v>
      </c>
      <c r="C526" s="41" t="s">
        <v>91</v>
      </c>
      <c r="D526" s="41" t="s">
        <v>88</v>
      </c>
      <c r="E526" s="41">
        <v>0</v>
      </c>
      <c r="F526" s="41" t="s">
        <v>599</v>
      </c>
      <c r="G526" s="53">
        <v>2348000</v>
      </c>
      <c r="J526" s="41">
        <v>447</v>
      </c>
      <c r="L526" s="41">
        <v>10.3</v>
      </c>
      <c r="M526" s="41">
        <v>3.3</v>
      </c>
      <c r="U526" s="53">
        <f>29105000*31.1/1000</f>
        <v>905165.5</v>
      </c>
      <c r="X526" s="76">
        <f t="shared" si="84"/>
        <v>421628</v>
      </c>
      <c r="Y526" s="53">
        <v>210814</v>
      </c>
      <c r="Z526" s="76">
        <f t="shared" si="84"/>
        <v>91364</v>
      </c>
      <c r="AA526" s="53">
        <v>45682</v>
      </c>
      <c r="AH526" s="53">
        <f t="shared" si="82"/>
        <v>1835008</v>
      </c>
      <c r="AO526" s="53">
        <f t="shared" si="83"/>
        <v>0</v>
      </c>
      <c r="AP526" s="53">
        <f t="shared" si="83"/>
        <v>0</v>
      </c>
      <c r="AQ526" s="53">
        <f t="shared" si="83"/>
        <v>1049556000</v>
      </c>
      <c r="AR526" s="53">
        <f t="shared" si="83"/>
        <v>0</v>
      </c>
      <c r="AS526" s="53">
        <f t="shared" si="83"/>
        <v>24184400</v>
      </c>
      <c r="AT526" s="53">
        <f t="shared" si="83"/>
        <v>7748400</v>
      </c>
      <c r="AU526" s="53">
        <f t="shared" si="83"/>
        <v>0</v>
      </c>
      <c r="AV526" s="53">
        <f t="shared" si="83"/>
        <v>0</v>
      </c>
      <c r="AW526" s="53">
        <f t="shared" si="83"/>
        <v>0</v>
      </c>
      <c r="AX526" s="53">
        <f t="shared" si="83"/>
        <v>0</v>
      </c>
      <c r="AY526" s="41" t="s">
        <v>557</v>
      </c>
    </row>
    <row r="527" spans="1:51" x14ac:dyDescent="0.2">
      <c r="A527" s="41" t="s">
        <v>265</v>
      </c>
      <c r="B527" s="41" t="s">
        <v>596</v>
      </c>
      <c r="C527" s="41" t="s">
        <v>91</v>
      </c>
      <c r="D527" s="41" t="s">
        <v>88</v>
      </c>
      <c r="E527" s="41">
        <v>0</v>
      </c>
      <c r="F527" s="41" t="s">
        <v>599</v>
      </c>
      <c r="G527" s="53">
        <v>2800000</v>
      </c>
      <c r="J527" s="41">
        <v>460</v>
      </c>
      <c r="L527" s="41">
        <v>10.3</v>
      </c>
      <c r="M527" s="41">
        <v>3.4</v>
      </c>
      <c r="U527" s="53">
        <f>35485000*31.1/1000</f>
        <v>1103583.5</v>
      </c>
      <c r="X527" s="76">
        <f t="shared" si="84"/>
        <v>503096</v>
      </c>
      <c r="Y527" s="53">
        <v>251548</v>
      </c>
      <c r="Z527" s="76">
        <f t="shared" si="84"/>
        <v>121938</v>
      </c>
      <c r="AA527" s="53">
        <v>60969</v>
      </c>
      <c r="AH527" s="53">
        <f t="shared" si="82"/>
        <v>2174966</v>
      </c>
      <c r="AO527" s="53">
        <f t="shared" si="83"/>
        <v>0</v>
      </c>
      <c r="AP527" s="53">
        <f t="shared" si="83"/>
        <v>0</v>
      </c>
      <c r="AQ527" s="53">
        <f t="shared" si="83"/>
        <v>1288000000</v>
      </c>
      <c r="AR527" s="53">
        <f t="shared" si="83"/>
        <v>0</v>
      </c>
      <c r="AS527" s="53">
        <f t="shared" si="83"/>
        <v>28840000.000000004</v>
      </c>
      <c r="AT527" s="53">
        <f t="shared" si="83"/>
        <v>9520000</v>
      </c>
      <c r="AU527" s="53">
        <f t="shared" si="83"/>
        <v>0</v>
      </c>
      <c r="AV527" s="53">
        <f t="shared" si="83"/>
        <v>0</v>
      </c>
      <c r="AW527" s="53">
        <f t="shared" si="83"/>
        <v>0</v>
      </c>
      <c r="AX527" s="53">
        <f t="shared" si="83"/>
        <v>0</v>
      </c>
      <c r="AY527" s="41" t="s">
        <v>557</v>
      </c>
    </row>
    <row r="528" spans="1:51" x14ac:dyDescent="0.2">
      <c r="A528" s="41" t="s">
        <v>265</v>
      </c>
      <c r="B528" s="41" t="s">
        <v>576</v>
      </c>
      <c r="C528" s="41" t="s">
        <v>91</v>
      </c>
      <c r="D528" s="41" t="s">
        <v>88</v>
      </c>
      <c r="E528" s="41">
        <v>0</v>
      </c>
      <c r="F528" s="41" t="s">
        <v>599</v>
      </c>
      <c r="G528" s="53">
        <v>3015000</v>
      </c>
      <c r="J528" s="41">
        <v>412</v>
      </c>
      <c r="L528" s="41">
        <v>8.9</v>
      </c>
      <c r="M528" s="41">
        <v>3.1</v>
      </c>
      <c r="U528" s="53">
        <f>33367000*31.1/1000</f>
        <v>1037713.7</v>
      </c>
      <c r="X528" s="76">
        <f t="shared" si="84"/>
        <v>453588</v>
      </c>
      <c r="Y528" s="53">
        <v>226794</v>
      </c>
      <c r="Z528" s="76">
        <f t="shared" si="84"/>
        <v>109698</v>
      </c>
      <c r="AA528" s="53">
        <v>54849</v>
      </c>
      <c r="AH528" s="53">
        <f t="shared" si="82"/>
        <v>2451714</v>
      </c>
      <c r="AO528" s="53">
        <f t="shared" si="83"/>
        <v>0</v>
      </c>
      <c r="AP528" s="53">
        <f t="shared" si="83"/>
        <v>0</v>
      </c>
      <c r="AQ528" s="53">
        <f t="shared" si="83"/>
        <v>1242180000</v>
      </c>
      <c r="AR528" s="53">
        <f t="shared" si="83"/>
        <v>0</v>
      </c>
      <c r="AS528" s="53">
        <f t="shared" si="83"/>
        <v>26833500</v>
      </c>
      <c r="AT528" s="53">
        <f t="shared" si="83"/>
        <v>9346500</v>
      </c>
      <c r="AU528" s="53">
        <f t="shared" si="83"/>
        <v>0</v>
      </c>
      <c r="AV528" s="53">
        <f t="shared" si="83"/>
        <v>0</v>
      </c>
      <c r="AW528" s="53">
        <f t="shared" si="83"/>
        <v>0</v>
      </c>
      <c r="AX528" s="53">
        <f t="shared" si="83"/>
        <v>0</v>
      </c>
      <c r="AY528" s="41" t="s">
        <v>557</v>
      </c>
    </row>
    <row r="529" spans="1:51" x14ac:dyDescent="0.2">
      <c r="A529" s="41" t="s">
        <v>265</v>
      </c>
      <c r="B529" s="41" t="s">
        <v>578</v>
      </c>
      <c r="C529" s="41" t="s">
        <v>91</v>
      </c>
      <c r="D529" s="41" t="s">
        <v>88</v>
      </c>
      <c r="E529" s="41">
        <v>0</v>
      </c>
      <c r="F529" s="41" t="s">
        <v>599</v>
      </c>
      <c r="G529" s="53">
        <v>3141000</v>
      </c>
      <c r="J529" s="41">
        <v>437</v>
      </c>
      <c r="L529" s="41">
        <v>9.1999999999999993</v>
      </c>
      <c r="M529" s="41">
        <v>3.3</v>
      </c>
      <c r="U529" s="53">
        <f>37276000*31.1/1000</f>
        <v>1159283.6000000001</v>
      </c>
      <c r="X529" s="76">
        <f t="shared" si="84"/>
        <v>490890</v>
      </c>
      <c r="Y529" s="53">
        <v>245445</v>
      </c>
      <c r="Z529" s="76">
        <f t="shared" si="84"/>
        <v>125412</v>
      </c>
      <c r="AA529" s="53">
        <v>62706</v>
      </c>
      <c r="AH529" s="53">
        <f t="shared" si="82"/>
        <v>2524698</v>
      </c>
      <c r="AO529" s="53">
        <f t="shared" si="83"/>
        <v>0</v>
      </c>
      <c r="AP529" s="53">
        <f t="shared" si="83"/>
        <v>0</v>
      </c>
      <c r="AQ529" s="53">
        <f t="shared" si="83"/>
        <v>1372617000</v>
      </c>
      <c r="AR529" s="53">
        <f t="shared" si="83"/>
        <v>0</v>
      </c>
      <c r="AS529" s="53">
        <f t="shared" si="83"/>
        <v>28897199.999999996</v>
      </c>
      <c r="AT529" s="53">
        <f t="shared" si="83"/>
        <v>10365300</v>
      </c>
      <c r="AU529" s="53">
        <f t="shared" si="83"/>
        <v>0</v>
      </c>
      <c r="AV529" s="53">
        <f t="shared" si="83"/>
        <v>0</v>
      </c>
      <c r="AW529" s="53">
        <f t="shared" si="83"/>
        <v>0</v>
      </c>
      <c r="AX529" s="53">
        <f t="shared" si="83"/>
        <v>0</v>
      </c>
      <c r="AY529" s="41" t="s">
        <v>557</v>
      </c>
    </row>
    <row r="530" spans="1:51" x14ac:dyDescent="0.2">
      <c r="A530" s="41" t="s">
        <v>265</v>
      </c>
      <c r="B530" s="41" t="s">
        <v>579</v>
      </c>
      <c r="C530" s="41" t="s">
        <v>91</v>
      </c>
      <c r="D530" s="41" t="s">
        <v>88</v>
      </c>
      <c r="E530" s="41">
        <v>0</v>
      </c>
      <c r="F530" s="41" t="s">
        <v>599</v>
      </c>
      <c r="G530" s="53">
        <v>3090000</v>
      </c>
      <c r="J530" s="41">
        <v>417</v>
      </c>
      <c r="L530" s="41">
        <v>9.1999999999999993</v>
      </c>
      <c r="M530" s="41">
        <v>3.2</v>
      </c>
      <c r="U530" s="53">
        <f>35225000*31.1/1000</f>
        <v>1095497.5</v>
      </c>
      <c r="X530" s="76">
        <f t="shared" si="84"/>
        <v>486728</v>
      </c>
      <c r="Y530" s="53">
        <v>243364</v>
      </c>
      <c r="Z530" s="76">
        <f t="shared" si="84"/>
        <v>121314</v>
      </c>
      <c r="AA530" s="53">
        <v>60657</v>
      </c>
      <c r="AH530" s="53">
        <f t="shared" si="82"/>
        <v>2481958</v>
      </c>
      <c r="AO530" s="53">
        <f t="shared" si="83"/>
        <v>0</v>
      </c>
      <c r="AP530" s="53">
        <f t="shared" si="83"/>
        <v>0</v>
      </c>
      <c r="AQ530" s="53">
        <f t="shared" si="83"/>
        <v>1288530000</v>
      </c>
      <c r="AR530" s="53">
        <f t="shared" si="83"/>
        <v>0</v>
      </c>
      <c r="AS530" s="53">
        <f t="shared" si="83"/>
        <v>28427999.999999996</v>
      </c>
      <c r="AT530" s="53">
        <f t="shared" si="83"/>
        <v>9888000</v>
      </c>
      <c r="AU530" s="53">
        <f t="shared" si="83"/>
        <v>0</v>
      </c>
      <c r="AV530" s="53">
        <f t="shared" si="83"/>
        <v>0</v>
      </c>
      <c r="AW530" s="53">
        <f t="shared" si="83"/>
        <v>0</v>
      </c>
      <c r="AX530" s="53">
        <f t="shared" si="83"/>
        <v>0</v>
      </c>
      <c r="AY530" s="41" t="s">
        <v>557</v>
      </c>
    </row>
    <row r="531" spans="1:51" x14ac:dyDescent="0.2">
      <c r="A531" s="41" t="s">
        <v>265</v>
      </c>
      <c r="B531" s="41" t="s">
        <v>571</v>
      </c>
      <c r="C531" s="41" t="s">
        <v>91</v>
      </c>
      <c r="D531" s="41" t="s">
        <v>88</v>
      </c>
      <c r="E531" s="41">
        <v>0</v>
      </c>
      <c r="F531" s="41" t="s">
        <v>599</v>
      </c>
      <c r="G531" s="53">
        <v>3337000</v>
      </c>
      <c r="J531" s="41">
        <v>372</v>
      </c>
      <c r="L531" s="41">
        <v>8.3000000000000007</v>
      </c>
      <c r="M531" s="41">
        <v>2.8</v>
      </c>
      <c r="U531" s="53">
        <f>34208000*31.1/1000</f>
        <v>1063868.8</v>
      </c>
      <c r="X531" s="76">
        <f t="shared" si="84"/>
        <v>478180</v>
      </c>
      <c r="Y531" s="53">
        <v>239090</v>
      </c>
      <c r="Z531" s="76">
        <f t="shared" si="84"/>
        <v>109354</v>
      </c>
      <c r="AA531" s="53">
        <v>54677</v>
      </c>
      <c r="AH531" s="53">
        <f t="shared" si="82"/>
        <v>2749466</v>
      </c>
      <c r="AO531" s="53">
        <f t="shared" si="83"/>
        <v>0</v>
      </c>
      <c r="AP531" s="53">
        <f t="shared" si="83"/>
        <v>0</v>
      </c>
      <c r="AQ531" s="53">
        <f t="shared" si="83"/>
        <v>1241364000</v>
      </c>
      <c r="AR531" s="53">
        <f t="shared" si="83"/>
        <v>0</v>
      </c>
      <c r="AS531" s="53">
        <f t="shared" si="83"/>
        <v>27697100.000000004</v>
      </c>
      <c r="AT531" s="53">
        <f t="shared" si="83"/>
        <v>9343600</v>
      </c>
      <c r="AU531" s="53">
        <f t="shared" si="83"/>
        <v>0</v>
      </c>
      <c r="AV531" s="53">
        <f t="shared" si="83"/>
        <v>0</v>
      </c>
      <c r="AW531" s="53">
        <f t="shared" si="83"/>
        <v>0</v>
      </c>
      <c r="AX531" s="53">
        <f t="shared" si="83"/>
        <v>0</v>
      </c>
      <c r="AY531" s="41" t="s">
        <v>557</v>
      </c>
    </row>
    <row r="532" spans="1:51" x14ac:dyDescent="0.2">
      <c r="A532" s="41" t="s">
        <v>265</v>
      </c>
      <c r="B532" s="41" t="s">
        <v>573</v>
      </c>
      <c r="C532" s="41" t="s">
        <v>91</v>
      </c>
      <c r="D532" s="41" t="s">
        <v>88</v>
      </c>
      <c r="E532" s="41">
        <v>0</v>
      </c>
      <c r="F532" s="41" t="s">
        <v>599</v>
      </c>
      <c r="G532" s="53">
        <v>3145000</v>
      </c>
      <c r="J532" s="41">
        <v>360</v>
      </c>
      <c r="L532" s="41">
        <v>7.9</v>
      </c>
      <c r="M532" s="47">
        <v>3</v>
      </c>
      <c r="U532" s="53">
        <f>31062000*31.1/1000</f>
        <v>966028.2</v>
      </c>
      <c r="X532" s="76">
        <f t="shared" si="84"/>
        <v>426850</v>
      </c>
      <c r="Y532" s="53">
        <v>213425</v>
      </c>
      <c r="Z532" s="76">
        <f t="shared" si="84"/>
        <v>112562</v>
      </c>
      <c r="AA532" s="53">
        <v>56281</v>
      </c>
      <c r="AH532" s="53">
        <f t="shared" si="82"/>
        <v>2605588</v>
      </c>
      <c r="AO532" s="53">
        <f t="shared" si="83"/>
        <v>0</v>
      </c>
      <c r="AP532" s="53">
        <f t="shared" si="83"/>
        <v>0</v>
      </c>
      <c r="AQ532" s="53">
        <f t="shared" si="83"/>
        <v>1132200000</v>
      </c>
      <c r="AR532" s="53">
        <f t="shared" si="83"/>
        <v>0</v>
      </c>
      <c r="AS532" s="53">
        <f t="shared" si="83"/>
        <v>24845500</v>
      </c>
      <c r="AT532" s="53">
        <f t="shared" si="83"/>
        <v>9435000</v>
      </c>
      <c r="AU532" s="53">
        <f t="shared" si="83"/>
        <v>0</v>
      </c>
      <c r="AV532" s="53">
        <f t="shared" si="83"/>
        <v>0</v>
      </c>
      <c r="AW532" s="53">
        <f t="shared" si="83"/>
        <v>0</v>
      </c>
      <c r="AX532" s="53">
        <f t="shared" si="83"/>
        <v>0</v>
      </c>
      <c r="AY532" s="41" t="s">
        <v>557</v>
      </c>
    </row>
    <row r="533" spans="1:51" x14ac:dyDescent="0.2">
      <c r="A533" s="41" t="s">
        <v>265</v>
      </c>
      <c r="B533" s="41" t="s">
        <v>580</v>
      </c>
      <c r="C533" s="41" t="s">
        <v>91</v>
      </c>
      <c r="D533" s="41" t="s">
        <v>88</v>
      </c>
      <c r="E533" s="41">
        <v>0</v>
      </c>
      <c r="F533" s="41" t="s">
        <v>599</v>
      </c>
      <c r="G533" s="53">
        <v>3202000</v>
      </c>
      <c r="J533" s="41">
        <v>296</v>
      </c>
      <c r="L533" s="41">
        <v>7.1</v>
      </c>
      <c r="M533" s="47">
        <v>3</v>
      </c>
      <c r="U533" s="53">
        <f>25161000*31.1/1000</f>
        <v>782507.1</v>
      </c>
      <c r="X533" s="76">
        <f t="shared" si="84"/>
        <v>373056</v>
      </c>
      <c r="Y533" s="53">
        <v>186528</v>
      </c>
      <c r="Z533" s="76">
        <f t="shared" si="84"/>
        <v>115792</v>
      </c>
      <c r="AA533" s="53">
        <v>57896</v>
      </c>
      <c r="AH533" s="53">
        <f t="shared" si="82"/>
        <v>2713152</v>
      </c>
      <c r="AO533" s="53">
        <f t="shared" ref="AO533:AX536" si="85">$G533*H533</f>
        <v>0</v>
      </c>
      <c r="AP533" s="53">
        <f t="shared" si="85"/>
        <v>0</v>
      </c>
      <c r="AQ533" s="53">
        <f t="shared" si="85"/>
        <v>947792000</v>
      </c>
      <c r="AR533" s="53">
        <f t="shared" si="85"/>
        <v>0</v>
      </c>
      <c r="AS533" s="53">
        <f t="shared" si="85"/>
        <v>22734200</v>
      </c>
      <c r="AT533" s="53">
        <f t="shared" si="85"/>
        <v>9606000</v>
      </c>
      <c r="AU533" s="53">
        <f t="shared" si="85"/>
        <v>0</v>
      </c>
      <c r="AV533" s="53">
        <f t="shared" si="85"/>
        <v>0</v>
      </c>
      <c r="AW533" s="53">
        <f t="shared" si="85"/>
        <v>0</v>
      </c>
      <c r="AX533" s="53">
        <f t="shared" si="85"/>
        <v>0</v>
      </c>
      <c r="AY533" s="41" t="s">
        <v>557</v>
      </c>
    </row>
    <row r="534" spans="1:51" x14ac:dyDescent="0.2">
      <c r="A534" s="41" t="s">
        <v>265</v>
      </c>
      <c r="B534" s="41" t="s">
        <v>581</v>
      </c>
      <c r="C534" s="41" t="s">
        <v>91</v>
      </c>
      <c r="D534" s="41" t="s">
        <v>88</v>
      </c>
      <c r="E534" s="41">
        <v>0</v>
      </c>
      <c r="F534" s="41" t="s">
        <v>599</v>
      </c>
      <c r="G534" s="53">
        <v>3289000</v>
      </c>
      <c r="J534" s="41">
        <v>257</v>
      </c>
      <c r="L534" s="41">
        <v>6.7</v>
      </c>
      <c r="M534" s="41">
        <v>3.4</v>
      </c>
      <c r="U534" s="53">
        <f>22601000*31.1/1000</f>
        <v>702891.1</v>
      </c>
      <c r="X534" s="76">
        <f>Y534*2</f>
        <v>366000</v>
      </c>
      <c r="Y534" s="53">
        <v>183000</v>
      </c>
      <c r="Z534" s="76">
        <f>AA534*2</f>
        <v>144600</v>
      </c>
      <c r="AA534" s="53">
        <v>72300</v>
      </c>
      <c r="AH534" s="53">
        <f t="shared" si="82"/>
        <v>2778400</v>
      </c>
      <c r="AO534" s="53">
        <f t="shared" si="85"/>
        <v>0</v>
      </c>
      <c r="AP534" s="53">
        <f t="shared" si="85"/>
        <v>0</v>
      </c>
      <c r="AQ534" s="53">
        <f t="shared" si="85"/>
        <v>845273000</v>
      </c>
      <c r="AR534" s="53">
        <f t="shared" si="85"/>
        <v>0</v>
      </c>
      <c r="AS534" s="53">
        <f t="shared" si="85"/>
        <v>22036300</v>
      </c>
      <c r="AT534" s="53">
        <f t="shared" si="85"/>
        <v>11182600</v>
      </c>
      <c r="AU534" s="53">
        <f t="shared" si="85"/>
        <v>0</v>
      </c>
      <c r="AV534" s="53">
        <f t="shared" si="85"/>
        <v>0</v>
      </c>
      <c r="AW534" s="53">
        <f t="shared" si="85"/>
        <v>0</v>
      </c>
      <c r="AX534" s="53">
        <f t="shared" si="85"/>
        <v>0</v>
      </c>
      <c r="AY534" s="41" t="s">
        <v>557</v>
      </c>
    </row>
    <row r="535" spans="1:51" x14ac:dyDescent="0.2">
      <c r="A535" s="41" t="s">
        <v>265</v>
      </c>
      <c r="B535" s="41" t="s">
        <v>597</v>
      </c>
      <c r="C535" s="41" t="s">
        <v>91</v>
      </c>
      <c r="D535" s="41" t="s">
        <v>88</v>
      </c>
      <c r="E535" s="41">
        <v>0</v>
      </c>
      <c r="F535" s="41" t="s">
        <v>599</v>
      </c>
      <c r="G535" s="53">
        <v>3149000</v>
      </c>
      <c r="J535" s="41">
        <v>255</v>
      </c>
      <c r="L535" s="41">
        <v>6.6</v>
      </c>
      <c r="M535" s="41">
        <v>3.8</v>
      </c>
      <c r="U535" s="53">
        <f>21393000*31.1/1000</f>
        <v>665322.30000000005</v>
      </c>
      <c r="X535" s="76">
        <f>Y535*2</f>
        <v>346400</v>
      </c>
      <c r="Y535" s="53">
        <v>173200</v>
      </c>
      <c r="Z535" s="76">
        <f>AA535*2</f>
        <v>158000</v>
      </c>
      <c r="AA535" s="53">
        <v>79000</v>
      </c>
      <c r="AH535" s="53">
        <f t="shared" si="82"/>
        <v>2644600</v>
      </c>
      <c r="AO535" s="53">
        <f t="shared" si="85"/>
        <v>0</v>
      </c>
      <c r="AP535" s="53">
        <f t="shared" si="85"/>
        <v>0</v>
      </c>
      <c r="AQ535" s="53">
        <f t="shared" si="85"/>
        <v>802995000</v>
      </c>
      <c r="AR535" s="53">
        <f t="shared" si="85"/>
        <v>0</v>
      </c>
      <c r="AS535" s="53">
        <f t="shared" si="85"/>
        <v>20783400</v>
      </c>
      <c r="AT535" s="53">
        <f t="shared" si="85"/>
        <v>11966200</v>
      </c>
      <c r="AU535" s="53">
        <f t="shared" si="85"/>
        <v>0</v>
      </c>
      <c r="AV535" s="53">
        <f t="shared" si="85"/>
        <v>0</v>
      </c>
      <c r="AW535" s="53">
        <f t="shared" si="85"/>
        <v>0</v>
      </c>
      <c r="AX535" s="53">
        <f t="shared" si="85"/>
        <v>0</v>
      </c>
      <c r="AY535" s="41" t="s">
        <v>557</v>
      </c>
    </row>
    <row r="536" spans="1:51" x14ac:dyDescent="0.2">
      <c r="A536" s="41" t="s">
        <v>265</v>
      </c>
      <c r="B536" s="41" t="s">
        <v>600</v>
      </c>
      <c r="C536" s="41" t="s">
        <v>91</v>
      </c>
      <c r="D536" s="41" t="s">
        <v>88</v>
      </c>
      <c r="E536" s="41">
        <v>0</v>
      </c>
      <c r="F536" s="41" t="s">
        <v>599</v>
      </c>
      <c r="G536" s="53">
        <v>3036000</v>
      </c>
      <c r="J536" s="41">
        <v>194</v>
      </c>
      <c r="L536" s="41">
        <v>5.4</v>
      </c>
      <c r="M536" s="41">
        <v>3.4</v>
      </c>
      <c r="U536" s="53">
        <f>15603000*31.1/1000</f>
        <v>485253.3</v>
      </c>
      <c r="X536" s="76">
        <f>Y536*2</f>
        <v>264200</v>
      </c>
      <c r="Y536" s="53">
        <v>132100</v>
      </c>
      <c r="Z536" s="76">
        <f>AA536*2</f>
        <v>134800</v>
      </c>
      <c r="AA536" s="53">
        <v>67400</v>
      </c>
      <c r="AH536" s="53">
        <f t="shared" si="82"/>
        <v>2637000</v>
      </c>
      <c r="AO536" s="53">
        <f t="shared" si="85"/>
        <v>0</v>
      </c>
      <c r="AP536" s="53">
        <f t="shared" si="85"/>
        <v>0</v>
      </c>
      <c r="AQ536" s="53">
        <f t="shared" si="85"/>
        <v>588984000</v>
      </c>
      <c r="AR536" s="53">
        <f t="shared" si="85"/>
        <v>0</v>
      </c>
      <c r="AS536" s="53">
        <f t="shared" si="85"/>
        <v>16394400.000000002</v>
      </c>
      <c r="AT536" s="53">
        <f t="shared" si="85"/>
        <v>10322400</v>
      </c>
      <c r="AU536" s="53">
        <f t="shared" si="85"/>
        <v>0</v>
      </c>
      <c r="AV536" s="53">
        <f t="shared" si="85"/>
        <v>0</v>
      </c>
      <c r="AW536" s="53">
        <f t="shared" si="85"/>
        <v>0</v>
      </c>
      <c r="AX536" s="53">
        <f t="shared" si="85"/>
        <v>0</v>
      </c>
      <c r="AY536" s="41" t="s">
        <v>557</v>
      </c>
    </row>
    <row r="537" spans="1:51" x14ac:dyDescent="0.2">
      <c r="A537" s="41" t="s">
        <v>265</v>
      </c>
      <c r="B537" s="60" t="s">
        <v>559</v>
      </c>
      <c r="C537" s="60" t="s">
        <v>91</v>
      </c>
      <c r="D537" s="60" t="s">
        <v>88</v>
      </c>
      <c r="E537" s="60">
        <v>0</v>
      </c>
      <c r="F537" s="60" t="s">
        <v>599</v>
      </c>
      <c r="G537" s="79">
        <f>SUM(G517:G536)</f>
        <v>52342529</v>
      </c>
      <c r="J537" s="98">
        <f>AQ537/$G537</f>
        <v>422.25652768898499</v>
      </c>
      <c r="L537" s="78">
        <f>AS537/$G537</f>
        <v>9.4367422978358579</v>
      </c>
      <c r="M537" s="78">
        <f>AT537/$G537</f>
        <v>3.5868848427251194</v>
      </c>
      <c r="U537" s="79">
        <f>SUM(U517:U536)</f>
        <v>18907540.450000003</v>
      </c>
      <c r="X537" s="79">
        <f>SUM(X517:X536)</f>
        <v>8440474</v>
      </c>
      <c r="Y537" s="79">
        <f>SUM(Y517:Y536)</f>
        <v>4220237</v>
      </c>
      <c r="Z537" s="79">
        <f>SUM(Z517:Z536)</f>
        <v>2355477</v>
      </c>
      <c r="AA537" s="79">
        <f>SUM(AA517:AA536)</f>
        <v>1177738.5</v>
      </c>
      <c r="AH537" s="79">
        <f>SUM(AH517:AH536)</f>
        <v>41546578</v>
      </c>
      <c r="AO537" s="79">
        <f>SUM(AO517:AO536)</f>
        <v>0</v>
      </c>
      <c r="AP537" s="79">
        <f t="shared" ref="AP537:AX537" si="86">SUM(AP517:AP536)</f>
        <v>0</v>
      </c>
      <c r="AQ537" s="79">
        <f t="shared" si="86"/>
        <v>22101974546</v>
      </c>
      <c r="AR537" s="79">
        <f t="shared" si="86"/>
        <v>0</v>
      </c>
      <c r="AS537" s="79">
        <f t="shared" si="86"/>
        <v>493942957.38999999</v>
      </c>
      <c r="AT537" s="79">
        <f t="shared" si="86"/>
        <v>187746623.90000001</v>
      </c>
      <c r="AU537" s="79">
        <f t="shared" si="86"/>
        <v>0</v>
      </c>
      <c r="AV537" s="79">
        <f t="shared" si="86"/>
        <v>0</v>
      </c>
      <c r="AW537" s="79">
        <f t="shared" si="86"/>
        <v>0</v>
      </c>
      <c r="AX537" s="79">
        <f t="shared" si="86"/>
        <v>0</v>
      </c>
      <c r="AY537" s="41" t="s">
        <v>557</v>
      </c>
    </row>
    <row r="538" spans="1:51" x14ac:dyDescent="0.2">
      <c r="A538" s="41" t="s">
        <v>265</v>
      </c>
      <c r="B538" s="43" t="s">
        <v>560</v>
      </c>
      <c r="G538" s="53">
        <f>STDEV(G517:G536)</f>
        <v>727009.98834986519</v>
      </c>
      <c r="J538" s="52">
        <f>STDEV(J517:J536)</f>
        <v>130.42328501082417</v>
      </c>
      <c r="L538" s="47">
        <f>STDEV(L517:L536)</f>
        <v>2.490177739817149</v>
      </c>
      <c r="M538" s="47">
        <f>STDEV(M517:M536)</f>
        <v>0.78671619583263719</v>
      </c>
      <c r="U538" s="53">
        <f>STDEV(U517:U536)</f>
        <v>253322.98457108965</v>
      </c>
      <c r="X538" s="53">
        <f>STDEV(X517:X536)</f>
        <v>97902.687017638571</v>
      </c>
      <c r="Y538" s="53">
        <f>STDEV(Y517:Y536)</f>
        <v>48951.343508819285</v>
      </c>
      <c r="Z538" s="53">
        <f>STDEV(Z517:Z536)</f>
        <v>24851.397639982457</v>
      </c>
      <c r="AA538" s="53">
        <f>STDEV(AA517:AA536)</f>
        <v>12425.698819991228</v>
      </c>
      <c r="AH538" s="53">
        <f>STDEV(AH517:AH536)</f>
        <v>670748.13254053937</v>
      </c>
      <c r="AY538" s="41" t="s">
        <v>557</v>
      </c>
    </row>
    <row r="539" spans="1:51" x14ac:dyDescent="0.2">
      <c r="A539" s="41" t="s">
        <v>265</v>
      </c>
      <c r="B539" s="81" t="s">
        <v>249</v>
      </c>
      <c r="G539" s="41">
        <f>COUNT(G517:G536)</f>
        <v>20</v>
      </c>
      <c r="J539" s="41">
        <f>COUNT(J517:J536)</f>
        <v>20</v>
      </c>
      <c r="L539" s="41">
        <f>COUNT(L517:L536)</f>
        <v>20</v>
      </c>
      <c r="M539" s="41">
        <f>COUNT(M517:M536)</f>
        <v>20</v>
      </c>
      <c r="U539" s="41">
        <f>COUNT(U517:U536)</f>
        <v>20</v>
      </c>
      <c r="X539" s="41">
        <f>COUNT(X517:X536)</f>
        <v>20</v>
      </c>
      <c r="Y539" s="41">
        <f>COUNT(Y517:Y536)</f>
        <v>20</v>
      </c>
      <c r="Z539" s="41">
        <f>COUNT(Z517:Z536)</f>
        <v>20</v>
      </c>
      <c r="AA539" s="41">
        <f>COUNT(AA517:AA536)</f>
        <v>20</v>
      </c>
      <c r="AH539" s="41">
        <f>COUNT(AH517:AH536)</f>
        <v>20</v>
      </c>
      <c r="AY539" s="41" t="s">
        <v>557</v>
      </c>
    </row>
    <row r="540" spans="1:51" x14ac:dyDescent="0.2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  <c r="AA540" s="82"/>
      <c r="AB540" s="82"/>
      <c r="AC540" s="82"/>
      <c r="AD540" s="82"/>
      <c r="AE540" s="82"/>
      <c r="AF540" s="82"/>
      <c r="AG540" s="82"/>
      <c r="AH540" s="82"/>
      <c r="AI540" s="82"/>
      <c r="AJ540" s="82"/>
      <c r="AK540" s="82"/>
      <c r="AL540" s="82"/>
      <c r="AM540" s="82"/>
      <c r="AN540" s="82"/>
      <c r="AO540" s="82"/>
      <c r="AP540" s="82"/>
      <c r="AQ540" s="82"/>
      <c r="AR540" s="82"/>
      <c r="AS540" s="82"/>
      <c r="AT540" s="82"/>
      <c r="AU540" s="82"/>
      <c r="AV540" s="82"/>
      <c r="AW540" s="82"/>
      <c r="AX540" s="82"/>
      <c r="AY540" s="41" t="s">
        <v>557</v>
      </c>
    </row>
    <row r="541" spans="1:51" x14ac:dyDescent="0.2">
      <c r="A541" s="41" t="s">
        <v>152</v>
      </c>
      <c r="B541" s="41">
        <v>1996</v>
      </c>
      <c r="C541" s="41" t="s">
        <v>87</v>
      </c>
      <c r="D541" s="41" t="s">
        <v>110</v>
      </c>
      <c r="E541" s="41">
        <v>100</v>
      </c>
      <c r="F541" s="41" t="s">
        <v>9</v>
      </c>
      <c r="AI541" s="53">
        <v>1100000</v>
      </c>
      <c r="AJ541" s="41">
        <v>0.79</v>
      </c>
      <c r="AL541" s="53">
        <v>1723.6686927333758</v>
      </c>
      <c r="AM541" s="53">
        <v>4400000</v>
      </c>
      <c r="AO541" s="53">
        <f t="shared" ref="AO541:AV561" si="87">$G541*H541</f>
        <v>0</v>
      </c>
      <c r="AP541" s="53">
        <f t="shared" si="87"/>
        <v>0</v>
      </c>
      <c r="AQ541" s="53">
        <f t="shared" si="87"/>
        <v>0</v>
      </c>
      <c r="AR541" s="53">
        <f t="shared" si="87"/>
        <v>0</v>
      </c>
      <c r="AS541" s="53">
        <f t="shared" si="87"/>
        <v>0</v>
      </c>
      <c r="AT541" s="53">
        <f t="shared" si="87"/>
        <v>0</v>
      </c>
      <c r="AU541" s="53">
        <f t="shared" si="87"/>
        <v>0</v>
      </c>
      <c r="AV541" s="53">
        <f t="shared" si="87"/>
        <v>0</v>
      </c>
      <c r="AW541" s="53">
        <f>$AI541*AJ541</f>
        <v>869000</v>
      </c>
      <c r="AX541" s="53">
        <f t="shared" ref="AX541:AX562" si="88">$G541*E541</f>
        <v>0</v>
      </c>
      <c r="AY541" s="41" t="s">
        <v>557</v>
      </c>
    </row>
    <row r="542" spans="1:51" x14ac:dyDescent="0.2">
      <c r="A542" s="41" t="s">
        <v>152</v>
      </c>
      <c r="B542" s="41">
        <v>1997</v>
      </c>
      <c r="C542" s="41" t="s">
        <v>87</v>
      </c>
      <c r="D542" s="41" t="s">
        <v>110</v>
      </c>
      <c r="E542" s="41">
        <v>100</v>
      </c>
      <c r="F542" s="41" t="s">
        <v>9</v>
      </c>
      <c r="AI542" s="53">
        <v>2700000</v>
      </c>
      <c r="AJ542" s="41">
        <v>0.87</v>
      </c>
      <c r="AL542" s="53">
        <v>19731.470561553117</v>
      </c>
      <c r="AM542" s="53">
        <v>9000000</v>
      </c>
      <c r="AO542" s="53">
        <f t="shared" si="87"/>
        <v>0</v>
      </c>
      <c r="AP542" s="53">
        <f t="shared" si="87"/>
        <v>0</v>
      </c>
      <c r="AQ542" s="53">
        <f t="shared" si="87"/>
        <v>0</v>
      </c>
      <c r="AR542" s="53">
        <f t="shared" si="87"/>
        <v>0</v>
      </c>
      <c r="AS542" s="53">
        <f t="shared" si="87"/>
        <v>0</v>
      </c>
      <c r="AT542" s="53">
        <f t="shared" si="87"/>
        <v>0</v>
      </c>
      <c r="AU542" s="53">
        <f t="shared" si="87"/>
        <v>0</v>
      </c>
      <c r="AV542" s="53">
        <f t="shared" si="87"/>
        <v>0</v>
      </c>
      <c r="AW542" s="53">
        <f t="shared" ref="AW542:AW561" si="89">$AI542*AJ542</f>
        <v>2349000</v>
      </c>
      <c r="AX542" s="53">
        <f t="shared" si="88"/>
        <v>0</v>
      </c>
      <c r="AY542" s="41" t="s">
        <v>557</v>
      </c>
    </row>
    <row r="543" spans="1:51" x14ac:dyDescent="0.2">
      <c r="A543" s="41" t="s">
        <v>152</v>
      </c>
      <c r="B543" s="41">
        <v>1998</v>
      </c>
      <c r="C543" s="41" t="s">
        <v>87</v>
      </c>
      <c r="D543" s="41" t="s">
        <v>110</v>
      </c>
      <c r="E543" s="41">
        <v>100</v>
      </c>
      <c r="F543" s="41" t="s">
        <v>9</v>
      </c>
      <c r="AI543" s="53">
        <v>2600000</v>
      </c>
      <c r="AJ543" s="41">
        <v>0.86</v>
      </c>
      <c r="AL543" s="53">
        <v>21364.419849405789</v>
      </c>
      <c r="AM543" s="53">
        <v>8400000</v>
      </c>
      <c r="AO543" s="53">
        <f t="shared" si="87"/>
        <v>0</v>
      </c>
      <c r="AP543" s="53">
        <f t="shared" si="87"/>
        <v>0</v>
      </c>
      <c r="AQ543" s="53">
        <f t="shared" si="87"/>
        <v>0</v>
      </c>
      <c r="AR543" s="53">
        <f t="shared" si="87"/>
        <v>0</v>
      </c>
      <c r="AS543" s="53">
        <f t="shared" si="87"/>
        <v>0</v>
      </c>
      <c r="AT543" s="53">
        <f t="shared" si="87"/>
        <v>0</v>
      </c>
      <c r="AU543" s="53">
        <f t="shared" si="87"/>
        <v>0</v>
      </c>
      <c r="AV543" s="53">
        <f t="shared" si="87"/>
        <v>0</v>
      </c>
      <c r="AW543" s="53">
        <f t="shared" si="89"/>
        <v>2236000</v>
      </c>
      <c r="AX543" s="53">
        <f t="shared" si="88"/>
        <v>0</v>
      </c>
      <c r="AY543" s="41" t="s">
        <v>557</v>
      </c>
    </row>
    <row r="544" spans="1:51" x14ac:dyDescent="0.2">
      <c r="A544" s="41" t="s">
        <v>152</v>
      </c>
      <c r="B544" s="41">
        <v>1999</v>
      </c>
      <c r="C544" s="41" t="s">
        <v>87</v>
      </c>
      <c r="D544" s="41" t="s">
        <v>110</v>
      </c>
      <c r="E544" s="41">
        <v>100</v>
      </c>
      <c r="F544" s="41" t="s">
        <v>9</v>
      </c>
      <c r="AI544" s="53">
        <v>3000000</v>
      </c>
      <c r="AJ544" s="41">
        <v>0.93</v>
      </c>
      <c r="AL544" s="53">
        <v>21800</v>
      </c>
      <c r="AM544" s="53">
        <v>6600000</v>
      </c>
      <c r="AO544" s="53">
        <f t="shared" si="87"/>
        <v>0</v>
      </c>
      <c r="AP544" s="53">
        <f t="shared" si="87"/>
        <v>0</v>
      </c>
      <c r="AQ544" s="53">
        <f t="shared" si="87"/>
        <v>0</v>
      </c>
      <c r="AR544" s="53">
        <f t="shared" si="87"/>
        <v>0</v>
      </c>
      <c r="AS544" s="53">
        <f t="shared" si="87"/>
        <v>0</v>
      </c>
      <c r="AT544" s="53">
        <f t="shared" si="87"/>
        <v>0</v>
      </c>
      <c r="AU544" s="53">
        <f t="shared" si="87"/>
        <v>0</v>
      </c>
      <c r="AV544" s="53">
        <f t="shared" si="87"/>
        <v>0</v>
      </c>
      <c r="AW544" s="53">
        <f t="shared" si="89"/>
        <v>2790000</v>
      </c>
      <c r="AX544" s="53">
        <f t="shared" si="88"/>
        <v>0</v>
      </c>
      <c r="AY544" s="41" t="s">
        <v>557</v>
      </c>
    </row>
    <row r="545" spans="1:51" x14ac:dyDescent="0.2">
      <c r="A545" s="41" t="s">
        <v>152</v>
      </c>
      <c r="B545" s="41">
        <v>2000</v>
      </c>
      <c r="C545" s="41" t="s">
        <v>87</v>
      </c>
      <c r="D545" s="41" t="s">
        <v>110</v>
      </c>
      <c r="E545" s="41">
        <v>100</v>
      </c>
      <c r="F545" s="41" t="s">
        <v>9</v>
      </c>
      <c r="AI545" s="53">
        <v>3400000</v>
      </c>
      <c r="AJ545" s="41">
        <v>0.94</v>
      </c>
      <c r="AL545" s="53">
        <v>22029</v>
      </c>
      <c r="AM545" s="53">
        <v>9300000</v>
      </c>
      <c r="AO545" s="53">
        <f t="shared" si="87"/>
        <v>0</v>
      </c>
      <c r="AP545" s="53">
        <f t="shared" si="87"/>
        <v>0</v>
      </c>
      <c r="AQ545" s="53">
        <f t="shared" si="87"/>
        <v>0</v>
      </c>
      <c r="AR545" s="53">
        <f t="shared" si="87"/>
        <v>0</v>
      </c>
      <c r="AS545" s="53">
        <f t="shared" si="87"/>
        <v>0</v>
      </c>
      <c r="AT545" s="53">
        <f t="shared" si="87"/>
        <v>0</v>
      </c>
      <c r="AU545" s="53">
        <f t="shared" si="87"/>
        <v>0</v>
      </c>
      <c r="AV545" s="53">
        <f t="shared" si="87"/>
        <v>0</v>
      </c>
      <c r="AW545" s="53">
        <f t="shared" si="89"/>
        <v>3196000</v>
      </c>
      <c r="AX545" s="53">
        <f t="shared" si="88"/>
        <v>0</v>
      </c>
      <c r="AY545" s="41" t="s">
        <v>557</v>
      </c>
    </row>
    <row r="546" spans="1:51" x14ac:dyDescent="0.2">
      <c r="A546" s="41" t="s">
        <v>152</v>
      </c>
      <c r="B546" s="41">
        <v>2001</v>
      </c>
      <c r="C546" s="41" t="s">
        <v>87</v>
      </c>
      <c r="D546" s="41" t="s">
        <v>110</v>
      </c>
      <c r="E546" s="41">
        <v>100</v>
      </c>
      <c r="F546" s="41" t="s">
        <v>9</v>
      </c>
      <c r="AI546" s="53">
        <v>3700000</v>
      </c>
      <c r="AJ546" s="41">
        <v>0.81</v>
      </c>
      <c r="AL546" s="53">
        <v>21095</v>
      </c>
      <c r="AM546" s="53">
        <v>12700000</v>
      </c>
      <c r="AO546" s="53">
        <f t="shared" si="87"/>
        <v>0</v>
      </c>
      <c r="AP546" s="53">
        <f t="shared" si="87"/>
        <v>0</v>
      </c>
      <c r="AQ546" s="53">
        <f t="shared" si="87"/>
        <v>0</v>
      </c>
      <c r="AR546" s="53">
        <f t="shared" si="87"/>
        <v>0</v>
      </c>
      <c r="AS546" s="53">
        <f t="shared" si="87"/>
        <v>0</v>
      </c>
      <c r="AT546" s="53">
        <f t="shared" si="87"/>
        <v>0</v>
      </c>
      <c r="AU546" s="53">
        <f t="shared" si="87"/>
        <v>0</v>
      </c>
      <c r="AV546" s="53">
        <f t="shared" si="87"/>
        <v>0</v>
      </c>
      <c r="AW546" s="53">
        <f t="shared" si="89"/>
        <v>2997000</v>
      </c>
      <c r="AX546" s="53">
        <f t="shared" si="88"/>
        <v>0</v>
      </c>
      <c r="AY546" s="41" t="s">
        <v>557</v>
      </c>
    </row>
    <row r="547" spans="1:51" x14ac:dyDescent="0.2">
      <c r="A547" s="41" t="s">
        <v>152</v>
      </c>
      <c r="B547" s="41">
        <v>2002</v>
      </c>
      <c r="C547" s="41" t="s">
        <v>87</v>
      </c>
      <c r="D547" s="41" t="s">
        <v>110</v>
      </c>
      <c r="E547" s="41">
        <v>100</v>
      </c>
      <c r="F547" s="41" t="s">
        <v>9</v>
      </c>
      <c r="AI547" s="53">
        <v>3800000</v>
      </c>
      <c r="AJ547" s="41">
        <v>0.77</v>
      </c>
      <c r="AL547" s="53">
        <v>22109</v>
      </c>
      <c r="AM547" s="53">
        <v>12800000</v>
      </c>
      <c r="AO547" s="53">
        <f t="shared" si="87"/>
        <v>0</v>
      </c>
      <c r="AP547" s="53">
        <f t="shared" si="87"/>
        <v>0</v>
      </c>
      <c r="AQ547" s="53">
        <f t="shared" si="87"/>
        <v>0</v>
      </c>
      <c r="AR547" s="53">
        <f t="shared" si="87"/>
        <v>0</v>
      </c>
      <c r="AS547" s="53">
        <f t="shared" si="87"/>
        <v>0</v>
      </c>
      <c r="AT547" s="53">
        <f t="shared" si="87"/>
        <v>0</v>
      </c>
      <c r="AU547" s="53">
        <f t="shared" si="87"/>
        <v>0</v>
      </c>
      <c r="AV547" s="53">
        <f t="shared" si="87"/>
        <v>0</v>
      </c>
      <c r="AW547" s="53">
        <f t="shared" si="89"/>
        <v>2926000</v>
      </c>
      <c r="AX547" s="53">
        <f t="shared" si="88"/>
        <v>0</v>
      </c>
      <c r="AY547" s="41" t="s">
        <v>557</v>
      </c>
    </row>
    <row r="548" spans="1:51" x14ac:dyDescent="0.2">
      <c r="A548" s="41" t="s">
        <v>152</v>
      </c>
      <c r="B548" s="41">
        <v>2003</v>
      </c>
      <c r="C548" s="41" t="s">
        <v>87</v>
      </c>
      <c r="D548" s="41" t="s">
        <v>110</v>
      </c>
      <c r="E548" s="41">
        <v>100</v>
      </c>
      <c r="F548" s="41" t="s">
        <v>9</v>
      </c>
      <c r="AI548" s="53">
        <v>3600000</v>
      </c>
      <c r="AJ548" s="46">
        <v>0.8</v>
      </c>
      <c r="AL548" s="53">
        <v>21033</v>
      </c>
      <c r="AM548" s="53">
        <v>16100000</v>
      </c>
      <c r="AO548" s="53">
        <f t="shared" si="87"/>
        <v>0</v>
      </c>
      <c r="AP548" s="53">
        <f t="shared" si="87"/>
        <v>0</v>
      </c>
      <c r="AQ548" s="53">
        <f t="shared" si="87"/>
        <v>0</v>
      </c>
      <c r="AR548" s="53">
        <f t="shared" si="87"/>
        <v>0</v>
      </c>
      <c r="AS548" s="53">
        <f t="shared" si="87"/>
        <v>0</v>
      </c>
      <c r="AT548" s="53">
        <f t="shared" si="87"/>
        <v>0</v>
      </c>
      <c r="AU548" s="53">
        <f t="shared" si="87"/>
        <v>0</v>
      </c>
      <c r="AV548" s="53">
        <f t="shared" si="87"/>
        <v>0</v>
      </c>
      <c r="AW548" s="53">
        <f t="shared" si="89"/>
        <v>2880000</v>
      </c>
      <c r="AX548" s="53">
        <f t="shared" si="88"/>
        <v>0</v>
      </c>
      <c r="AY548" s="41" t="s">
        <v>557</v>
      </c>
    </row>
    <row r="549" spans="1:51" x14ac:dyDescent="0.2">
      <c r="A549" s="41" t="s">
        <v>152</v>
      </c>
      <c r="B549" s="41">
        <v>2004</v>
      </c>
      <c r="C549" s="41" t="s">
        <v>87</v>
      </c>
      <c r="D549" s="41" t="s">
        <v>110</v>
      </c>
      <c r="E549" s="41">
        <v>100</v>
      </c>
      <c r="F549" s="41" t="s">
        <v>9</v>
      </c>
      <c r="AI549" s="53">
        <v>3300000</v>
      </c>
      <c r="AJ549" s="46">
        <v>0.79</v>
      </c>
      <c r="AL549" s="53">
        <v>20908</v>
      </c>
      <c r="AM549" s="53">
        <v>16100000</v>
      </c>
      <c r="AO549" s="53">
        <f t="shared" si="87"/>
        <v>0</v>
      </c>
      <c r="AP549" s="53">
        <f t="shared" si="87"/>
        <v>0</v>
      </c>
      <c r="AQ549" s="53">
        <f t="shared" si="87"/>
        <v>0</v>
      </c>
      <c r="AR549" s="53">
        <f t="shared" si="87"/>
        <v>0</v>
      </c>
      <c r="AS549" s="53">
        <f t="shared" si="87"/>
        <v>0</v>
      </c>
      <c r="AT549" s="53">
        <f t="shared" si="87"/>
        <v>0</v>
      </c>
      <c r="AU549" s="53">
        <f t="shared" si="87"/>
        <v>0</v>
      </c>
      <c r="AV549" s="53">
        <f t="shared" si="87"/>
        <v>0</v>
      </c>
      <c r="AW549" s="53">
        <f t="shared" si="89"/>
        <v>2607000</v>
      </c>
      <c r="AX549" s="53">
        <f t="shared" si="88"/>
        <v>0</v>
      </c>
      <c r="AY549" s="41" t="s">
        <v>557</v>
      </c>
    </row>
    <row r="550" spans="1:51" x14ac:dyDescent="0.2">
      <c r="A550" s="41" t="s">
        <v>152</v>
      </c>
      <c r="B550" s="41">
        <v>2005</v>
      </c>
      <c r="C550" s="41" t="s">
        <v>87</v>
      </c>
      <c r="D550" s="41" t="s">
        <v>110</v>
      </c>
      <c r="E550" s="41">
        <v>100</v>
      </c>
      <c r="F550" s="41" t="s">
        <v>9</v>
      </c>
      <c r="AI550" s="53">
        <v>4000000</v>
      </c>
      <c r="AJ550" s="46">
        <v>0.84</v>
      </c>
      <c r="AL550" s="53">
        <v>23388</v>
      </c>
      <c r="AM550" s="53">
        <v>18000000</v>
      </c>
      <c r="AO550" s="53">
        <f t="shared" si="87"/>
        <v>0</v>
      </c>
      <c r="AP550" s="53">
        <f t="shared" si="87"/>
        <v>0</v>
      </c>
      <c r="AQ550" s="53">
        <f t="shared" si="87"/>
        <v>0</v>
      </c>
      <c r="AR550" s="53">
        <f t="shared" si="87"/>
        <v>0</v>
      </c>
      <c r="AS550" s="53">
        <f t="shared" si="87"/>
        <v>0</v>
      </c>
      <c r="AT550" s="53">
        <f t="shared" si="87"/>
        <v>0</v>
      </c>
      <c r="AU550" s="53">
        <f t="shared" si="87"/>
        <v>0</v>
      </c>
      <c r="AV550" s="53">
        <f t="shared" si="87"/>
        <v>0</v>
      </c>
      <c r="AW550" s="53">
        <f t="shared" si="89"/>
        <v>3360000</v>
      </c>
      <c r="AX550" s="53">
        <f t="shared" si="88"/>
        <v>0</v>
      </c>
      <c r="AY550" s="41" t="s">
        <v>557</v>
      </c>
    </row>
    <row r="551" spans="1:51" x14ac:dyDescent="0.2">
      <c r="A551" s="41" t="s">
        <v>152</v>
      </c>
      <c r="B551" s="41">
        <v>2006</v>
      </c>
      <c r="C551" s="41" t="s">
        <v>87</v>
      </c>
      <c r="D551" s="41" t="s">
        <v>110</v>
      </c>
      <c r="E551" s="41">
        <v>100</v>
      </c>
      <c r="F551" s="41" t="s">
        <v>9</v>
      </c>
      <c r="AI551" s="53">
        <v>6900000</v>
      </c>
      <c r="AJ551" s="46">
        <v>0.5842028985507246</v>
      </c>
      <c r="AL551" s="53">
        <v>18778</v>
      </c>
      <c r="AM551" s="53">
        <v>18500000</v>
      </c>
      <c r="AO551" s="53">
        <f t="shared" si="87"/>
        <v>0</v>
      </c>
      <c r="AP551" s="53">
        <f t="shared" si="87"/>
        <v>0</v>
      </c>
      <c r="AQ551" s="53">
        <f t="shared" si="87"/>
        <v>0</v>
      </c>
      <c r="AR551" s="53">
        <f t="shared" si="87"/>
        <v>0</v>
      </c>
      <c r="AS551" s="53">
        <f t="shared" si="87"/>
        <v>0</v>
      </c>
      <c r="AT551" s="53">
        <f t="shared" si="87"/>
        <v>0</v>
      </c>
      <c r="AU551" s="53">
        <f t="shared" si="87"/>
        <v>0</v>
      </c>
      <c r="AV551" s="53">
        <f t="shared" si="87"/>
        <v>0</v>
      </c>
      <c r="AW551" s="53">
        <f t="shared" si="89"/>
        <v>4030999.9999999995</v>
      </c>
      <c r="AX551" s="53">
        <f t="shared" si="88"/>
        <v>0</v>
      </c>
      <c r="AY551" s="41" t="s">
        <v>557</v>
      </c>
    </row>
    <row r="552" spans="1:51" x14ac:dyDescent="0.2">
      <c r="A552" s="41" t="s">
        <v>152</v>
      </c>
      <c r="B552" s="41">
        <v>2007</v>
      </c>
      <c r="C552" s="41" t="s">
        <v>87</v>
      </c>
      <c r="D552" s="41" t="s">
        <v>110</v>
      </c>
      <c r="E552" s="41">
        <v>100</v>
      </c>
      <c r="F552" s="41" t="s">
        <v>9</v>
      </c>
      <c r="AI552" s="53">
        <v>4137883</v>
      </c>
      <c r="AJ552" s="46">
        <v>0.58687081775874284</v>
      </c>
      <c r="AL552" s="53">
        <v>28005</v>
      </c>
      <c r="AM552" s="53">
        <v>10344707.5</v>
      </c>
      <c r="AO552" s="53">
        <f t="shared" si="87"/>
        <v>0</v>
      </c>
      <c r="AP552" s="53">
        <f t="shared" si="87"/>
        <v>0</v>
      </c>
      <c r="AQ552" s="53">
        <f t="shared" si="87"/>
        <v>0</v>
      </c>
      <c r="AR552" s="53">
        <f t="shared" si="87"/>
        <v>0</v>
      </c>
      <c r="AS552" s="53">
        <f t="shared" si="87"/>
        <v>0</v>
      </c>
      <c r="AT552" s="53">
        <f t="shared" si="87"/>
        <v>0</v>
      </c>
      <c r="AU552" s="53">
        <f t="shared" si="87"/>
        <v>0</v>
      </c>
      <c r="AV552" s="53">
        <f t="shared" si="87"/>
        <v>0</v>
      </c>
      <c r="AW552" s="53">
        <f t="shared" si="89"/>
        <v>2428402.7800000003</v>
      </c>
      <c r="AX552" s="53">
        <f t="shared" si="88"/>
        <v>0</v>
      </c>
      <c r="AY552" s="41" t="s">
        <v>557</v>
      </c>
    </row>
    <row r="553" spans="1:51" x14ac:dyDescent="0.2">
      <c r="A553" s="41" t="s">
        <v>152</v>
      </c>
      <c r="B553" s="41">
        <v>2008</v>
      </c>
      <c r="C553" s="41" t="s">
        <v>87</v>
      </c>
      <c r="D553" s="41" t="s">
        <v>110</v>
      </c>
      <c r="E553" s="41">
        <v>100</v>
      </c>
      <c r="F553" s="41" t="s">
        <v>9</v>
      </c>
      <c r="AI553" s="53">
        <v>4539000</v>
      </c>
      <c r="AJ553" s="46">
        <v>0.58204230006609381</v>
      </c>
      <c r="AL553" s="53">
        <v>21100</v>
      </c>
      <c r="AM553" s="53">
        <v>11347500</v>
      </c>
      <c r="AO553" s="53">
        <f t="shared" si="87"/>
        <v>0</v>
      </c>
      <c r="AP553" s="53">
        <f t="shared" si="87"/>
        <v>0</v>
      </c>
      <c r="AQ553" s="53">
        <f t="shared" si="87"/>
        <v>0</v>
      </c>
      <c r="AR553" s="53">
        <f t="shared" si="87"/>
        <v>0</v>
      </c>
      <c r="AS553" s="53">
        <f t="shared" si="87"/>
        <v>0</v>
      </c>
      <c r="AT553" s="53">
        <f t="shared" si="87"/>
        <v>0</v>
      </c>
      <c r="AU553" s="53">
        <f t="shared" si="87"/>
        <v>0</v>
      </c>
      <c r="AV553" s="53">
        <f t="shared" si="87"/>
        <v>0</v>
      </c>
      <c r="AW553" s="53">
        <f t="shared" si="89"/>
        <v>2641890</v>
      </c>
      <c r="AX553" s="53">
        <f t="shared" si="88"/>
        <v>0</v>
      </c>
      <c r="AY553" s="41" t="s">
        <v>557</v>
      </c>
    </row>
    <row r="554" spans="1:51" x14ac:dyDescent="0.2">
      <c r="A554" s="41" t="s">
        <v>152</v>
      </c>
      <c r="B554" s="41">
        <v>2009</v>
      </c>
      <c r="C554" s="41" t="s">
        <v>87</v>
      </c>
      <c r="D554" s="41" t="s">
        <v>110</v>
      </c>
      <c r="E554" s="41">
        <v>100</v>
      </c>
      <c r="F554" s="41" t="s">
        <v>9</v>
      </c>
      <c r="AI554" s="53">
        <v>5007000</v>
      </c>
      <c r="AJ554" s="46">
        <v>0.49626123427201918</v>
      </c>
      <c r="AL554" s="53">
        <v>17900</v>
      </c>
      <c r="AM554" s="53">
        <v>12517500</v>
      </c>
      <c r="AO554" s="53">
        <f t="shared" si="87"/>
        <v>0</v>
      </c>
      <c r="AP554" s="53">
        <f t="shared" si="87"/>
        <v>0</v>
      </c>
      <c r="AQ554" s="53">
        <f t="shared" si="87"/>
        <v>0</v>
      </c>
      <c r="AR554" s="53">
        <f t="shared" si="87"/>
        <v>0</v>
      </c>
      <c r="AS554" s="53">
        <f t="shared" si="87"/>
        <v>0</v>
      </c>
      <c r="AT554" s="53">
        <f t="shared" si="87"/>
        <v>0</v>
      </c>
      <c r="AU554" s="53">
        <f t="shared" si="87"/>
        <v>0</v>
      </c>
      <c r="AV554" s="53">
        <f t="shared" si="87"/>
        <v>0</v>
      </c>
      <c r="AW554" s="53">
        <f t="shared" si="89"/>
        <v>2484780</v>
      </c>
      <c r="AX554" s="53">
        <f t="shared" si="88"/>
        <v>0</v>
      </c>
      <c r="AY554" s="41" t="s">
        <v>557</v>
      </c>
    </row>
    <row r="555" spans="1:51" x14ac:dyDescent="0.2">
      <c r="A555" s="41" t="s">
        <v>152</v>
      </c>
      <c r="B555" s="41">
        <v>2010</v>
      </c>
      <c r="C555" s="41" t="s">
        <v>87</v>
      </c>
      <c r="D555" s="41" t="s">
        <v>110</v>
      </c>
      <c r="E555" s="41">
        <v>100</v>
      </c>
      <c r="F555" s="41" t="s">
        <v>9</v>
      </c>
      <c r="G555" s="53">
        <v>9685000</v>
      </c>
      <c r="H555" s="46">
        <v>0.45</v>
      </c>
      <c r="I555" s="56">
        <f>1000*T555/G555/0.6</f>
        <v>0.14824815006023059</v>
      </c>
      <c r="R555" s="76">
        <f>S555*4</f>
        <v>139200</v>
      </c>
      <c r="S555" s="53">
        <v>34800</v>
      </c>
      <c r="T555" s="53">
        <v>861.47</v>
      </c>
      <c r="AL555" s="53">
        <v>10300</v>
      </c>
      <c r="AM555" s="53">
        <v>19370000</v>
      </c>
      <c r="AO555" s="53">
        <f t="shared" si="87"/>
        <v>4358250</v>
      </c>
      <c r="AP555" s="53">
        <f t="shared" si="87"/>
        <v>1435783.3333333333</v>
      </c>
      <c r="AQ555" s="53">
        <f t="shared" si="87"/>
        <v>0</v>
      </c>
      <c r="AR555" s="53">
        <f t="shared" si="87"/>
        <v>0</v>
      </c>
      <c r="AS555" s="53">
        <f t="shared" si="87"/>
        <v>0</v>
      </c>
      <c r="AT555" s="53">
        <f t="shared" si="87"/>
        <v>0</v>
      </c>
      <c r="AU555" s="53">
        <f t="shared" si="87"/>
        <v>0</v>
      </c>
      <c r="AV555" s="53">
        <f t="shared" si="87"/>
        <v>0</v>
      </c>
      <c r="AW555" s="53">
        <f t="shared" si="89"/>
        <v>0</v>
      </c>
      <c r="AX555" s="53">
        <f t="shared" si="88"/>
        <v>968500000</v>
      </c>
      <c r="AY555" s="41" t="s">
        <v>557</v>
      </c>
    </row>
    <row r="556" spans="1:51" x14ac:dyDescent="0.2">
      <c r="A556" s="41" t="s">
        <v>152</v>
      </c>
      <c r="B556" s="41">
        <v>2011</v>
      </c>
      <c r="C556" s="41" t="s">
        <v>87</v>
      </c>
      <c r="D556" s="41" t="s">
        <v>110</v>
      </c>
      <c r="E556" s="41">
        <v>100</v>
      </c>
      <c r="F556" s="41" t="s">
        <v>9</v>
      </c>
      <c r="G556" s="53">
        <v>14751000</v>
      </c>
      <c r="H556" s="46">
        <v>0.51</v>
      </c>
      <c r="I556" s="56">
        <f t="shared" ref="I556:I562" si="90">1000*T556/G556/0.6</f>
        <v>0.19080401328723476</v>
      </c>
      <c r="R556" s="76">
        <f t="shared" ref="R556:R562" si="91">S556*4</f>
        <v>264400</v>
      </c>
      <c r="S556" s="53">
        <v>66100</v>
      </c>
      <c r="T556" s="53">
        <v>1688.73</v>
      </c>
      <c r="AL556" s="53">
        <v>6300</v>
      </c>
      <c r="AM556" s="53">
        <v>22126500</v>
      </c>
      <c r="AO556" s="53">
        <f t="shared" si="87"/>
        <v>7523010</v>
      </c>
      <c r="AP556" s="53">
        <f t="shared" si="87"/>
        <v>2814550</v>
      </c>
      <c r="AQ556" s="53">
        <f t="shared" si="87"/>
        <v>0</v>
      </c>
      <c r="AR556" s="53">
        <f t="shared" si="87"/>
        <v>0</v>
      </c>
      <c r="AS556" s="53">
        <f t="shared" si="87"/>
        <v>0</v>
      </c>
      <c r="AT556" s="53">
        <f t="shared" si="87"/>
        <v>0</v>
      </c>
      <c r="AU556" s="53">
        <f t="shared" si="87"/>
        <v>0</v>
      </c>
      <c r="AV556" s="53">
        <f t="shared" si="87"/>
        <v>0</v>
      </c>
      <c r="AW556" s="53">
        <f t="shared" si="89"/>
        <v>0</v>
      </c>
      <c r="AX556" s="53">
        <f t="shared" si="88"/>
        <v>1475100000</v>
      </c>
      <c r="AY556" s="41" t="s">
        <v>557</v>
      </c>
    </row>
    <row r="557" spans="1:51" x14ac:dyDescent="0.2">
      <c r="A557" s="41" t="s">
        <v>152</v>
      </c>
      <c r="B557" s="41">
        <v>2012</v>
      </c>
      <c r="C557" s="41" t="s">
        <v>87</v>
      </c>
      <c r="D557" s="41" t="s">
        <v>110</v>
      </c>
      <c r="E557" s="41">
        <v>100</v>
      </c>
      <c r="F557" s="41" t="s">
        <v>9</v>
      </c>
      <c r="G557" s="53">
        <v>16723000</v>
      </c>
      <c r="H557" s="41">
        <v>0.52</v>
      </c>
      <c r="I557" s="56">
        <f t="shared" si="90"/>
        <v>0.17853255994737788</v>
      </c>
      <c r="R557" s="76">
        <f t="shared" si="91"/>
        <v>303200</v>
      </c>
      <c r="S557" s="53">
        <v>75800</v>
      </c>
      <c r="T557" s="53">
        <v>1791.36</v>
      </c>
      <c r="AL557" s="53">
        <v>4000</v>
      </c>
      <c r="AM557" s="53">
        <v>25084500</v>
      </c>
      <c r="AO557" s="53">
        <f t="shared" si="87"/>
        <v>8695960</v>
      </c>
      <c r="AP557" s="53">
        <f t="shared" si="87"/>
        <v>2985600.0000000005</v>
      </c>
      <c r="AQ557" s="53">
        <f t="shared" si="87"/>
        <v>0</v>
      </c>
      <c r="AR557" s="53">
        <f t="shared" si="87"/>
        <v>0</v>
      </c>
      <c r="AS557" s="53">
        <f t="shared" si="87"/>
        <v>0</v>
      </c>
      <c r="AT557" s="53">
        <f t="shared" si="87"/>
        <v>0</v>
      </c>
      <c r="AU557" s="53">
        <f t="shared" si="87"/>
        <v>0</v>
      </c>
      <c r="AV557" s="53">
        <f t="shared" si="87"/>
        <v>0</v>
      </c>
      <c r="AW557" s="53">
        <f t="shared" si="89"/>
        <v>0</v>
      </c>
      <c r="AX557" s="53">
        <f t="shared" si="88"/>
        <v>1672300000</v>
      </c>
      <c r="AY557" s="41" t="s">
        <v>557</v>
      </c>
    </row>
    <row r="558" spans="1:51" x14ac:dyDescent="0.2">
      <c r="A558" s="41" t="s">
        <v>152</v>
      </c>
      <c r="B558" s="41">
        <v>2013</v>
      </c>
      <c r="C558" s="41" t="s">
        <v>87</v>
      </c>
      <c r="D558" s="41" t="s">
        <v>110</v>
      </c>
      <c r="E558" s="41">
        <v>100</v>
      </c>
      <c r="F558" s="41" t="s">
        <v>9</v>
      </c>
      <c r="G558" s="53">
        <v>18048000</v>
      </c>
      <c r="H558" s="41">
        <v>0.48</v>
      </c>
      <c r="I558" s="56">
        <f t="shared" si="90"/>
        <v>0.19529403073286053</v>
      </c>
      <c r="R558" s="76">
        <f t="shared" si="91"/>
        <v>307200</v>
      </c>
      <c r="S558" s="53">
        <v>76800</v>
      </c>
      <c r="T558" s="53">
        <v>2114.8000000000002</v>
      </c>
      <c r="AL558" s="53">
        <v>4400</v>
      </c>
      <c r="AM558" s="53">
        <v>9785000</v>
      </c>
      <c r="AO558" s="53">
        <f t="shared" si="87"/>
        <v>8663040</v>
      </c>
      <c r="AP558" s="53">
        <f t="shared" si="87"/>
        <v>3524666.666666667</v>
      </c>
      <c r="AQ558" s="53">
        <f t="shared" si="87"/>
        <v>0</v>
      </c>
      <c r="AR558" s="53">
        <f t="shared" si="87"/>
        <v>0</v>
      </c>
      <c r="AS558" s="53">
        <f t="shared" si="87"/>
        <v>0</v>
      </c>
      <c r="AT558" s="53">
        <f t="shared" si="87"/>
        <v>0</v>
      </c>
      <c r="AU558" s="53">
        <f t="shared" si="87"/>
        <v>0</v>
      </c>
      <c r="AV558" s="53">
        <f t="shared" si="87"/>
        <v>0</v>
      </c>
      <c r="AW558" s="53">
        <f t="shared" si="89"/>
        <v>0</v>
      </c>
      <c r="AX558" s="53">
        <f t="shared" si="88"/>
        <v>1804800000</v>
      </c>
      <c r="AY558" s="41" t="s">
        <v>557</v>
      </c>
    </row>
    <row r="559" spans="1:51" x14ac:dyDescent="0.2">
      <c r="A559" s="41" t="s">
        <v>152</v>
      </c>
      <c r="B559" s="41">
        <v>2014</v>
      </c>
      <c r="C559" s="41" t="s">
        <v>87</v>
      </c>
      <c r="D559" s="41" t="s">
        <v>110</v>
      </c>
      <c r="E559" s="41">
        <v>100</v>
      </c>
      <c r="F559" s="41" t="s">
        <v>9</v>
      </c>
      <c r="G559" s="53">
        <v>17676000</v>
      </c>
      <c r="H559" s="41">
        <v>0.44</v>
      </c>
      <c r="I559" s="56">
        <f t="shared" si="90"/>
        <v>0.13928962057780794</v>
      </c>
      <c r="R559" s="76">
        <f t="shared" si="91"/>
        <v>270000</v>
      </c>
      <c r="S559" s="53">
        <v>67500</v>
      </c>
      <c r="T559" s="53">
        <v>1477.25</v>
      </c>
      <c r="AL559" s="53">
        <v>4300</v>
      </c>
      <c r="AM559" s="53">
        <v>12286000</v>
      </c>
      <c r="AO559" s="53">
        <f t="shared" si="87"/>
        <v>7777440</v>
      </c>
      <c r="AP559" s="53">
        <f t="shared" si="87"/>
        <v>2462083.333333333</v>
      </c>
      <c r="AQ559" s="53">
        <f t="shared" si="87"/>
        <v>0</v>
      </c>
      <c r="AR559" s="53">
        <f t="shared" si="87"/>
        <v>0</v>
      </c>
      <c r="AS559" s="53">
        <f t="shared" si="87"/>
        <v>0</v>
      </c>
      <c r="AT559" s="53">
        <f t="shared" si="87"/>
        <v>0</v>
      </c>
      <c r="AU559" s="53">
        <f t="shared" si="87"/>
        <v>0</v>
      </c>
      <c r="AV559" s="53">
        <f t="shared" si="87"/>
        <v>0</v>
      </c>
      <c r="AW559" s="53">
        <f t="shared" si="89"/>
        <v>0</v>
      </c>
      <c r="AX559" s="53">
        <f t="shared" si="88"/>
        <v>1767600000</v>
      </c>
      <c r="AY559" s="41" t="s">
        <v>557</v>
      </c>
    </row>
    <row r="560" spans="1:51" x14ac:dyDescent="0.2">
      <c r="A560" s="41" t="s">
        <v>152</v>
      </c>
      <c r="B560" s="41">
        <v>2015</v>
      </c>
      <c r="C560" s="41" t="s">
        <v>87</v>
      </c>
      <c r="D560" s="41" t="s">
        <v>110</v>
      </c>
      <c r="E560" s="41">
        <v>100</v>
      </c>
      <c r="F560" s="41" t="s">
        <v>9</v>
      </c>
      <c r="G560" s="53">
        <v>17309000</v>
      </c>
      <c r="H560" s="41">
        <v>0.45</v>
      </c>
      <c r="I560" s="56">
        <f t="shared" si="90"/>
        <v>0.14254241531380593</v>
      </c>
      <c r="R560" s="76">
        <f t="shared" si="91"/>
        <v>273200</v>
      </c>
      <c r="S560" s="53">
        <v>68300</v>
      </c>
      <c r="T560" s="53">
        <v>1480.36</v>
      </c>
      <c r="AL560" s="53">
        <v>4700</v>
      </c>
      <c r="AM560" s="53">
        <v>11053000</v>
      </c>
      <c r="AO560" s="53">
        <f t="shared" si="87"/>
        <v>7789050</v>
      </c>
      <c r="AP560" s="53">
        <f t="shared" si="87"/>
        <v>2467266.666666667</v>
      </c>
      <c r="AQ560" s="53">
        <f t="shared" si="87"/>
        <v>0</v>
      </c>
      <c r="AR560" s="53">
        <f t="shared" si="87"/>
        <v>0</v>
      </c>
      <c r="AS560" s="53">
        <f t="shared" si="87"/>
        <v>0</v>
      </c>
      <c r="AT560" s="53">
        <f t="shared" si="87"/>
        <v>0</v>
      </c>
      <c r="AU560" s="53">
        <f t="shared" si="87"/>
        <v>0</v>
      </c>
      <c r="AV560" s="53">
        <f t="shared" si="87"/>
        <v>0</v>
      </c>
      <c r="AW560" s="53">
        <f t="shared" si="89"/>
        <v>0</v>
      </c>
      <c r="AX560" s="53">
        <f t="shared" si="88"/>
        <v>1730900000</v>
      </c>
      <c r="AY560" s="41" t="s">
        <v>557</v>
      </c>
    </row>
    <row r="561" spans="1:51" x14ac:dyDescent="0.2">
      <c r="A561" s="41" t="s">
        <v>152</v>
      </c>
      <c r="B561" s="41">
        <v>2016</v>
      </c>
      <c r="C561" s="41" t="s">
        <v>87</v>
      </c>
      <c r="D561" s="41" t="s">
        <v>110</v>
      </c>
      <c r="E561" s="41">
        <v>100</v>
      </c>
      <c r="F561" s="41" t="s">
        <v>9</v>
      </c>
      <c r="G561" s="53">
        <v>17861000</v>
      </c>
      <c r="H561" s="41">
        <v>0.44</v>
      </c>
      <c r="I561" s="56">
        <f t="shared" si="90"/>
        <v>0.15467872272922384</v>
      </c>
      <c r="R561" s="76">
        <f t="shared" si="91"/>
        <v>278000</v>
      </c>
      <c r="S561" s="53">
        <v>69500</v>
      </c>
      <c r="T561" s="53">
        <v>1657.63</v>
      </c>
      <c r="AL561" s="53">
        <v>3700</v>
      </c>
      <c r="AM561" s="53">
        <v>10976000</v>
      </c>
      <c r="AO561" s="53">
        <f t="shared" si="87"/>
        <v>7858840</v>
      </c>
      <c r="AP561" s="53">
        <f t="shared" si="87"/>
        <v>2762716.666666667</v>
      </c>
      <c r="AQ561" s="53">
        <f t="shared" si="87"/>
        <v>0</v>
      </c>
      <c r="AR561" s="53">
        <f t="shared" si="87"/>
        <v>0</v>
      </c>
      <c r="AS561" s="53">
        <f t="shared" si="87"/>
        <v>0</v>
      </c>
      <c r="AT561" s="53">
        <f t="shared" si="87"/>
        <v>0</v>
      </c>
      <c r="AU561" s="53">
        <f t="shared" si="87"/>
        <v>0</v>
      </c>
      <c r="AV561" s="53">
        <f t="shared" si="87"/>
        <v>0</v>
      </c>
      <c r="AW561" s="53">
        <f t="shared" si="89"/>
        <v>0</v>
      </c>
      <c r="AX561" s="53">
        <f t="shared" si="88"/>
        <v>1786100000</v>
      </c>
      <c r="AY561" s="41" t="s">
        <v>557</v>
      </c>
    </row>
    <row r="562" spans="1:51" x14ac:dyDescent="0.2">
      <c r="A562" s="41" t="s">
        <v>152</v>
      </c>
      <c r="B562" s="41" t="s">
        <v>601</v>
      </c>
      <c r="C562" s="41" t="s">
        <v>87</v>
      </c>
      <c r="D562" s="41" t="s">
        <v>110</v>
      </c>
      <c r="E562" s="41">
        <v>100</v>
      </c>
      <c r="F562" s="41" t="s">
        <v>9</v>
      </c>
      <c r="G562" s="53">
        <f>4412000+(61/91)*3932000</f>
        <v>7047736.2637362629</v>
      </c>
      <c r="H562" s="46">
        <f>(0.5*4412000+(61/91)*0.46*3932000)/G562</f>
        <v>0.48504066460433093</v>
      </c>
      <c r="I562" s="56">
        <f t="shared" si="90"/>
        <v>0.16752340917406783</v>
      </c>
      <c r="R562" s="76">
        <f t="shared" si="91"/>
        <v>122018.38969670329</v>
      </c>
      <c r="S562" s="53">
        <f>0.892*(0.5/100)*4412000+(61/91)*0.893*(0.46/100)*3932000</f>
        <v>30504.597424175823</v>
      </c>
      <c r="T562" s="53">
        <f>(14600+(61/91)*12200)*31.1/1000</f>
        <v>708.39648351648361</v>
      </c>
      <c r="AL562" s="53">
        <f>800+(61/91)*800</f>
        <v>1336.2637362637361</v>
      </c>
      <c r="AM562" s="53">
        <f>(6731000-4412000)+(61/91)*(6598000-3932000)</f>
        <v>4106098.9010989009</v>
      </c>
      <c r="AO562" s="53">
        <f t="shared" ref="AO562:AV562" si="92">$G562*H562</f>
        <v>3418438.6813186812</v>
      </c>
      <c r="AP562" s="53">
        <f t="shared" si="92"/>
        <v>1180660.805860806</v>
      </c>
      <c r="AQ562" s="53">
        <f t="shared" si="92"/>
        <v>0</v>
      </c>
      <c r="AR562" s="53">
        <f t="shared" si="92"/>
        <v>0</v>
      </c>
      <c r="AS562" s="53">
        <f t="shared" si="92"/>
        <v>0</v>
      </c>
      <c r="AT562" s="53">
        <f t="shared" si="92"/>
        <v>0</v>
      </c>
      <c r="AU562" s="53">
        <f t="shared" si="92"/>
        <v>0</v>
      </c>
      <c r="AV562" s="53">
        <f t="shared" si="92"/>
        <v>0</v>
      </c>
      <c r="AW562" s="53">
        <f>$AI562*AJ562</f>
        <v>0</v>
      </c>
      <c r="AX562" s="53">
        <f t="shared" si="88"/>
        <v>704773626.37362623</v>
      </c>
      <c r="AY562" s="41" t="s">
        <v>557</v>
      </c>
    </row>
    <row r="563" spans="1:51" x14ac:dyDescent="0.2">
      <c r="A563" s="41" t="s">
        <v>152</v>
      </c>
      <c r="B563" s="60" t="s">
        <v>559</v>
      </c>
      <c r="C563" s="60" t="s">
        <v>87</v>
      </c>
      <c r="D563" s="60" t="s">
        <v>110</v>
      </c>
      <c r="E563" s="60">
        <v>100</v>
      </c>
      <c r="F563" s="60" t="s">
        <v>9</v>
      </c>
      <c r="G563" s="79">
        <f>SUM(G541:G562)</f>
        <v>119100736.26373626</v>
      </c>
      <c r="H563" s="80">
        <f>AO563/$G563</f>
        <v>0.47089573449089683</v>
      </c>
      <c r="I563" s="80">
        <f>AP563/$G563</f>
        <v>0.16484639884216584</v>
      </c>
      <c r="R563" s="79">
        <f>SUM(R541:R562)</f>
        <v>1957218.3896967033</v>
      </c>
      <c r="S563" s="79">
        <f>SUM(S541:S562)</f>
        <v>489304.59742417582</v>
      </c>
      <c r="T563" s="79">
        <f>SUM(T541:T562)</f>
        <v>11779.996483516483</v>
      </c>
      <c r="AI563" s="79">
        <f>SUM(AI541:AI562)</f>
        <v>51783883</v>
      </c>
      <c r="AJ563" s="80">
        <f>AW563/AI563</f>
        <v>0.72988100911629206</v>
      </c>
      <c r="AL563" s="79">
        <f>SUM(AL541:AL562)</f>
        <v>320000.82283995603</v>
      </c>
      <c r="AM563" s="79">
        <f>SUM(AM541:AM562)</f>
        <v>280896806.40109891</v>
      </c>
      <c r="AO563" s="79">
        <f t="shared" ref="AO563:AX563" si="93">SUM(AO541:AO562)</f>
        <v>56084028.681318678</v>
      </c>
      <c r="AP563" s="79">
        <f t="shared" si="93"/>
        <v>19633327.472527474</v>
      </c>
      <c r="AQ563" s="79">
        <f t="shared" si="93"/>
        <v>0</v>
      </c>
      <c r="AR563" s="79">
        <f t="shared" si="93"/>
        <v>0</v>
      </c>
      <c r="AS563" s="79">
        <f t="shared" si="93"/>
        <v>0</v>
      </c>
      <c r="AT563" s="79">
        <f t="shared" si="93"/>
        <v>0</v>
      </c>
      <c r="AU563" s="79">
        <f t="shared" si="93"/>
        <v>0</v>
      </c>
      <c r="AV563" s="79">
        <f t="shared" si="93"/>
        <v>0</v>
      </c>
      <c r="AW563" s="79">
        <f t="shared" si="93"/>
        <v>37796072.780000001</v>
      </c>
      <c r="AX563" s="79">
        <f t="shared" si="93"/>
        <v>11910073626.373627</v>
      </c>
      <c r="AY563" s="41" t="s">
        <v>557</v>
      </c>
    </row>
    <row r="564" spans="1:51" x14ac:dyDescent="0.2">
      <c r="A564" s="41" t="s">
        <v>152</v>
      </c>
      <c r="B564" s="43" t="s">
        <v>560</v>
      </c>
      <c r="G564" s="53">
        <f>STDEV(G541:G562)</f>
        <v>4215370.7026051953</v>
      </c>
      <c r="H564" s="46">
        <f>STDEV(H541:H562)</f>
        <v>3.161813198777038E-2</v>
      </c>
      <c r="I564" s="46">
        <f>STDEV(I541:I562)</f>
        <v>2.1792534359850221E-2</v>
      </c>
      <c r="R564" s="53">
        <f>STDEV(R541:R562)</f>
        <v>72169.27453000145</v>
      </c>
      <c r="S564" s="53">
        <f>STDEV(S541:S562)</f>
        <v>18042.318632500363</v>
      </c>
      <c r="T564" s="53">
        <f>STDEV(T541:T562)</f>
        <v>470.94823893637783</v>
      </c>
      <c r="AI564" s="53">
        <f>STDEV(AI541:AI562)</f>
        <v>1320369.7899151745</v>
      </c>
      <c r="AJ564" s="46">
        <f>STDEV(AJ541:AJ562)</f>
        <v>0.14084883692443714</v>
      </c>
      <c r="AL564" s="53">
        <f>STDEV(AL541:AL562)</f>
        <v>8876.7587440989955</v>
      </c>
      <c r="AM564" s="53">
        <f>STDEV(AM541:AM562)</f>
        <v>5420157.7562621431</v>
      </c>
      <c r="AY564" s="41" t="s">
        <v>557</v>
      </c>
    </row>
    <row r="565" spans="1:51" x14ac:dyDescent="0.2">
      <c r="A565" s="41" t="s">
        <v>152</v>
      </c>
      <c r="B565" s="81" t="s">
        <v>249</v>
      </c>
      <c r="G565" s="41">
        <f>COUNT(G541:G562)</f>
        <v>8</v>
      </c>
      <c r="H565" s="41">
        <f>COUNT(H543:H562)</f>
        <v>8</v>
      </c>
      <c r="I565" s="41">
        <f>COUNT(I543:I562)</f>
        <v>8</v>
      </c>
      <c r="R565" s="41">
        <f>COUNT(R541:R562)</f>
        <v>8</v>
      </c>
      <c r="S565" s="41">
        <f>COUNT(S541:S562)</f>
        <v>8</v>
      </c>
      <c r="T565" s="41">
        <f>COUNT(T541:T562)</f>
        <v>8</v>
      </c>
      <c r="AI565" s="41">
        <f>COUNT(AI541:AI562)</f>
        <v>14</v>
      </c>
      <c r="AJ565" s="41">
        <f>COUNT(AJ541:AJ562)</f>
        <v>14</v>
      </c>
      <c r="AL565" s="41">
        <f>COUNT(AL541:AL562)</f>
        <v>22</v>
      </c>
      <c r="AM565" s="41">
        <f>COUNT(AM541:AM562)</f>
        <v>22</v>
      </c>
      <c r="AY565" s="41" t="s">
        <v>557</v>
      </c>
    </row>
    <row r="566" spans="1:51" x14ac:dyDescent="0.2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  <c r="AA566" s="82"/>
      <c r="AB566" s="82"/>
      <c r="AC566" s="82"/>
      <c r="AD566" s="82"/>
      <c r="AE566" s="82"/>
      <c r="AF566" s="82"/>
      <c r="AG566" s="82"/>
      <c r="AH566" s="82"/>
      <c r="AI566" s="82"/>
      <c r="AJ566" s="82"/>
      <c r="AK566" s="82"/>
      <c r="AL566" s="82"/>
      <c r="AM566" s="82"/>
      <c r="AN566" s="82"/>
      <c r="AO566" s="82"/>
      <c r="AP566" s="82"/>
      <c r="AQ566" s="82"/>
      <c r="AR566" s="82"/>
      <c r="AS566" s="82"/>
      <c r="AT566" s="82"/>
      <c r="AU566" s="82"/>
      <c r="AV566" s="82"/>
      <c r="AW566" s="82"/>
      <c r="AX566" s="82"/>
      <c r="AY566" s="41" t="s">
        <v>557</v>
      </c>
    </row>
    <row r="567" spans="1:51" x14ac:dyDescent="0.2">
      <c r="A567" s="41" t="s">
        <v>602</v>
      </c>
      <c r="B567" s="41">
        <v>2001</v>
      </c>
      <c r="C567" s="41" t="s">
        <v>87</v>
      </c>
      <c r="D567" s="41" t="s">
        <v>110</v>
      </c>
      <c r="E567" s="41">
        <v>100</v>
      </c>
      <c r="F567" s="41" t="s">
        <v>556</v>
      </c>
      <c r="AI567" s="53">
        <v>6460500</v>
      </c>
      <c r="AJ567" s="41">
        <v>1.44</v>
      </c>
      <c r="AL567" s="53">
        <v>34000</v>
      </c>
      <c r="AM567" s="53">
        <v>32302500</v>
      </c>
      <c r="AO567" s="53">
        <f t="shared" ref="AO567:AV582" si="94">$G567*H567</f>
        <v>0</v>
      </c>
      <c r="AP567" s="53">
        <f t="shared" si="94"/>
        <v>0</v>
      </c>
      <c r="AQ567" s="53">
        <f t="shared" si="94"/>
        <v>0</v>
      </c>
      <c r="AR567" s="53">
        <f t="shared" si="94"/>
        <v>0</v>
      </c>
      <c r="AS567" s="53">
        <f t="shared" si="94"/>
        <v>0</v>
      </c>
      <c r="AT567" s="53">
        <f t="shared" si="94"/>
        <v>0</v>
      </c>
      <c r="AU567" s="53">
        <f t="shared" si="94"/>
        <v>0</v>
      </c>
      <c r="AV567" s="53">
        <f t="shared" si="94"/>
        <v>0</v>
      </c>
      <c r="AW567" s="53">
        <f>$AI567*AJ567</f>
        <v>9303120</v>
      </c>
      <c r="AX567" s="53">
        <f t="shared" ref="AX567:AX583" si="95">$G567*E567</f>
        <v>0</v>
      </c>
      <c r="AY567" s="41" t="s">
        <v>557</v>
      </c>
    </row>
    <row r="568" spans="1:51" x14ac:dyDescent="0.2">
      <c r="A568" s="41" t="s">
        <v>602</v>
      </c>
      <c r="B568" s="41">
        <v>2002</v>
      </c>
      <c r="C568" s="41" t="s">
        <v>87</v>
      </c>
      <c r="D568" s="41" t="s">
        <v>110</v>
      </c>
      <c r="E568" s="41">
        <v>100</v>
      </c>
      <c r="F568" s="41" t="s">
        <v>556</v>
      </c>
      <c r="AI568" s="53">
        <v>7482500</v>
      </c>
      <c r="AJ568" s="46">
        <v>1.5</v>
      </c>
      <c r="AL568" s="53">
        <v>84300</v>
      </c>
      <c r="AM568" s="53">
        <v>37412500</v>
      </c>
      <c r="AO568" s="53">
        <f t="shared" si="94"/>
        <v>0</v>
      </c>
      <c r="AP568" s="53">
        <f t="shared" si="94"/>
        <v>0</v>
      </c>
      <c r="AQ568" s="53">
        <f t="shared" si="94"/>
        <v>0</v>
      </c>
      <c r="AR568" s="53">
        <f t="shared" si="94"/>
        <v>0</v>
      </c>
      <c r="AS568" s="53">
        <f t="shared" si="94"/>
        <v>0</v>
      </c>
      <c r="AT568" s="53">
        <f t="shared" si="94"/>
        <v>0</v>
      </c>
      <c r="AU568" s="53">
        <f t="shared" si="94"/>
        <v>0</v>
      </c>
      <c r="AV568" s="53">
        <f t="shared" si="94"/>
        <v>0</v>
      </c>
      <c r="AW568" s="53">
        <f t="shared" ref="AW568:AW583" si="96">$AI568*AJ568</f>
        <v>11223750</v>
      </c>
      <c r="AX568" s="53">
        <f t="shared" si="95"/>
        <v>0</v>
      </c>
      <c r="AY568" s="41" t="s">
        <v>557</v>
      </c>
    </row>
    <row r="569" spans="1:51" x14ac:dyDescent="0.2">
      <c r="A569" s="41" t="s">
        <v>602</v>
      </c>
      <c r="B569" s="41">
        <v>2003</v>
      </c>
      <c r="C569" s="41" t="s">
        <v>87</v>
      </c>
      <c r="D569" s="41" t="s">
        <v>110</v>
      </c>
      <c r="E569" s="41">
        <v>100</v>
      </c>
      <c r="F569" s="41" t="s">
        <v>556</v>
      </c>
      <c r="AI569" s="53">
        <v>8066500</v>
      </c>
      <c r="AJ569" s="41">
        <v>1.46</v>
      </c>
      <c r="AL569" s="53">
        <v>92400</v>
      </c>
      <c r="AM569" s="53">
        <v>40332500</v>
      </c>
      <c r="AO569" s="53">
        <f t="shared" si="94"/>
        <v>0</v>
      </c>
      <c r="AP569" s="53">
        <f t="shared" si="94"/>
        <v>0</v>
      </c>
      <c r="AQ569" s="53">
        <f t="shared" si="94"/>
        <v>0</v>
      </c>
      <c r="AR569" s="53">
        <f t="shared" si="94"/>
        <v>0</v>
      </c>
      <c r="AS569" s="53">
        <f t="shared" si="94"/>
        <v>0</v>
      </c>
      <c r="AT569" s="53">
        <f t="shared" si="94"/>
        <v>0</v>
      </c>
      <c r="AU569" s="53">
        <f t="shared" si="94"/>
        <v>0</v>
      </c>
      <c r="AV569" s="53">
        <f t="shared" si="94"/>
        <v>0</v>
      </c>
      <c r="AW569" s="53">
        <f t="shared" si="96"/>
        <v>11777090</v>
      </c>
      <c r="AX569" s="53">
        <f t="shared" si="95"/>
        <v>0</v>
      </c>
      <c r="AY569" s="41" t="s">
        <v>557</v>
      </c>
    </row>
    <row r="570" spans="1:51" x14ac:dyDescent="0.2">
      <c r="A570" s="41" t="s">
        <v>602</v>
      </c>
      <c r="B570" s="41">
        <v>2004</v>
      </c>
      <c r="C570" s="41" t="s">
        <v>87</v>
      </c>
      <c r="D570" s="41" t="s">
        <v>110</v>
      </c>
      <c r="E570" s="41">
        <v>100</v>
      </c>
      <c r="F570" s="41" t="s">
        <v>556</v>
      </c>
      <c r="AI570" s="53">
        <v>9271000</v>
      </c>
      <c r="AJ570" s="41">
        <v>1.35</v>
      </c>
      <c r="AL570" s="53">
        <v>97800</v>
      </c>
      <c r="AM570" s="53">
        <v>46355000</v>
      </c>
      <c r="AO570" s="53">
        <f t="shared" si="94"/>
        <v>0</v>
      </c>
      <c r="AP570" s="53">
        <f t="shared" si="94"/>
        <v>0</v>
      </c>
      <c r="AQ570" s="53">
        <f t="shared" si="94"/>
        <v>0</v>
      </c>
      <c r="AR570" s="53">
        <f t="shared" si="94"/>
        <v>0</v>
      </c>
      <c r="AS570" s="53">
        <f t="shared" si="94"/>
        <v>0</v>
      </c>
      <c r="AT570" s="53">
        <f t="shared" si="94"/>
        <v>0</v>
      </c>
      <c r="AU570" s="53">
        <f t="shared" si="94"/>
        <v>0</v>
      </c>
      <c r="AV570" s="53">
        <f t="shared" si="94"/>
        <v>0</v>
      </c>
      <c r="AW570" s="53">
        <f t="shared" si="96"/>
        <v>12515850</v>
      </c>
      <c r="AX570" s="53">
        <f t="shared" si="95"/>
        <v>0</v>
      </c>
      <c r="AY570" s="41" t="s">
        <v>557</v>
      </c>
    </row>
    <row r="571" spans="1:51" x14ac:dyDescent="0.2">
      <c r="A571" s="41" t="s">
        <v>602</v>
      </c>
      <c r="B571" s="41">
        <v>2005</v>
      </c>
      <c r="C571" s="41" t="s">
        <v>87</v>
      </c>
      <c r="D571" s="41" t="s">
        <v>110</v>
      </c>
      <c r="E571" s="41">
        <v>100</v>
      </c>
      <c r="F571" s="41" t="s">
        <v>556</v>
      </c>
      <c r="AI571" s="53">
        <v>9928000</v>
      </c>
      <c r="AJ571" s="41">
        <v>1.23</v>
      </c>
      <c r="AL571" s="53">
        <v>98100</v>
      </c>
      <c r="AM571" s="53">
        <v>49640000</v>
      </c>
      <c r="AO571" s="53">
        <f t="shared" si="94"/>
        <v>0</v>
      </c>
      <c r="AP571" s="53">
        <f t="shared" si="94"/>
        <v>0</v>
      </c>
      <c r="AQ571" s="53">
        <f t="shared" si="94"/>
        <v>0</v>
      </c>
      <c r="AR571" s="53">
        <f t="shared" si="94"/>
        <v>0</v>
      </c>
      <c r="AS571" s="53">
        <f t="shared" si="94"/>
        <v>0</v>
      </c>
      <c r="AT571" s="53">
        <f t="shared" si="94"/>
        <v>0</v>
      </c>
      <c r="AU571" s="53">
        <f t="shared" si="94"/>
        <v>0</v>
      </c>
      <c r="AV571" s="53">
        <f t="shared" si="94"/>
        <v>0</v>
      </c>
      <c r="AW571" s="53">
        <f t="shared" si="96"/>
        <v>12211440</v>
      </c>
      <c r="AX571" s="53">
        <f t="shared" si="95"/>
        <v>0</v>
      </c>
      <c r="AY571" s="41" t="s">
        <v>557</v>
      </c>
    </row>
    <row r="572" spans="1:51" x14ac:dyDescent="0.2">
      <c r="A572" s="41" t="s">
        <v>602</v>
      </c>
      <c r="B572" s="41">
        <v>2006</v>
      </c>
      <c r="C572" s="41" t="s">
        <v>87</v>
      </c>
      <c r="D572" s="41" t="s">
        <v>110</v>
      </c>
      <c r="E572" s="41">
        <v>100</v>
      </c>
      <c r="F572" s="41" t="s">
        <v>556</v>
      </c>
      <c r="AI572" s="53">
        <v>10475500</v>
      </c>
      <c r="AJ572" s="41">
        <v>1.1599999999999999</v>
      </c>
      <c r="AL572" s="53">
        <v>94000</v>
      </c>
      <c r="AM572" s="53">
        <v>52377500</v>
      </c>
      <c r="AO572" s="53">
        <f t="shared" si="94"/>
        <v>0</v>
      </c>
      <c r="AP572" s="53">
        <f t="shared" si="94"/>
        <v>0</v>
      </c>
      <c r="AQ572" s="53">
        <f t="shared" si="94"/>
        <v>0</v>
      </c>
      <c r="AR572" s="53">
        <f t="shared" si="94"/>
        <v>0</v>
      </c>
      <c r="AS572" s="53">
        <f t="shared" si="94"/>
        <v>0</v>
      </c>
      <c r="AT572" s="53">
        <f t="shared" si="94"/>
        <v>0</v>
      </c>
      <c r="AU572" s="53">
        <f t="shared" si="94"/>
        <v>0</v>
      </c>
      <c r="AV572" s="53">
        <f t="shared" si="94"/>
        <v>0</v>
      </c>
      <c r="AW572" s="53">
        <f t="shared" si="96"/>
        <v>12151580</v>
      </c>
      <c r="AX572" s="53">
        <f t="shared" si="95"/>
        <v>0</v>
      </c>
      <c r="AY572" s="41" t="s">
        <v>557</v>
      </c>
    </row>
    <row r="573" spans="1:51" x14ac:dyDescent="0.2">
      <c r="A573" s="41" t="s">
        <v>602</v>
      </c>
      <c r="B573" s="41">
        <v>2007</v>
      </c>
      <c r="C573" s="41" t="s">
        <v>87</v>
      </c>
      <c r="D573" s="41" t="s">
        <v>110</v>
      </c>
      <c r="E573" s="41">
        <v>100</v>
      </c>
      <c r="F573" s="41" t="s">
        <v>556</v>
      </c>
      <c r="AI573" s="53">
        <v>9782000</v>
      </c>
      <c r="AJ573" s="41">
        <v>1.23</v>
      </c>
      <c r="AL573" s="53">
        <v>93000</v>
      </c>
      <c r="AM573" s="53">
        <v>48910000</v>
      </c>
      <c r="AO573" s="53">
        <f t="shared" si="94"/>
        <v>0</v>
      </c>
      <c r="AP573" s="53">
        <f t="shared" si="94"/>
        <v>0</v>
      </c>
      <c r="AQ573" s="53">
        <f t="shared" si="94"/>
        <v>0</v>
      </c>
      <c r="AR573" s="53">
        <f t="shared" si="94"/>
        <v>0</v>
      </c>
      <c r="AS573" s="53">
        <f t="shared" si="94"/>
        <v>0</v>
      </c>
      <c r="AT573" s="53">
        <f t="shared" si="94"/>
        <v>0</v>
      </c>
      <c r="AU573" s="53">
        <f t="shared" si="94"/>
        <v>0</v>
      </c>
      <c r="AV573" s="53">
        <f t="shared" si="94"/>
        <v>0</v>
      </c>
      <c r="AW573" s="53">
        <f t="shared" si="96"/>
        <v>12031860</v>
      </c>
      <c r="AX573" s="53">
        <f t="shared" si="95"/>
        <v>0</v>
      </c>
      <c r="AY573" s="41" t="s">
        <v>557</v>
      </c>
    </row>
    <row r="574" spans="1:51" x14ac:dyDescent="0.2">
      <c r="A574" s="41" t="s">
        <v>602</v>
      </c>
      <c r="B574" s="41">
        <v>2008</v>
      </c>
      <c r="C574" s="41" t="s">
        <v>87</v>
      </c>
      <c r="D574" s="41" t="s">
        <v>110</v>
      </c>
      <c r="E574" s="41">
        <v>100</v>
      </c>
      <c r="F574" s="41" t="s">
        <v>556</v>
      </c>
      <c r="AI574" s="53">
        <v>10402500</v>
      </c>
      <c r="AJ574" s="41">
        <v>1.1599999999999999</v>
      </c>
      <c r="AL574" s="53">
        <v>90800</v>
      </c>
      <c r="AM574" s="53">
        <v>52012500</v>
      </c>
      <c r="AO574" s="53">
        <f t="shared" si="94"/>
        <v>0</v>
      </c>
      <c r="AP574" s="53">
        <f t="shared" si="94"/>
        <v>0</v>
      </c>
      <c r="AQ574" s="53">
        <f t="shared" si="94"/>
        <v>0</v>
      </c>
      <c r="AR574" s="53">
        <f t="shared" si="94"/>
        <v>0</v>
      </c>
      <c r="AS574" s="53">
        <f t="shared" si="94"/>
        <v>0</v>
      </c>
      <c r="AT574" s="53">
        <f t="shared" si="94"/>
        <v>0</v>
      </c>
      <c r="AU574" s="53">
        <f t="shared" si="94"/>
        <v>0</v>
      </c>
      <c r="AV574" s="53">
        <f t="shared" si="94"/>
        <v>0</v>
      </c>
      <c r="AW574" s="53">
        <f t="shared" si="96"/>
        <v>12066900</v>
      </c>
      <c r="AX574" s="53">
        <f t="shared" si="95"/>
        <v>0</v>
      </c>
      <c r="AY574" s="41" t="s">
        <v>557</v>
      </c>
    </row>
    <row r="575" spans="1:51" x14ac:dyDescent="0.2">
      <c r="A575" s="41" t="s">
        <v>602</v>
      </c>
      <c r="B575" s="41">
        <v>2009</v>
      </c>
      <c r="C575" s="41" t="s">
        <v>87</v>
      </c>
      <c r="D575" s="41" t="s">
        <v>110</v>
      </c>
      <c r="E575" s="41">
        <v>100</v>
      </c>
      <c r="F575" s="41" t="s">
        <v>556</v>
      </c>
      <c r="AI575" s="53">
        <v>9563000</v>
      </c>
      <c r="AJ575" s="41">
        <v>1.25</v>
      </c>
      <c r="AL575" s="53">
        <v>90200</v>
      </c>
      <c r="AM575" s="53">
        <v>82300000</v>
      </c>
      <c r="AO575" s="53">
        <f t="shared" si="94"/>
        <v>0</v>
      </c>
      <c r="AP575" s="53">
        <f t="shared" si="94"/>
        <v>0</v>
      </c>
      <c r="AQ575" s="53">
        <f t="shared" si="94"/>
        <v>0</v>
      </c>
      <c r="AR575" s="53">
        <f t="shared" si="94"/>
        <v>0</v>
      </c>
      <c r="AS575" s="53">
        <f t="shared" si="94"/>
        <v>0</v>
      </c>
      <c r="AT575" s="53">
        <f t="shared" si="94"/>
        <v>0</v>
      </c>
      <c r="AU575" s="53">
        <f t="shared" si="94"/>
        <v>0</v>
      </c>
      <c r="AV575" s="53">
        <f t="shared" si="94"/>
        <v>0</v>
      </c>
      <c r="AW575" s="53">
        <f t="shared" si="96"/>
        <v>11953750</v>
      </c>
      <c r="AX575" s="53">
        <f t="shared" si="95"/>
        <v>0</v>
      </c>
      <c r="AY575" s="41" t="s">
        <v>557</v>
      </c>
    </row>
    <row r="576" spans="1:51" x14ac:dyDescent="0.2">
      <c r="A576" s="41" t="s">
        <v>602</v>
      </c>
      <c r="B576" s="41">
        <v>2010</v>
      </c>
      <c r="C576" s="41" t="s">
        <v>87</v>
      </c>
      <c r="D576" s="41" t="s">
        <v>110</v>
      </c>
      <c r="E576" s="41">
        <v>100</v>
      </c>
      <c r="F576" s="41" t="s">
        <v>556</v>
      </c>
      <c r="AI576" s="53">
        <v>9636000</v>
      </c>
      <c r="AJ576" s="46">
        <v>1.1000000000000001</v>
      </c>
      <c r="AL576" s="53">
        <v>95600</v>
      </c>
      <c r="AM576" s="53">
        <v>115100000</v>
      </c>
      <c r="AO576" s="53">
        <f t="shared" si="94"/>
        <v>0</v>
      </c>
      <c r="AP576" s="53">
        <f t="shared" si="94"/>
        <v>0</v>
      </c>
      <c r="AQ576" s="53">
        <f t="shared" si="94"/>
        <v>0</v>
      </c>
      <c r="AR576" s="53">
        <f t="shared" si="94"/>
        <v>0</v>
      </c>
      <c r="AS576" s="53">
        <f t="shared" si="94"/>
        <v>0</v>
      </c>
      <c r="AT576" s="53">
        <f t="shared" si="94"/>
        <v>0</v>
      </c>
      <c r="AU576" s="53">
        <f t="shared" si="94"/>
        <v>0</v>
      </c>
      <c r="AV576" s="53">
        <f t="shared" si="94"/>
        <v>0</v>
      </c>
      <c r="AW576" s="53">
        <f t="shared" si="96"/>
        <v>10599600</v>
      </c>
      <c r="AX576" s="53">
        <f t="shared" si="95"/>
        <v>0</v>
      </c>
      <c r="AY576" s="41" t="s">
        <v>557</v>
      </c>
    </row>
    <row r="577" spans="1:51" x14ac:dyDescent="0.2">
      <c r="A577" s="41" t="s">
        <v>602</v>
      </c>
      <c r="B577" s="41">
        <v>2011</v>
      </c>
      <c r="C577" s="41" t="s">
        <v>87</v>
      </c>
      <c r="D577" s="41" t="s">
        <v>110</v>
      </c>
      <c r="E577" s="41">
        <v>100</v>
      </c>
      <c r="F577" s="41" t="s">
        <v>556</v>
      </c>
      <c r="G577" s="53">
        <f>55700*365</f>
        <v>20330500</v>
      </c>
      <c r="H577" s="41">
        <v>0.56000000000000005</v>
      </c>
      <c r="I577" s="41">
        <v>0.36</v>
      </c>
      <c r="J577" s="54">
        <f>1000*U577/G577/0.7085</f>
        <v>1.5638351124172691</v>
      </c>
      <c r="R577" s="76">
        <f>S577*4</f>
        <v>360400</v>
      </c>
      <c r="S577" s="53">
        <v>90100</v>
      </c>
      <c r="T577" s="53">
        <f>157100*31.1/1000</f>
        <v>4885.8100000000004</v>
      </c>
      <c r="U577" s="53">
        <f>724300*31.1/1000</f>
        <v>22525.73</v>
      </c>
      <c r="AH577" s="93">
        <f t="shared" ref="AH577:AH583" si="97">G577-R577</f>
        <v>19970100</v>
      </c>
      <c r="AI577" s="53">
        <v>8687000</v>
      </c>
      <c r="AJ577" s="46">
        <v>1.26</v>
      </c>
      <c r="AL577" s="53">
        <v>97100</v>
      </c>
      <c r="AM577" s="53">
        <v>125100000</v>
      </c>
      <c r="AO577" s="53">
        <f t="shared" si="94"/>
        <v>11385080.000000002</v>
      </c>
      <c r="AP577" s="53">
        <f t="shared" si="94"/>
        <v>7318980</v>
      </c>
      <c r="AQ577" s="53">
        <f t="shared" si="94"/>
        <v>31793549.752999291</v>
      </c>
      <c r="AR577" s="53">
        <f t="shared" si="94"/>
        <v>0</v>
      </c>
      <c r="AS577" s="53">
        <f t="shared" si="94"/>
        <v>0</v>
      </c>
      <c r="AT577" s="53">
        <f t="shared" si="94"/>
        <v>0</v>
      </c>
      <c r="AU577" s="53">
        <f t="shared" si="94"/>
        <v>0</v>
      </c>
      <c r="AV577" s="53">
        <f t="shared" si="94"/>
        <v>0</v>
      </c>
      <c r="AW577" s="53">
        <f t="shared" si="96"/>
        <v>10945620</v>
      </c>
      <c r="AX577" s="53">
        <f t="shared" si="95"/>
        <v>2033050000</v>
      </c>
      <c r="AY577" s="41" t="s">
        <v>557</v>
      </c>
    </row>
    <row r="578" spans="1:51" x14ac:dyDescent="0.2">
      <c r="A578" s="41" t="s">
        <v>602</v>
      </c>
      <c r="B578" s="41">
        <v>2012</v>
      </c>
      <c r="C578" s="41" t="s">
        <v>87</v>
      </c>
      <c r="D578" s="41" t="s">
        <v>110</v>
      </c>
      <c r="E578" s="41">
        <v>100</v>
      </c>
      <c r="F578" s="41" t="s">
        <v>556</v>
      </c>
      <c r="G578" s="53">
        <f>81100*365</f>
        <v>29601500</v>
      </c>
      <c r="H578" s="41">
        <v>0.67</v>
      </c>
      <c r="I578" s="41">
        <v>0.35</v>
      </c>
      <c r="J578" s="54">
        <f>1000*U578/G578/0.7085</f>
        <v>1.8929403706737238</v>
      </c>
      <c r="R578" s="76">
        <f t="shared" ref="R578:R583" si="98">S578*4</f>
        <v>652800</v>
      </c>
      <c r="S578" s="53">
        <v>163200</v>
      </c>
      <c r="T578" s="53">
        <f>248400*31.1/1000</f>
        <v>7725.24</v>
      </c>
      <c r="U578" s="53">
        <f>(39.7/31.1)*31.1*1000</f>
        <v>39700</v>
      </c>
      <c r="AH578" s="93">
        <f t="shared" si="97"/>
        <v>28948700</v>
      </c>
      <c r="AI578" s="53">
        <v>7263500</v>
      </c>
      <c r="AJ578" s="41">
        <v>1.72</v>
      </c>
      <c r="AL578" s="53">
        <v>105000</v>
      </c>
      <c r="AM578" s="53">
        <v>145800000</v>
      </c>
      <c r="AO578" s="53">
        <f t="shared" si="94"/>
        <v>19833005</v>
      </c>
      <c r="AP578" s="53">
        <f t="shared" si="94"/>
        <v>10360525</v>
      </c>
      <c r="AQ578" s="53">
        <f t="shared" si="94"/>
        <v>56033874.382498235</v>
      </c>
      <c r="AR578" s="53">
        <f t="shared" si="94"/>
        <v>0</v>
      </c>
      <c r="AS578" s="53">
        <f t="shared" si="94"/>
        <v>0</v>
      </c>
      <c r="AT578" s="53">
        <f t="shared" si="94"/>
        <v>0</v>
      </c>
      <c r="AU578" s="53">
        <f t="shared" si="94"/>
        <v>0</v>
      </c>
      <c r="AV578" s="53">
        <f t="shared" si="94"/>
        <v>0</v>
      </c>
      <c r="AW578" s="53">
        <f t="shared" si="96"/>
        <v>12493220</v>
      </c>
      <c r="AX578" s="53">
        <f t="shared" si="95"/>
        <v>2960150000</v>
      </c>
      <c r="AY578" s="41" t="s">
        <v>557</v>
      </c>
    </row>
    <row r="579" spans="1:51" x14ac:dyDescent="0.2">
      <c r="A579" s="41" t="s">
        <v>602</v>
      </c>
      <c r="B579" s="41">
        <v>2013</v>
      </c>
      <c r="C579" s="41" t="s">
        <v>87</v>
      </c>
      <c r="D579" s="41" t="s">
        <v>110</v>
      </c>
      <c r="E579" s="41">
        <v>100</v>
      </c>
      <c r="F579" s="41" t="s">
        <v>556</v>
      </c>
      <c r="G579" s="53">
        <f>87200*365</f>
        <v>31828000</v>
      </c>
      <c r="H579" s="41">
        <v>0.64</v>
      </c>
      <c r="I579" s="46">
        <v>0.3</v>
      </c>
      <c r="J579" s="54">
        <f>1000*U579/G579/0.7085</f>
        <v>1.6525485670147768</v>
      </c>
      <c r="R579" s="76">
        <f t="shared" si="98"/>
        <v>699600</v>
      </c>
      <c r="S579" s="53">
        <v>174900</v>
      </c>
      <c r="T579" s="53">
        <f>237100*31.1/1000</f>
        <v>7373.81</v>
      </c>
      <c r="U579" s="53">
        <f>(27.2/22.7)*31.1*1000</f>
        <v>37265.198237885466</v>
      </c>
      <c r="AH579" s="93">
        <f t="shared" si="97"/>
        <v>31128400</v>
      </c>
      <c r="AI579" s="53">
        <v>7774500</v>
      </c>
      <c r="AJ579" s="41">
        <v>1.52</v>
      </c>
      <c r="AL579" s="53">
        <v>102600</v>
      </c>
      <c r="AM579" s="53">
        <v>157170000</v>
      </c>
      <c r="AO579" s="53">
        <f t="shared" si="94"/>
        <v>20369920</v>
      </c>
      <c r="AP579" s="53">
        <f t="shared" si="94"/>
        <v>9548400</v>
      </c>
      <c r="AQ579" s="53">
        <f t="shared" si="94"/>
        <v>52597315.79094632</v>
      </c>
      <c r="AR579" s="53">
        <f t="shared" si="94"/>
        <v>0</v>
      </c>
      <c r="AS579" s="53">
        <f t="shared" si="94"/>
        <v>0</v>
      </c>
      <c r="AT579" s="53">
        <f t="shared" si="94"/>
        <v>0</v>
      </c>
      <c r="AU579" s="53">
        <f t="shared" si="94"/>
        <v>0</v>
      </c>
      <c r="AV579" s="53">
        <f t="shared" si="94"/>
        <v>0</v>
      </c>
      <c r="AW579" s="53">
        <f t="shared" si="96"/>
        <v>11817240</v>
      </c>
      <c r="AX579" s="53">
        <f t="shared" si="95"/>
        <v>3182800000</v>
      </c>
      <c r="AY579" s="41" t="s">
        <v>557</v>
      </c>
    </row>
    <row r="580" spans="1:51" x14ac:dyDescent="0.2">
      <c r="A580" s="41" t="s">
        <v>602</v>
      </c>
      <c r="B580" s="41">
        <v>2014</v>
      </c>
      <c r="C580" s="41" t="s">
        <v>87</v>
      </c>
      <c r="D580" s="41" t="s">
        <v>110</v>
      </c>
      <c r="E580" s="41">
        <v>100</v>
      </c>
      <c r="F580" s="41" t="s">
        <v>556</v>
      </c>
      <c r="G580" s="53">
        <f>85800*365</f>
        <v>31317000</v>
      </c>
      <c r="H580" s="41">
        <v>0.65</v>
      </c>
      <c r="I580" s="41">
        <v>0.3</v>
      </c>
      <c r="J580" s="54">
        <f>1000*U580/G580/0.7085</f>
        <v>1.776426002755233</v>
      </c>
      <c r="R580" s="76">
        <f t="shared" si="98"/>
        <v>691200</v>
      </c>
      <c r="S580" s="93">
        <v>172800</v>
      </c>
      <c r="T580" s="53">
        <f>204400*31.1/1000</f>
        <v>6356.84</v>
      </c>
      <c r="U580" s="53">
        <f>(23.7/18.7)*31.1*1000</f>
        <v>39415.508021390371</v>
      </c>
      <c r="AH580" s="93">
        <f t="shared" si="97"/>
        <v>30625800</v>
      </c>
      <c r="AI580" s="53">
        <v>9198000</v>
      </c>
      <c r="AJ580" s="41">
        <v>1.31</v>
      </c>
      <c r="AL580" s="53">
        <v>93800</v>
      </c>
      <c r="AM580" s="53">
        <v>158337000</v>
      </c>
      <c r="AO580" s="53">
        <f t="shared" si="94"/>
        <v>20356050</v>
      </c>
      <c r="AP580" s="53">
        <f t="shared" si="94"/>
        <v>9395100</v>
      </c>
      <c r="AQ580" s="53">
        <f t="shared" si="94"/>
        <v>55632333.128285632</v>
      </c>
      <c r="AR580" s="53">
        <f t="shared" si="94"/>
        <v>0</v>
      </c>
      <c r="AS580" s="53">
        <f t="shared" si="94"/>
        <v>0</v>
      </c>
      <c r="AT580" s="53">
        <f t="shared" si="94"/>
        <v>0</v>
      </c>
      <c r="AU580" s="53">
        <f t="shared" si="94"/>
        <v>0</v>
      </c>
      <c r="AV580" s="53">
        <f t="shared" si="94"/>
        <v>0</v>
      </c>
      <c r="AW580" s="53">
        <f t="shared" si="96"/>
        <v>12049380</v>
      </c>
      <c r="AX580" s="53">
        <f t="shared" si="95"/>
        <v>3131700000</v>
      </c>
      <c r="AY580" s="41" t="s">
        <v>557</v>
      </c>
    </row>
    <row r="581" spans="1:51" x14ac:dyDescent="0.2">
      <c r="A581" s="41" t="s">
        <v>602</v>
      </c>
      <c r="B581" s="41">
        <v>2015</v>
      </c>
      <c r="C581" s="41" t="s">
        <v>87</v>
      </c>
      <c r="D581" s="41" t="s">
        <v>110</v>
      </c>
      <c r="E581" s="41">
        <v>100</v>
      </c>
      <c r="F581" s="41" t="s">
        <v>556</v>
      </c>
      <c r="G581" s="53">
        <f>84200*365</f>
        <v>30733000</v>
      </c>
      <c r="H581" s="41">
        <v>0.57999999999999996</v>
      </c>
      <c r="I581" s="41">
        <v>0.24</v>
      </c>
      <c r="J581" s="54">
        <f>1000*U581/G581/0.7085</f>
        <v>1.4651463403277218</v>
      </c>
      <c r="R581" s="76">
        <f t="shared" si="98"/>
        <v>580800</v>
      </c>
      <c r="S581" s="53">
        <v>145200</v>
      </c>
      <c r="T581" s="53">
        <f>162500*31.1/1000</f>
        <v>5053.75</v>
      </c>
      <c r="U581" s="53">
        <f>(15.9/15.5)*31.1*1000</f>
        <v>31902.580645161295</v>
      </c>
      <c r="AH581" s="93">
        <f t="shared" si="97"/>
        <v>30152200</v>
      </c>
      <c r="AI581" s="53">
        <v>9271000</v>
      </c>
      <c r="AJ581" s="41">
        <v>0.98</v>
      </c>
      <c r="AL581" s="53">
        <v>75900</v>
      </c>
      <c r="AM581" s="53">
        <v>157096000</v>
      </c>
      <c r="AO581" s="53">
        <f t="shared" si="94"/>
        <v>17825140</v>
      </c>
      <c r="AP581" s="53">
        <f t="shared" si="94"/>
        <v>7375920</v>
      </c>
      <c r="AQ581" s="53">
        <f t="shared" si="94"/>
        <v>45028342.477291875</v>
      </c>
      <c r="AR581" s="53">
        <f t="shared" si="94"/>
        <v>0</v>
      </c>
      <c r="AS581" s="53">
        <f t="shared" si="94"/>
        <v>0</v>
      </c>
      <c r="AT581" s="53">
        <f t="shared" si="94"/>
        <v>0</v>
      </c>
      <c r="AU581" s="53">
        <f t="shared" si="94"/>
        <v>0</v>
      </c>
      <c r="AV581" s="53">
        <f t="shared" si="94"/>
        <v>0</v>
      </c>
      <c r="AW581" s="53">
        <f t="shared" si="96"/>
        <v>9085580</v>
      </c>
      <c r="AX581" s="53">
        <f t="shared" si="95"/>
        <v>3073300000</v>
      </c>
      <c r="AY581" s="41" t="s">
        <v>557</v>
      </c>
    </row>
    <row r="582" spans="1:51" x14ac:dyDescent="0.2">
      <c r="A582" s="41" t="s">
        <v>602</v>
      </c>
      <c r="B582" s="41">
        <v>2016</v>
      </c>
      <c r="C582" s="41" t="s">
        <v>87</v>
      </c>
      <c r="D582" s="41" t="s">
        <v>110</v>
      </c>
      <c r="E582" s="41">
        <v>100</v>
      </c>
      <c r="F582" s="41" t="s">
        <v>556</v>
      </c>
      <c r="G582" s="53">
        <f>92100*365</f>
        <v>33616500</v>
      </c>
      <c r="H582" s="41">
        <v>0.63</v>
      </c>
      <c r="I582" s="41">
        <v>0.28000000000000003</v>
      </c>
      <c r="J582" s="77">
        <v>1.5</v>
      </c>
      <c r="R582" s="76">
        <f t="shared" si="98"/>
        <v>721600</v>
      </c>
      <c r="S582" s="53">
        <v>180400</v>
      </c>
      <c r="T582" s="53">
        <f>213000*31.1/1000</f>
        <v>6624.3</v>
      </c>
      <c r="U582" s="76">
        <f>0.7085*G582*J582/1000</f>
        <v>35725.935375000001</v>
      </c>
      <c r="AH582" s="93">
        <f t="shared" si="97"/>
        <v>32894900</v>
      </c>
      <c r="AI582" s="53">
        <v>8066500</v>
      </c>
      <c r="AJ582" s="41">
        <v>0.81</v>
      </c>
      <c r="AL582" s="53">
        <v>55800</v>
      </c>
      <c r="AM582" s="53">
        <v>157315000</v>
      </c>
      <c r="AO582" s="53">
        <f t="shared" si="94"/>
        <v>21178395</v>
      </c>
      <c r="AP582" s="53">
        <f t="shared" si="94"/>
        <v>9412620</v>
      </c>
      <c r="AQ582" s="53">
        <f t="shared" si="94"/>
        <v>50424750</v>
      </c>
      <c r="AR582" s="53">
        <f t="shared" si="94"/>
        <v>0</v>
      </c>
      <c r="AS582" s="53">
        <f t="shared" si="94"/>
        <v>0</v>
      </c>
      <c r="AT582" s="53">
        <f t="shared" si="94"/>
        <v>0</v>
      </c>
      <c r="AU582" s="53">
        <f t="shared" si="94"/>
        <v>0</v>
      </c>
      <c r="AV582" s="53">
        <f t="shared" si="94"/>
        <v>0</v>
      </c>
      <c r="AW582" s="53">
        <f t="shared" si="96"/>
        <v>6533865</v>
      </c>
      <c r="AX582" s="53">
        <f t="shared" si="95"/>
        <v>3361650000</v>
      </c>
      <c r="AY582" s="41" t="s">
        <v>557</v>
      </c>
    </row>
    <row r="583" spans="1:51" x14ac:dyDescent="0.2">
      <c r="A583" s="41" t="s">
        <v>602</v>
      </c>
      <c r="B583" s="41" t="s">
        <v>603</v>
      </c>
      <c r="C583" s="41" t="s">
        <v>87</v>
      </c>
      <c r="D583" s="41" t="s">
        <v>110</v>
      </c>
      <c r="E583" s="41">
        <v>100</v>
      </c>
      <c r="F583" s="41" t="s">
        <v>556</v>
      </c>
      <c r="G583" s="53">
        <f>(31+28+31)*89200+29*92200</f>
        <v>10701800</v>
      </c>
      <c r="H583" s="46">
        <f>(0.59*89200+0.67*92200)/(89200+92200)</f>
        <v>0.63066152149944876</v>
      </c>
      <c r="I583" s="46">
        <f>(0.23*89200+0.25*92200)/(89200+92200)</f>
        <v>0.24016538037486218</v>
      </c>
      <c r="J583" s="77">
        <v>1.5</v>
      </c>
      <c r="R583" s="76">
        <f t="shared" si="98"/>
        <v>216294.50549450549</v>
      </c>
      <c r="S583" s="53">
        <f>39000+(29/(30+31+30))*47300</f>
        <v>54073.626373626372</v>
      </c>
      <c r="T583" s="53">
        <f>(39500+(29/(30+31+30))*46000)*31.1/1000</f>
        <v>1684.3554945054943</v>
      </c>
      <c r="U583" s="76">
        <f>0.7085*G583*J583/1000</f>
        <v>11373.337949999999</v>
      </c>
      <c r="AH583" s="93">
        <f t="shared" si="97"/>
        <v>10485505.494505495</v>
      </c>
      <c r="AI583" s="53">
        <f>(31+28+31)*24500+29*21400</f>
        <v>2825600</v>
      </c>
      <c r="AJ583" s="46">
        <f>(0.94*24500+0.95*21400)/(24500+21400)</f>
        <v>0.94466230936819173</v>
      </c>
      <c r="AL583" s="53">
        <f>16500+(29/(30+31+30))*13900</f>
        <v>20929.670329670327</v>
      </c>
      <c r="AM583" s="53">
        <f>2.96*G583</f>
        <v>31677328</v>
      </c>
      <c r="AO583" s="53">
        <f t="shared" ref="AO583:AV583" si="99">$G583*H583</f>
        <v>6749213.4707828006</v>
      </c>
      <c r="AP583" s="53">
        <f t="shared" si="99"/>
        <v>2570201.8676956999</v>
      </c>
      <c r="AQ583" s="53">
        <f t="shared" si="99"/>
        <v>16052700</v>
      </c>
      <c r="AR583" s="53">
        <f t="shared" si="99"/>
        <v>0</v>
      </c>
      <c r="AS583" s="53">
        <f t="shared" si="99"/>
        <v>0</v>
      </c>
      <c r="AT583" s="53">
        <f t="shared" si="99"/>
        <v>0</v>
      </c>
      <c r="AU583" s="53">
        <f t="shared" si="99"/>
        <v>0</v>
      </c>
      <c r="AV583" s="53">
        <f t="shared" si="99"/>
        <v>0</v>
      </c>
      <c r="AW583" s="53">
        <f t="shared" si="96"/>
        <v>2669237.8213507626</v>
      </c>
      <c r="AX583" s="53">
        <f t="shared" si="95"/>
        <v>1070180000</v>
      </c>
      <c r="AY583" s="41" t="s">
        <v>557</v>
      </c>
    </row>
    <row r="584" spans="1:51" x14ac:dyDescent="0.2">
      <c r="A584" s="41" t="s">
        <v>602</v>
      </c>
      <c r="B584" s="60" t="s">
        <v>559</v>
      </c>
      <c r="C584" s="60" t="s">
        <v>87</v>
      </c>
      <c r="D584" s="60" t="s">
        <v>88</v>
      </c>
      <c r="E584" s="60">
        <v>100</v>
      </c>
      <c r="F584" s="60" t="s">
        <v>556</v>
      </c>
      <c r="G584" s="79">
        <f>SUM(G567:G583)</f>
        <v>188128300</v>
      </c>
      <c r="H584" s="80">
        <f>AO584/G584</f>
        <v>0.62561987468542901</v>
      </c>
      <c r="I584" s="80">
        <f>AP584/G584</f>
        <v>0.29757217211709081</v>
      </c>
      <c r="J584" s="78">
        <f>AQ584/G584</f>
        <v>1.6348569860676003</v>
      </c>
      <c r="R584" s="79">
        <f>SUM(R567:R583)</f>
        <v>3922694.5054945056</v>
      </c>
      <c r="S584" s="79">
        <f>SUM(S567:S583)</f>
        <v>980673.62637362641</v>
      </c>
      <c r="T584" s="79">
        <f>SUM(T567:T583)</f>
        <v>39704.105494505493</v>
      </c>
      <c r="U584" s="79">
        <f>SUM(U567:U583)</f>
        <v>217908.29022943712</v>
      </c>
      <c r="AH584" s="79">
        <f>SUM(AH567:AH583)</f>
        <v>184205605.49450549</v>
      </c>
      <c r="AI584" s="79">
        <f>SUM(AI567:AI583)</f>
        <v>144153600</v>
      </c>
      <c r="AJ584" s="80">
        <f>AW584/AI584</f>
        <v>1.2585816991136589</v>
      </c>
      <c r="AL584" s="79">
        <f>SUM(AL567:AL583)</f>
        <v>1421329.6703296704</v>
      </c>
      <c r="AM584" s="79">
        <f>SUM(AM567:AM583)</f>
        <v>1489237828</v>
      </c>
      <c r="AO584" s="79">
        <f t="shared" ref="AO584:AX584" si="100">SUM(AO567:AO583)</f>
        <v>117696803.4707828</v>
      </c>
      <c r="AP584" s="79">
        <f t="shared" si="100"/>
        <v>55981746.867695697</v>
      </c>
      <c r="AQ584" s="79">
        <f t="shared" si="100"/>
        <v>307562865.53202134</v>
      </c>
      <c r="AR584" s="79">
        <f t="shared" si="100"/>
        <v>0</v>
      </c>
      <c r="AS584" s="79">
        <f t="shared" si="100"/>
        <v>0</v>
      </c>
      <c r="AT584" s="79">
        <f t="shared" si="100"/>
        <v>0</v>
      </c>
      <c r="AU584" s="79">
        <f t="shared" si="100"/>
        <v>0</v>
      </c>
      <c r="AV584" s="79">
        <f t="shared" si="100"/>
        <v>0</v>
      </c>
      <c r="AW584" s="79">
        <f t="shared" si="100"/>
        <v>181429082.82135075</v>
      </c>
      <c r="AX584" s="79">
        <f t="shared" si="100"/>
        <v>18812830000</v>
      </c>
      <c r="AY584" s="41" t="s">
        <v>557</v>
      </c>
    </row>
    <row r="585" spans="1:51" x14ac:dyDescent="0.2">
      <c r="A585" s="41" t="s">
        <v>602</v>
      </c>
      <c r="B585" s="43" t="s">
        <v>560</v>
      </c>
      <c r="G585" s="53">
        <f>STDEV(G567:G583)</f>
        <v>8330988.721177157</v>
      </c>
      <c r="H585" s="46">
        <f>STDEV(H567:H583)</f>
        <v>3.9056972371295622E-2</v>
      </c>
      <c r="I585" s="46">
        <f>STDEV(I567:I583)</f>
        <v>4.7527227136918551E-2</v>
      </c>
      <c r="J585" s="47">
        <f>STDEV(J567:J583)</f>
        <v>0.16121524864857095</v>
      </c>
      <c r="R585" s="53">
        <f>STDEV(R567:R583)</f>
        <v>195718.00707437942</v>
      </c>
      <c r="S585" s="53">
        <f>STDEV(S567:S583)</f>
        <v>48929.501768594855</v>
      </c>
      <c r="T585" s="53">
        <f>STDEV(T567:T583)</f>
        <v>2057.0800247158863</v>
      </c>
      <c r="U585" s="53">
        <f>STDEV(U567:U583)</f>
        <v>10534.181352374806</v>
      </c>
      <c r="AH585" s="53">
        <f>STDEV(AH567:AH583)</f>
        <v>8139799.6699049259</v>
      </c>
      <c r="AI585" s="53">
        <f>STDEV(AI567:AI583)</f>
        <v>1856644.9066560266</v>
      </c>
      <c r="AJ585" s="46">
        <f>STDEV(AJ567:AJ583)</f>
        <v>0.23016795233024623</v>
      </c>
      <c r="AL585" s="53">
        <f>STDEV(AL567:AL583)</f>
        <v>24045.333788369629</v>
      </c>
      <c r="AM585" s="53">
        <f>STDEV(AM567:AM583)</f>
        <v>51958935.754410662</v>
      </c>
      <c r="AY585" s="41" t="s">
        <v>557</v>
      </c>
    </row>
    <row r="586" spans="1:51" x14ac:dyDescent="0.2">
      <c r="A586" s="41" t="s">
        <v>602</v>
      </c>
      <c r="B586" s="81" t="s">
        <v>249</v>
      </c>
      <c r="G586" s="41">
        <f>COUNT(G567:G583)</f>
        <v>7</v>
      </c>
      <c r="H586" s="41">
        <f>COUNT(H567:H583)</f>
        <v>7</v>
      </c>
      <c r="I586" s="41">
        <f>COUNT(I567:I583)</f>
        <v>7</v>
      </c>
      <c r="J586" s="41">
        <f>COUNT(J567:J583)</f>
        <v>7</v>
      </c>
      <c r="R586" s="41">
        <f>COUNT(R567:R583)</f>
        <v>7</v>
      </c>
      <c r="S586" s="41">
        <f>COUNT(S567:S583)</f>
        <v>7</v>
      </c>
      <c r="T586" s="41">
        <f>COUNT(T567:T583)</f>
        <v>7</v>
      </c>
      <c r="U586" s="41">
        <f>COUNT(U567:U583)</f>
        <v>7</v>
      </c>
      <c r="AH586" s="41">
        <f>COUNT(AH567:AH583)</f>
        <v>7</v>
      </c>
      <c r="AI586" s="41">
        <f>COUNT(AI567:AI583)</f>
        <v>17</v>
      </c>
      <c r="AJ586" s="41">
        <f>COUNT(AJ567:AJ583)</f>
        <v>17</v>
      </c>
      <c r="AL586" s="41">
        <f>COUNT(AL567:AL583)</f>
        <v>17</v>
      </c>
      <c r="AM586" s="41">
        <f>COUNT(AM567:AM583)</f>
        <v>17</v>
      </c>
      <c r="AY586" s="41" t="s">
        <v>557</v>
      </c>
    </row>
    <row r="587" spans="1:51" x14ac:dyDescent="0.2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  <c r="AA587" s="82"/>
      <c r="AB587" s="82"/>
      <c r="AC587" s="82"/>
      <c r="AD587" s="82"/>
      <c r="AE587" s="82"/>
      <c r="AF587" s="82"/>
      <c r="AG587" s="82"/>
      <c r="AH587" s="82"/>
      <c r="AI587" s="82"/>
      <c r="AJ587" s="82"/>
      <c r="AK587" s="82"/>
      <c r="AL587" s="82"/>
      <c r="AM587" s="82"/>
      <c r="AN587" s="82"/>
      <c r="AO587" s="82"/>
      <c r="AP587" s="82"/>
      <c r="AQ587" s="82"/>
      <c r="AR587" s="82"/>
      <c r="AS587" s="82"/>
      <c r="AT587" s="82"/>
      <c r="AU587" s="82"/>
      <c r="AV587" s="82"/>
      <c r="AW587" s="82"/>
      <c r="AX587" s="82"/>
      <c r="AY587" s="41" t="s">
        <v>557</v>
      </c>
    </row>
    <row r="588" spans="1:51" x14ac:dyDescent="0.2">
      <c r="A588" s="41" t="s">
        <v>258</v>
      </c>
      <c r="B588" s="41">
        <v>2000</v>
      </c>
      <c r="C588" s="41" t="s">
        <v>87</v>
      </c>
      <c r="D588" s="41" t="s">
        <v>88</v>
      </c>
      <c r="E588" s="41">
        <v>100</v>
      </c>
      <c r="F588" s="41" t="s">
        <v>599</v>
      </c>
      <c r="G588" s="53">
        <v>3786306</v>
      </c>
      <c r="J588" s="47">
        <v>73.548363602941748</v>
      </c>
      <c r="L588" s="46">
        <v>2.9363132298340391</v>
      </c>
      <c r="M588" s="46">
        <v>11.663686770165961</v>
      </c>
      <c r="U588" s="53">
        <v>9498</v>
      </c>
      <c r="X588" s="76">
        <f>Y588*2</f>
        <v>40328</v>
      </c>
      <c r="Y588" s="53">
        <v>20164</v>
      </c>
      <c r="Z588" s="76">
        <f>AA588*2</f>
        <v>613716</v>
      </c>
      <c r="AA588" s="53">
        <v>306858</v>
      </c>
      <c r="AO588" s="53">
        <f t="shared" ref="AO588:AV603" si="101">$G588*H588</f>
        <v>0</v>
      </c>
      <c r="AP588" s="53">
        <f t="shared" si="101"/>
        <v>0</v>
      </c>
      <c r="AQ588" s="53">
        <f t="shared" si="101"/>
        <v>278476610.39999998</v>
      </c>
      <c r="AR588" s="53">
        <f t="shared" si="101"/>
        <v>0</v>
      </c>
      <c r="AS588" s="53">
        <f t="shared" si="101"/>
        <v>11117780.4</v>
      </c>
      <c r="AT588" s="53">
        <f t="shared" si="101"/>
        <v>44162287.200000003</v>
      </c>
      <c r="AU588" s="53">
        <f t="shared" si="101"/>
        <v>0</v>
      </c>
      <c r="AV588" s="53">
        <f t="shared" si="101"/>
        <v>0</v>
      </c>
      <c r="AW588" s="53">
        <f t="shared" ref="AW588:AW603" si="102">$AI588*AJ588</f>
        <v>0</v>
      </c>
      <c r="AX588" s="53">
        <f t="shared" ref="AX588:AX603" si="103">$G588*E588</f>
        <v>378630600</v>
      </c>
      <c r="AY588" s="41" t="s">
        <v>557</v>
      </c>
    </row>
    <row r="589" spans="1:51" x14ac:dyDescent="0.2">
      <c r="A589" s="41" t="s">
        <v>258</v>
      </c>
      <c r="B589" s="41">
        <v>2001</v>
      </c>
      <c r="C589" s="41" t="s">
        <v>87</v>
      </c>
      <c r="D589" s="41" t="s">
        <v>88</v>
      </c>
      <c r="E589" s="41">
        <v>100</v>
      </c>
      <c r="F589" s="41" t="s">
        <v>599</v>
      </c>
      <c r="G589" s="53">
        <v>4950691</v>
      </c>
      <c r="J589" s="47">
        <v>44.012624948719278</v>
      </c>
      <c r="L589" s="46">
        <v>2.3508318212548511</v>
      </c>
      <c r="M589" s="46">
        <v>11.825929851004636</v>
      </c>
      <c r="U589" s="53">
        <v>210829</v>
      </c>
      <c r="X589" s="76">
        <f t="shared" ref="X589:Z603" si="104">Y589*2</f>
        <v>185512</v>
      </c>
      <c r="Y589" s="53">
        <v>92756</v>
      </c>
      <c r="Z589" s="76">
        <f t="shared" si="104"/>
        <v>902334</v>
      </c>
      <c r="AA589" s="53">
        <v>451167</v>
      </c>
      <c r="AO589" s="53">
        <f t="shared" si="101"/>
        <v>0</v>
      </c>
      <c r="AP589" s="53">
        <f t="shared" si="101"/>
        <v>0</v>
      </c>
      <c r="AQ589" s="53">
        <f t="shared" si="101"/>
        <v>217892906.22</v>
      </c>
      <c r="AR589" s="53">
        <f t="shared" si="101"/>
        <v>0</v>
      </c>
      <c r="AS589" s="53">
        <f t="shared" si="101"/>
        <v>11638241.939999999</v>
      </c>
      <c r="AT589" s="53">
        <f t="shared" si="101"/>
        <v>58546524.479999989</v>
      </c>
      <c r="AU589" s="53">
        <f t="shared" si="101"/>
        <v>0</v>
      </c>
      <c r="AV589" s="53">
        <f t="shared" si="101"/>
        <v>0</v>
      </c>
      <c r="AW589" s="53">
        <f t="shared" si="102"/>
        <v>0</v>
      </c>
      <c r="AX589" s="53">
        <f t="shared" si="103"/>
        <v>495069100</v>
      </c>
      <c r="AY589" s="41" t="s">
        <v>557</v>
      </c>
    </row>
    <row r="590" spans="1:51" x14ac:dyDescent="0.2">
      <c r="A590" s="41" t="s">
        <v>258</v>
      </c>
      <c r="B590" s="41">
        <v>2002</v>
      </c>
      <c r="C590" s="41" t="s">
        <v>87</v>
      </c>
      <c r="D590" s="41" t="s">
        <v>88</v>
      </c>
      <c r="E590" s="41">
        <v>100</v>
      </c>
      <c r="F590" s="41" t="s">
        <v>599</v>
      </c>
      <c r="G590" s="53">
        <v>4937694</v>
      </c>
      <c r="J590" s="47">
        <v>53.527639622868492</v>
      </c>
      <c r="L590" s="46">
        <v>1.9073959018116555</v>
      </c>
      <c r="M590" s="46">
        <v>13.008938646258761</v>
      </c>
      <c r="U590" s="53">
        <v>186689</v>
      </c>
      <c r="X590" s="76">
        <f t="shared" si="104"/>
        <v>120964</v>
      </c>
      <c r="Y590" s="53">
        <v>60482</v>
      </c>
      <c r="Z590" s="76">
        <f t="shared" si="104"/>
        <v>1006426</v>
      </c>
      <c r="AA590" s="53">
        <v>503213</v>
      </c>
      <c r="AO590" s="53">
        <f t="shared" si="101"/>
        <v>0</v>
      </c>
      <c r="AP590" s="53">
        <f t="shared" si="101"/>
        <v>0</v>
      </c>
      <c r="AQ590" s="53">
        <f t="shared" si="101"/>
        <v>264303105</v>
      </c>
      <c r="AR590" s="53">
        <f t="shared" si="101"/>
        <v>0</v>
      </c>
      <c r="AS590" s="53">
        <f t="shared" si="101"/>
        <v>9418137.3000000007</v>
      </c>
      <c r="AT590" s="53">
        <f t="shared" si="101"/>
        <v>64234158.300000004</v>
      </c>
      <c r="AU590" s="53">
        <f t="shared" si="101"/>
        <v>0</v>
      </c>
      <c r="AV590" s="53">
        <f t="shared" si="101"/>
        <v>0</v>
      </c>
      <c r="AW590" s="53">
        <f t="shared" si="102"/>
        <v>0</v>
      </c>
      <c r="AX590" s="53">
        <f t="shared" si="103"/>
        <v>493769400</v>
      </c>
      <c r="AY590" s="41" t="s">
        <v>557</v>
      </c>
    </row>
    <row r="591" spans="1:51" x14ac:dyDescent="0.2">
      <c r="A591" s="41" t="s">
        <v>258</v>
      </c>
      <c r="B591" s="41">
        <v>2003</v>
      </c>
      <c r="C591" s="41" t="s">
        <v>87</v>
      </c>
      <c r="D591" s="41" t="s">
        <v>88</v>
      </c>
      <c r="E591" s="41">
        <v>100</v>
      </c>
      <c r="F591" s="41" t="s">
        <v>599</v>
      </c>
      <c r="G591" s="53">
        <v>5185551</v>
      </c>
      <c r="J591" s="47">
        <v>60.154855867775673</v>
      </c>
      <c r="L591" s="46">
        <v>2.1162560159952144</v>
      </c>
      <c r="M591" s="46">
        <v>12.063974069486539</v>
      </c>
      <c r="U591" s="53">
        <v>223486</v>
      </c>
      <c r="X591" s="76">
        <f t="shared" si="104"/>
        <v>143322</v>
      </c>
      <c r="Y591" s="53">
        <v>71661</v>
      </c>
      <c r="Z591" s="76">
        <f t="shared" si="104"/>
        <v>1005740</v>
      </c>
      <c r="AA591" s="53">
        <v>502870</v>
      </c>
      <c r="AO591" s="53">
        <f t="shared" si="101"/>
        <v>0</v>
      </c>
      <c r="AP591" s="53">
        <f t="shared" si="101"/>
        <v>0</v>
      </c>
      <c r="AQ591" s="53">
        <f t="shared" si="101"/>
        <v>311936073</v>
      </c>
      <c r="AR591" s="53">
        <f t="shared" si="101"/>
        <v>0</v>
      </c>
      <c r="AS591" s="53">
        <f t="shared" si="101"/>
        <v>10973953.5</v>
      </c>
      <c r="AT591" s="53">
        <f t="shared" si="101"/>
        <v>62558352.79999999</v>
      </c>
      <c r="AU591" s="53">
        <f t="shared" si="101"/>
        <v>0</v>
      </c>
      <c r="AV591" s="53">
        <f t="shared" si="101"/>
        <v>0</v>
      </c>
      <c r="AW591" s="53">
        <f t="shared" si="102"/>
        <v>0</v>
      </c>
      <c r="AX591" s="53">
        <f t="shared" si="103"/>
        <v>518555100</v>
      </c>
      <c r="AY591" s="41" t="s">
        <v>557</v>
      </c>
    </row>
    <row r="592" spans="1:51" x14ac:dyDescent="0.2">
      <c r="A592" s="41" t="s">
        <v>258</v>
      </c>
      <c r="B592" s="41">
        <v>2004</v>
      </c>
      <c r="C592" s="41" t="s">
        <v>87</v>
      </c>
      <c r="D592" s="41" t="s">
        <v>88</v>
      </c>
      <c r="E592" s="41">
        <v>100</v>
      </c>
      <c r="F592" s="41" t="s">
        <v>599</v>
      </c>
      <c r="G592" s="53">
        <v>5507309</v>
      </c>
      <c r="J592" s="47">
        <v>61.042207346636985</v>
      </c>
      <c r="L592" s="46">
        <v>1.8678248850754517</v>
      </c>
      <c r="M592" s="46">
        <v>11.736560594293874</v>
      </c>
      <c r="U592" s="53">
        <v>252486</v>
      </c>
      <c r="X592" s="76">
        <f t="shared" si="104"/>
        <v>154274</v>
      </c>
      <c r="Y592" s="53">
        <v>77137</v>
      </c>
      <c r="Z592" s="76">
        <f t="shared" si="104"/>
        <v>1033824</v>
      </c>
      <c r="AA592" s="53">
        <v>516912</v>
      </c>
      <c r="AO592" s="53">
        <f t="shared" si="101"/>
        <v>0</v>
      </c>
      <c r="AP592" s="53">
        <f t="shared" si="101"/>
        <v>0</v>
      </c>
      <c r="AQ592" s="53">
        <f t="shared" si="101"/>
        <v>336178297.89999998</v>
      </c>
      <c r="AR592" s="53">
        <f t="shared" si="101"/>
        <v>0</v>
      </c>
      <c r="AS592" s="53">
        <f t="shared" si="101"/>
        <v>10286688.800000001</v>
      </c>
      <c r="AT592" s="53">
        <f t="shared" si="101"/>
        <v>64636865.789999999</v>
      </c>
      <c r="AU592" s="53">
        <f t="shared" si="101"/>
        <v>0</v>
      </c>
      <c r="AV592" s="53">
        <f t="shared" si="101"/>
        <v>0</v>
      </c>
      <c r="AW592" s="53">
        <f t="shared" si="102"/>
        <v>0</v>
      </c>
      <c r="AX592" s="53">
        <f t="shared" si="103"/>
        <v>550730900</v>
      </c>
      <c r="AY592" s="41" t="s">
        <v>557</v>
      </c>
    </row>
    <row r="593" spans="1:51" x14ac:dyDescent="0.2">
      <c r="A593" s="41" t="s">
        <v>258</v>
      </c>
      <c r="B593" s="41">
        <v>2005</v>
      </c>
      <c r="C593" s="41" t="s">
        <v>87</v>
      </c>
      <c r="D593" s="41" t="s">
        <v>88</v>
      </c>
      <c r="E593" s="41">
        <v>100</v>
      </c>
      <c r="F593" s="41" t="s">
        <v>599</v>
      </c>
      <c r="G593" s="53">
        <v>5195730</v>
      </c>
      <c r="J593" s="47">
        <v>56.380549970841436</v>
      </c>
      <c r="L593" s="46">
        <v>2.0289479437923066</v>
      </c>
      <c r="M593" s="46">
        <v>12.101851616615951</v>
      </c>
      <c r="U593" s="53">
        <v>232131</v>
      </c>
      <c r="X593" s="76">
        <f t="shared" si="104"/>
        <v>141828</v>
      </c>
      <c r="Y593" s="53">
        <v>70914</v>
      </c>
      <c r="Z593" s="76">
        <f t="shared" si="104"/>
        <v>1002106</v>
      </c>
      <c r="AA593" s="53">
        <v>501053</v>
      </c>
      <c r="AO593" s="53">
        <f t="shared" si="101"/>
        <v>0</v>
      </c>
      <c r="AP593" s="53">
        <f t="shared" si="101"/>
        <v>0</v>
      </c>
      <c r="AQ593" s="53">
        <f t="shared" si="101"/>
        <v>292938114.89999998</v>
      </c>
      <c r="AR593" s="53">
        <f t="shared" si="101"/>
        <v>0</v>
      </c>
      <c r="AS593" s="53">
        <f t="shared" si="101"/>
        <v>10541865.700000001</v>
      </c>
      <c r="AT593" s="53">
        <f t="shared" si="101"/>
        <v>62877953.499999993</v>
      </c>
      <c r="AU593" s="53">
        <f t="shared" si="101"/>
        <v>0</v>
      </c>
      <c r="AV593" s="53">
        <f t="shared" si="101"/>
        <v>0</v>
      </c>
      <c r="AW593" s="53">
        <f t="shared" si="102"/>
        <v>0</v>
      </c>
      <c r="AX593" s="53">
        <f t="shared" si="103"/>
        <v>519573000</v>
      </c>
      <c r="AY593" s="41" t="s">
        <v>557</v>
      </c>
    </row>
    <row r="594" spans="1:51" x14ac:dyDescent="0.2">
      <c r="A594" s="41" t="s">
        <v>258</v>
      </c>
      <c r="B594" s="41">
        <v>2006</v>
      </c>
      <c r="C594" s="41" t="s">
        <v>87</v>
      </c>
      <c r="D594" s="41" t="s">
        <v>88</v>
      </c>
      <c r="E594" s="41">
        <v>100</v>
      </c>
      <c r="F594" s="41" t="s">
        <v>599</v>
      </c>
      <c r="G594" s="53">
        <v>5405061</v>
      </c>
      <c r="J594" s="47">
        <v>57.004689697304066</v>
      </c>
      <c r="L594" s="46">
        <v>1.6196566884259032</v>
      </c>
      <c r="M594" s="46">
        <v>11.769509428293224</v>
      </c>
      <c r="U594" s="53">
        <v>186500</v>
      </c>
      <c r="X594" s="76">
        <f t="shared" si="104"/>
        <v>109034</v>
      </c>
      <c r="Y594" s="53">
        <v>54517</v>
      </c>
      <c r="Z594" s="76">
        <f t="shared" si="104"/>
        <v>992076</v>
      </c>
      <c r="AA594" s="53">
        <v>496038</v>
      </c>
      <c r="AO594" s="53">
        <f t="shared" si="101"/>
        <v>0</v>
      </c>
      <c r="AP594" s="53">
        <f t="shared" si="101"/>
        <v>0</v>
      </c>
      <c r="AQ594" s="53">
        <f t="shared" si="101"/>
        <v>308113825.10000002</v>
      </c>
      <c r="AR594" s="53">
        <f t="shared" si="101"/>
        <v>0</v>
      </c>
      <c r="AS594" s="53">
        <f t="shared" si="101"/>
        <v>8754343.2000000011</v>
      </c>
      <c r="AT594" s="53">
        <f t="shared" si="101"/>
        <v>63614916.400000006</v>
      </c>
      <c r="AU594" s="53">
        <f t="shared" si="101"/>
        <v>0</v>
      </c>
      <c r="AV594" s="53">
        <f t="shared" si="101"/>
        <v>0</v>
      </c>
      <c r="AW594" s="53">
        <f t="shared" si="102"/>
        <v>0</v>
      </c>
      <c r="AX594" s="53">
        <f t="shared" si="103"/>
        <v>540506100</v>
      </c>
      <c r="AY594" s="41" t="s">
        <v>557</v>
      </c>
    </row>
    <row r="595" spans="1:51" x14ac:dyDescent="0.2">
      <c r="A595" s="41" t="s">
        <v>258</v>
      </c>
      <c r="B595" s="41">
        <v>2007</v>
      </c>
      <c r="C595" s="41" t="s">
        <v>87</v>
      </c>
      <c r="D595" s="41" t="s">
        <v>88</v>
      </c>
      <c r="E595" s="41">
        <v>100</v>
      </c>
      <c r="F595" s="41" t="s">
        <v>599</v>
      </c>
      <c r="G595" s="53">
        <v>5685803</v>
      </c>
      <c r="J595" s="47">
        <v>30.6837637533344</v>
      </c>
      <c r="L595" s="46">
        <v>1.3042183663415703</v>
      </c>
      <c r="M595" s="46">
        <v>11.677419337251045</v>
      </c>
      <c r="U595" s="53">
        <v>122324</v>
      </c>
      <c r="X595" s="76">
        <f t="shared" si="104"/>
        <v>87282</v>
      </c>
      <c r="Y595" s="53">
        <v>43641</v>
      </c>
      <c r="Z595" s="76">
        <f t="shared" si="104"/>
        <v>1053774</v>
      </c>
      <c r="AA595" s="53">
        <v>526887</v>
      </c>
      <c r="AO595" s="53">
        <f t="shared" si="101"/>
        <v>0</v>
      </c>
      <c r="AP595" s="53">
        <f t="shared" si="101"/>
        <v>0</v>
      </c>
      <c r="AQ595" s="53">
        <f t="shared" si="101"/>
        <v>174461836</v>
      </c>
      <c r="AR595" s="53">
        <f t="shared" si="101"/>
        <v>0</v>
      </c>
      <c r="AS595" s="53">
        <f t="shared" si="101"/>
        <v>7415528.6999999993</v>
      </c>
      <c r="AT595" s="53">
        <f t="shared" si="101"/>
        <v>66395505.900000006</v>
      </c>
      <c r="AU595" s="53">
        <f t="shared" si="101"/>
        <v>0</v>
      </c>
      <c r="AV595" s="53">
        <f t="shared" si="101"/>
        <v>0</v>
      </c>
      <c r="AW595" s="53">
        <f t="shared" si="102"/>
        <v>0</v>
      </c>
      <c r="AX595" s="53">
        <f t="shared" si="103"/>
        <v>568580300</v>
      </c>
      <c r="AY595" s="41" t="s">
        <v>557</v>
      </c>
    </row>
    <row r="596" spans="1:51" x14ac:dyDescent="0.2">
      <c r="A596" s="41" t="s">
        <v>258</v>
      </c>
      <c r="B596" s="41">
        <v>2008</v>
      </c>
      <c r="C596" s="41" t="s">
        <v>87</v>
      </c>
      <c r="D596" s="41" t="s">
        <v>88</v>
      </c>
      <c r="E596" s="41">
        <v>100</v>
      </c>
      <c r="F596" s="41" t="s">
        <v>599</v>
      </c>
      <c r="G596" s="53">
        <v>5672022</v>
      </c>
      <c r="J596" s="47">
        <v>31.929916509491672</v>
      </c>
      <c r="L596" s="46">
        <v>1.3856314379598669</v>
      </c>
      <c r="M596" s="46">
        <v>11.393818976724702</v>
      </c>
      <c r="U596" s="53">
        <v>129970.3034</v>
      </c>
      <c r="X596" s="76">
        <f t="shared" si="104"/>
        <v>99420</v>
      </c>
      <c r="Y596" s="53">
        <v>49710</v>
      </c>
      <c r="Z596" s="76">
        <f t="shared" si="104"/>
        <v>1024530</v>
      </c>
      <c r="AA596" s="53">
        <v>512265</v>
      </c>
      <c r="AO596" s="53">
        <f t="shared" si="101"/>
        <v>0</v>
      </c>
      <c r="AP596" s="53">
        <f t="shared" si="101"/>
        <v>0</v>
      </c>
      <c r="AQ596" s="53">
        <f t="shared" si="101"/>
        <v>181107188.89999998</v>
      </c>
      <c r="AR596" s="53">
        <f t="shared" si="101"/>
        <v>0</v>
      </c>
      <c r="AS596" s="53">
        <f t="shared" si="101"/>
        <v>7859332</v>
      </c>
      <c r="AT596" s="53">
        <f t="shared" si="101"/>
        <v>64625991.899999999</v>
      </c>
      <c r="AU596" s="53">
        <f t="shared" si="101"/>
        <v>0</v>
      </c>
      <c r="AV596" s="53">
        <f t="shared" si="101"/>
        <v>0</v>
      </c>
      <c r="AW596" s="53">
        <f t="shared" si="102"/>
        <v>0</v>
      </c>
      <c r="AX596" s="53">
        <f t="shared" si="103"/>
        <v>567202200</v>
      </c>
      <c r="AY596" s="41" t="s">
        <v>557</v>
      </c>
    </row>
    <row r="597" spans="1:51" x14ac:dyDescent="0.2">
      <c r="A597" s="41" t="s">
        <v>258</v>
      </c>
      <c r="B597" s="41">
        <v>2009</v>
      </c>
      <c r="C597" s="41" t="s">
        <v>87</v>
      </c>
      <c r="D597" s="41" t="s">
        <v>88</v>
      </c>
      <c r="E597" s="41">
        <v>100</v>
      </c>
      <c r="F597" s="41" t="s">
        <v>599</v>
      </c>
      <c r="G597" s="53">
        <v>4199745.8078613281</v>
      </c>
      <c r="J597" s="47">
        <v>11.953611229687361</v>
      </c>
      <c r="L597" s="46">
        <v>0.82800696245100347</v>
      </c>
      <c r="M597" s="46">
        <v>11.229938735947011</v>
      </c>
      <c r="U597" s="53">
        <v>29630.910092639999</v>
      </c>
      <c r="X597" s="76">
        <f t="shared" si="104"/>
        <v>32553.087170153689</v>
      </c>
      <c r="Y597" s="53">
        <v>16276.543585076844</v>
      </c>
      <c r="Z597" s="76">
        <f t="shared" si="104"/>
        <v>721198.24119435763</v>
      </c>
      <c r="AA597" s="53">
        <v>360599.12059717881</v>
      </c>
      <c r="AO597" s="53">
        <f t="shared" si="101"/>
        <v>0</v>
      </c>
      <c r="AP597" s="53">
        <f t="shared" si="101"/>
        <v>0</v>
      </c>
      <c r="AQ597" s="53">
        <f t="shared" si="101"/>
        <v>50202128.650683589</v>
      </c>
      <c r="AR597" s="53">
        <f t="shared" si="101"/>
        <v>0</v>
      </c>
      <c r="AS597" s="53">
        <f t="shared" si="101"/>
        <v>3477418.7694335938</v>
      </c>
      <c r="AT597" s="53">
        <f t="shared" si="101"/>
        <v>47162888.128833003</v>
      </c>
      <c r="AU597" s="53">
        <f t="shared" si="101"/>
        <v>0</v>
      </c>
      <c r="AV597" s="53">
        <f t="shared" si="101"/>
        <v>0</v>
      </c>
      <c r="AW597" s="53">
        <f t="shared" si="102"/>
        <v>0</v>
      </c>
      <c r="AX597" s="53">
        <f t="shared" si="103"/>
        <v>419974580.78613281</v>
      </c>
      <c r="AY597" s="41" t="s">
        <v>557</v>
      </c>
    </row>
    <row r="598" spans="1:51" x14ac:dyDescent="0.2">
      <c r="A598" s="41" t="s">
        <v>258</v>
      </c>
      <c r="B598" s="41">
        <v>2010</v>
      </c>
      <c r="C598" s="41" t="s">
        <v>87</v>
      </c>
      <c r="D598" s="41" t="s">
        <v>88</v>
      </c>
      <c r="E598" s="41">
        <v>100</v>
      </c>
      <c r="F598" s="41" t="s">
        <v>599</v>
      </c>
      <c r="G598" s="53">
        <v>5210580</v>
      </c>
      <c r="J598" s="47">
        <v>24.591282582745109</v>
      </c>
      <c r="L598" s="46">
        <v>1.1780214870513455</v>
      </c>
      <c r="M598" s="46">
        <v>12.132549136564453</v>
      </c>
      <c r="U598" s="53">
        <v>95275.036600000007</v>
      </c>
      <c r="X598" s="76">
        <f t="shared" si="104"/>
        <v>64524</v>
      </c>
      <c r="Y598" s="53">
        <v>32262</v>
      </c>
      <c r="Z598" s="76">
        <f t="shared" si="104"/>
        <v>1021180</v>
      </c>
      <c r="AA598" s="53">
        <v>510590</v>
      </c>
      <c r="AO598" s="53">
        <f t="shared" si="101"/>
        <v>0</v>
      </c>
      <c r="AP598" s="53">
        <f t="shared" si="101"/>
        <v>0</v>
      </c>
      <c r="AQ598" s="53">
        <f t="shared" si="101"/>
        <v>128134845.2</v>
      </c>
      <c r="AR598" s="53">
        <f t="shared" si="101"/>
        <v>0</v>
      </c>
      <c r="AS598" s="53">
        <f t="shared" si="101"/>
        <v>6138175.1999999993</v>
      </c>
      <c r="AT598" s="53">
        <f t="shared" si="101"/>
        <v>63217617.88000001</v>
      </c>
      <c r="AU598" s="53">
        <f t="shared" si="101"/>
        <v>0</v>
      </c>
      <c r="AV598" s="53">
        <f t="shared" si="101"/>
        <v>0</v>
      </c>
      <c r="AW598" s="53">
        <f t="shared" si="102"/>
        <v>0</v>
      </c>
      <c r="AX598" s="53">
        <f t="shared" si="103"/>
        <v>521058000</v>
      </c>
      <c r="AY598" s="41" t="s">
        <v>557</v>
      </c>
    </row>
    <row r="599" spans="1:51" x14ac:dyDescent="0.2">
      <c r="A599" s="41" t="s">
        <v>258</v>
      </c>
      <c r="B599" s="41">
        <v>2011</v>
      </c>
      <c r="C599" s="41" t="s">
        <v>87</v>
      </c>
      <c r="D599" s="41" t="s">
        <v>88</v>
      </c>
      <c r="E599" s="41">
        <v>100</v>
      </c>
      <c r="F599" s="41" t="s">
        <v>599</v>
      </c>
      <c r="G599" s="53">
        <v>5297721</v>
      </c>
      <c r="J599" s="47">
        <v>13.627586163937284</v>
      </c>
      <c r="L599" s="46">
        <v>0.98492873633775724</v>
      </c>
      <c r="M599" s="46">
        <v>11.379202211667998</v>
      </c>
      <c r="U599" s="53">
        <v>4256.6259</v>
      </c>
      <c r="X599" s="76">
        <f t="shared" si="104"/>
        <v>53072</v>
      </c>
      <c r="Y599" s="53">
        <v>26536</v>
      </c>
      <c r="Z599" s="76">
        <f t="shared" si="104"/>
        <v>994500</v>
      </c>
      <c r="AA599" s="53">
        <v>497250</v>
      </c>
      <c r="AO599" s="53">
        <f t="shared" si="101"/>
        <v>0</v>
      </c>
      <c r="AP599" s="53">
        <f t="shared" si="101"/>
        <v>0</v>
      </c>
      <c r="AQ599" s="53">
        <f t="shared" si="101"/>
        <v>72195149.399999991</v>
      </c>
      <c r="AR599" s="53">
        <f t="shared" si="101"/>
        <v>0</v>
      </c>
      <c r="AS599" s="53">
        <f t="shared" si="101"/>
        <v>5217877.6499999994</v>
      </c>
      <c r="AT599" s="53">
        <f t="shared" si="101"/>
        <v>60283838.519999996</v>
      </c>
      <c r="AU599" s="53">
        <f t="shared" si="101"/>
        <v>0</v>
      </c>
      <c r="AV599" s="53">
        <f t="shared" si="101"/>
        <v>0</v>
      </c>
      <c r="AW599" s="53">
        <f t="shared" si="102"/>
        <v>0</v>
      </c>
      <c r="AX599" s="53">
        <f t="shared" si="103"/>
        <v>529772100</v>
      </c>
      <c r="AY599" s="41" t="s">
        <v>557</v>
      </c>
    </row>
    <row r="600" spans="1:51" x14ac:dyDescent="0.2">
      <c r="A600" s="41" t="s">
        <v>258</v>
      </c>
      <c r="B600" s="41">
        <v>2012</v>
      </c>
      <c r="C600" s="41" t="s">
        <v>87</v>
      </c>
      <c r="D600" s="41" t="s">
        <v>88</v>
      </c>
      <c r="E600" s="41">
        <v>100</v>
      </c>
      <c r="F600" s="41" t="s">
        <v>599</v>
      </c>
      <c r="G600" s="53">
        <v>5413520</v>
      </c>
      <c r="J600" s="47">
        <v>15.196599994088874</v>
      </c>
      <c r="L600" s="46">
        <v>0.93734590432842235</v>
      </c>
      <c r="M600" s="46">
        <v>12.267194283940949</v>
      </c>
      <c r="U600" s="53">
        <v>1504.9911999999999</v>
      </c>
      <c r="X600" s="76">
        <f t="shared" si="104"/>
        <v>42780</v>
      </c>
      <c r="Y600" s="53">
        <v>21390</v>
      </c>
      <c r="Z600" s="76">
        <f t="shared" si="104"/>
        <v>1029414</v>
      </c>
      <c r="AA600" s="53">
        <v>514707</v>
      </c>
      <c r="AO600" s="53">
        <f t="shared" si="101"/>
        <v>0</v>
      </c>
      <c r="AP600" s="53">
        <f t="shared" si="101"/>
        <v>0</v>
      </c>
      <c r="AQ600" s="53">
        <f t="shared" si="101"/>
        <v>82267098</v>
      </c>
      <c r="AR600" s="53">
        <f t="shared" si="101"/>
        <v>0</v>
      </c>
      <c r="AS600" s="53">
        <f t="shared" si="101"/>
        <v>5074340.8000000007</v>
      </c>
      <c r="AT600" s="53">
        <f t="shared" si="101"/>
        <v>66408701.600000009</v>
      </c>
      <c r="AU600" s="53">
        <f t="shared" si="101"/>
        <v>0</v>
      </c>
      <c r="AV600" s="53">
        <f t="shared" si="101"/>
        <v>0</v>
      </c>
      <c r="AW600" s="53">
        <f t="shared" si="102"/>
        <v>0</v>
      </c>
      <c r="AX600" s="53">
        <f t="shared" si="103"/>
        <v>541352000</v>
      </c>
      <c r="AY600" s="41" t="s">
        <v>557</v>
      </c>
    </row>
    <row r="601" spans="1:51" x14ac:dyDescent="0.2">
      <c r="A601" s="41" t="s">
        <v>258</v>
      </c>
      <c r="B601" s="41">
        <v>2013</v>
      </c>
      <c r="C601" s="41" t="s">
        <v>87</v>
      </c>
      <c r="D601" s="41" t="s">
        <v>88</v>
      </c>
      <c r="E601" s="41">
        <v>100</v>
      </c>
      <c r="F601" s="41" t="s">
        <v>599</v>
      </c>
      <c r="G601" s="53">
        <v>7096282</v>
      </c>
      <c r="J601" s="47">
        <v>29.759505992011025</v>
      </c>
      <c r="L601" s="46">
        <v>1.3383903148155611</v>
      </c>
      <c r="M601" s="46">
        <v>9.2063346270624535</v>
      </c>
      <c r="U601" s="53">
        <v>35589.316100000004</v>
      </c>
      <c r="X601" s="76">
        <f t="shared" si="104"/>
        <v>108326</v>
      </c>
      <c r="Y601" s="53">
        <v>54163</v>
      </c>
      <c r="Z601" s="76">
        <f t="shared" si="104"/>
        <v>976466</v>
      </c>
      <c r="AA601" s="53">
        <v>488233</v>
      </c>
      <c r="AO601" s="53">
        <f t="shared" si="101"/>
        <v>0</v>
      </c>
      <c r="AP601" s="53">
        <f t="shared" si="101"/>
        <v>0</v>
      </c>
      <c r="AQ601" s="53">
        <f t="shared" si="101"/>
        <v>211181846.69999999</v>
      </c>
      <c r="AR601" s="53">
        <f t="shared" si="101"/>
        <v>0</v>
      </c>
      <c r="AS601" s="53">
        <f t="shared" si="101"/>
        <v>9497595.0999999996</v>
      </c>
      <c r="AT601" s="53">
        <f t="shared" si="101"/>
        <v>65330746.700000003</v>
      </c>
      <c r="AU601" s="53">
        <f t="shared" si="101"/>
        <v>0</v>
      </c>
      <c r="AV601" s="53">
        <f t="shared" si="101"/>
        <v>0</v>
      </c>
      <c r="AW601" s="53">
        <f t="shared" si="102"/>
        <v>0</v>
      </c>
      <c r="AX601" s="53">
        <f t="shared" si="103"/>
        <v>709628200</v>
      </c>
      <c r="AY601" s="41" t="s">
        <v>557</v>
      </c>
    </row>
    <row r="602" spans="1:51" x14ac:dyDescent="0.2">
      <c r="A602" s="41" t="s">
        <v>258</v>
      </c>
      <c r="B602" s="41">
        <v>2014</v>
      </c>
      <c r="C602" s="41" t="s">
        <v>87</v>
      </c>
      <c r="D602" s="41" t="s">
        <v>88</v>
      </c>
      <c r="E602" s="41">
        <v>100</v>
      </c>
      <c r="F602" s="41" t="s">
        <v>599</v>
      </c>
      <c r="G602" s="53">
        <v>7109879</v>
      </c>
      <c r="J602" s="47">
        <v>36.063960258676694</v>
      </c>
      <c r="L602" s="46">
        <v>1.6934441219041845</v>
      </c>
      <c r="M602" s="46">
        <v>9.0760779754479657</v>
      </c>
      <c r="U602" s="53">
        <v>50597.523000000001</v>
      </c>
      <c r="X602" s="76">
        <f t="shared" si="104"/>
        <v>128852</v>
      </c>
      <c r="Y602" s="53">
        <v>64426</v>
      </c>
      <c r="Z602" s="76">
        <f t="shared" si="104"/>
        <v>931392</v>
      </c>
      <c r="AA602" s="53">
        <v>465696</v>
      </c>
      <c r="AO602" s="53">
        <f t="shared" si="101"/>
        <v>0</v>
      </c>
      <c r="AP602" s="53">
        <f t="shared" si="101"/>
        <v>0</v>
      </c>
      <c r="AQ602" s="53">
        <f t="shared" si="101"/>
        <v>256410393.69999999</v>
      </c>
      <c r="AR602" s="53">
        <f t="shared" si="101"/>
        <v>0</v>
      </c>
      <c r="AS602" s="53">
        <f t="shared" si="101"/>
        <v>12040182.800000001</v>
      </c>
      <c r="AT602" s="53">
        <f t="shared" si="101"/>
        <v>64529816.20000001</v>
      </c>
      <c r="AU602" s="53">
        <f t="shared" si="101"/>
        <v>0</v>
      </c>
      <c r="AV602" s="53">
        <f t="shared" si="101"/>
        <v>0</v>
      </c>
      <c r="AW602" s="53">
        <f t="shared" si="102"/>
        <v>0</v>
      </c>
      <c r="AX602" s="53">
        <f t="shared" si="103"/>
        <v>710987900</v>
      </c>
      <c r="AY602" s="41" t="s">
        <v>557</v>
      </c>
    </row>
    <row r="603" spans="1:51" x14ac:dyDescent="0.2">
      <c r="A603" s="41" t="s">
        <v>258</v>
      </c>
      <c r="B603" s="41">
        <v>2015</v>
      </c>
      <c r="C603" s="41" t="s">
        <v>87</v>
      </c>
      <c r="D603" s="41" t="s">
        <v>88</v>
      </c>
      <c r="E603" s="41">
        <v>100</v>
      </c>
      <c r="F603" s="41" t="s">
        <v>599</v>
      </c>
      <c r="G603" s="53">
        <v>5666214</v>
      </c>
      <c r="J603" s="47">
        <v>40.914782533804761</v>
      </c>
      <c r="L603" s="46">
        <v>1.5968264347234327</v>
      </c>
      <c r="M603" s="46">
        <v>7.5128930358083901</v>
      </c>
      <c r="U603" s="53">
        <v>63187.953700000005</v>
      </c>
      <c r="X603" s="76">
        <f t="shared" si="104"/>
        <v>136728</v>
      </c>
      <c r="Y603" s="53">
        <v>68364</v>
      </c>
      <c r="Z603" s="76">
        <f t="shared" si="104"/>
        <v>628222</v>
      </c>
      <c r="AA603" s="53">
        <v>314111</v>
      </c>
      <c r="AO603" s="53">
        <f t="shared" si="101"/>
        <v>0</v>
      </c>
      <c r="AP603" s="53">
        <f t="shared" si="101"/>
        <v>0</v>
      </c>
      <c r="AQ603" s="53">
        <f t="shared" si="101"/>
        <v>231831913.60000002</v>
      </c>
      <c r="AR603" s="53">
        <f t="shared" si="101"/>
        <v>0</v>
      </c>
      <c r="AS603" s="53">
        <f t="shared" si="101"/>
        <v>9047960.3000000007</v>
      </c>
      <c r="AT603" s="53">
        <f t="shared" si="101"/>
        <v>42569659.700000003</v>
      </c>
      <c r="AU603" s="53">
        <f t="shared" si="101"/>
        <v>0</v>
      </c>
      <c r="AV603" s="53">
        <f t="shared" si="101"/>
        <v>0</v>
      </c>
      <c r="AW603" s="53">
        <f t="shared" si="102"/>
        <v>0</v>
      </c>
      <c r="AX603" s="53">
        <f t="shared" si="103"/>
        <v>566621400</v>
      </c>
      <c r="AY603" s="41" t="s">
        <v>557</v>
      </c>
    </row>
    <row r="604" spans="1:51" x14ac:dyDescent="0.2">
      <c r="A604" s="41" t="s">
        <v>258</v>
      </c>
      <c r="B604" s="60" t="s">
        <v>559</v>
      </c>
      <c r="C604" s="60" t="s">
        <v>87</v>
      </c>
      <c r="D604" s="60" t="s">
        <v>88</v>
      </c>
      <c r="E604" s="60">
        <v>100</v>
      </c>
      <c r="F604" s="60" t="s">
        <v>599</v>
      </c>
      <c r="G604" s="79">
        <f>SUM(G588:G603)</f>
        <v>86320108.807861328</v>
      </c>
      <c r="J604" s="78">
        <f>AQ604/$G604</f>
        <v>39.360832366805987</v>
      </c>
      <c r="L604" s="80">
        <f>AS604/$G604</f>
        <v>1.604486186037108</v>
      </c>
      <c r="M604" s="80">
        <f>AT604/$G604</f>
        <v>11.13478467848385</v>
      </c>
      <c r="U604" s="79">
        <f>SUM(U588:U603)</f>
        <v>1833955.6599926401</v>
      </c>
      <c r="X604" s="79">
        <f>SUM(X588:X603)</f>
        <v>1648799.0871701536</v>
      </c>
      <c r="Y604" s="79">
        <f>SUM(Y588:Y603)</f>
        <v>824399.54358507681</v>
      </c>
      <c r="Z604" s="79">
        <f>SUM(Z588:Z603)</f>
        <v>14936898.241194358</v>
      </c>
      <c r="AA604" s="79">
        <f>SUM(AA588:AA603)</f>
        <v>7468449.120597179</v>
      </c>
      <c r="AO604" s="79">
        <f>SUM(AO588:AO603)</f>
        <v>0</v>
      </c>
      <c r="AP604" s="79">
        <f t="shared" ref="AP604:AX604" si="105">SUM(AP588:AP603)</f>
        <v>0</v>
      </c>
      <c r="AQ604" s="79">
        <f t="shared" si="105"/>
        <v>3397631332.6706829</v>
      </c>
      <c r="AR604" s="79">
        <f t="shared" si="105"/>
        <v>0</v>
      </c>
      <c r="AS604" s="79">
        <f t="shared" si="105"/>
        <v>138499422.1594336</v>
      </c>
      <c r="AT604" s="79">
        <f t="shared" si="105"/>
        <v>961155824.99883318</v>
      </c>
      <c r="AU604" s="79">
        <f t="shared" si="105"/>
        <v>0</v>
      </c>
      <c r="AV604" s="79">
        <f t="shared" si="105"/>
        <v>0</v>
      </c>
      <c r="AW604" s="79">
        <f t="shared" si="105"/>
        <v>0</v>
      </c>
      <c r="AX604" s="79">
        <f t="shared" si="105"/>
        <v>8632010880.7861328</v>
      </c>
      <c r="AY604" s="41" t="s">
        <v>557</v>
      </c>
    </row>
    <row r="605" spans="1:51" x14ac:dyDescent="0.2">
      <c r="A605" s="41" t="s">
        <v>258</v>
      </c>
      <c r="B605" s="43" t="s">
        <v>560</v>
      </c>
      <c r="G605" s="53">
        <f>STDEV(G588:G603)</f>
        <v>841950.59837008349</v>
      </c>
      <c r="J605" s="47">
        <f>STDEV(J588:J603)</f>
        <v>18.866041280448432</v>
      </c>
      <c r="L605" s="46">
        <f>STDEV(L588:L603)</f>
        <v>0.56300660906582911</v>
      </c>
      <c r="M605" s="46">
        <f>STDEV(M588:M603)</f>
        <v>1.4234680512212523</v>
      </c>
      <c r="U605" s="53">
        <f>STDEV(U588:U603)</f>
        <v>89886.06663486344</v>
      </c>
      <c r="X605" s="53">
        <f>STDEV(X588:X603)</f>
        <v>45836.048688404546</v>
      </c>
      <c r="Y605" s="53">
        <f>STDEV(Y588:Y603)</f>
        <v>22918.024344202273</v>
      </c>
      <c r="Z605" s="53">
        <f>STDEV(Z588:Z603)</f>
        <v>145017.35976924523</v>
      </c>
      <c r="AA605" s="53">
        <f>STDEV(AA588:AA603)</f>
        <v>72508.679884622616</v>
      </c>
      <c r="AY605" s="41" t="s">
        <v>557</v>
      </c>
    </row>
    <row r="606" spans="1:51" x14ac:dyDescent="0.2">
      <c r="A606" s="41" t="s">
        <v>258</v>
      </c>
      <c r="B606" s="81" t="s">
        <v>249</v>
      </c>
      <c r="G606" s="41">
        <f>COUNT(G588:G603)</f>
        <v>16</v>
      </c>
      <c r="J606" s="41">
        <f>COUNT(J588:J603)</f>
        <v>16</v>
      </c>
      <c r="L606" s="41">
        <f>COUNT(L588:L603)</f>
        <v>16</v>
      </c>
      <c r="M606" s="41">
        <f>COUNT(M588:M603)</f>
        <v>16</v>
      </c>
      <c r="U606" s="41">
        <f>COUNT(U588:U603)</f>
        <v>16</v>
      </c>
      <c r="X606" s="41">
        <f>COUNT(X588:X603)</f>
        <v>16</v>
      </c>
      <c r="Y606" s="41">
        <f>COUNT(Y588:Y603)</f>
        <v>16</v>
      </c>
      <c r="Z606" s="41">
        <f>COUNT(Z588:Z603)</f>
        <v>16</v>
      </c>
      <c r="AA606" s="41">
        <f>COUNT(AA588:AA603)</f>
        <v>16</v>
      </c>
      <c r="AY606" s="41" t="s">
        <v>557</v>
      </c>
    </row>
    <row r="607" spans="1:51" x14ac:dyDescent="0.2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  <c r="AA607" s="82"/>
      <c r="AB607" s="82"/>
      <c r="AC607" s="82"/>
      <c r="AD607" s="82"/>
      <c r="AE607" s="82"/>
      <c r="AF607" s="82"/>
      <c r="AG607" s="82"/>
      <c r="AH607" s="82"/>
      <c r="AI607" s="82"/>
      <c r="AJ607" s="82"/>
      <c r="AK607" s="82"/>
      <c r="AL607" s="82"/>
      <c r="AM607" s="82"/>
      <c r="AN607" s="82"/>
      <c r="AO607" s="82"/>
      <c r="AP607" s="82"/>
      <c r="AQ607" s="82"/>
      <c r="AR607" s="82"/>
      <c r="AS607" s="82"/>
      <c r="AT607" s="82"/>
      <c r="AU607" s="82"/>
      <c r="AV607" s="82"/>
      <c r="AW607" s="82"/>
      <c r="AX607" s="82"/>
      <c r="AY607" s="41" t="s">
        <v>557</v>
      </c>
    </row>
    <row r="608" spans="1:51" x14ac:dyDescent="0.2">
      <c r="A608" s="41" t="s">
        <v>151</v>
      </c>
      <c r="B608" s="41">
        <v>1994</v>
      </c>
      <c r="C608" s="41" t="s">
        <v>87</v>
      </c>
      <c r="D608" s="41" t="s">
        <v>113</v>
      </c>
      <c r="E608" s="41">
        <v>100</v>
      </c>
      <c r="F608" s="41" t="s">
        <v>9</v>
      </c>
      <c r="AI608" s="53">
        <v>2938775.5102040819</v>
      </c>
      <c r="AJ608" s="41">
        <v>1.5</v>
      </c>
      <c r="AL608" s="53">
        <v>22040.816326530614</v>
      </c>
      <c r="AM608" s="53">
        <v>11755102.040816328</v>
      </c>
      <c r="AO608" s="53">
        <f>$AI608*AJ608</f>
        <v>4408163.2653061226</v>
      </c>
      <c r="AY608" s="41" t="s">
        <v>557</v>
      </c>
    </row>
    <row r="609" spans="1:51" x14ac:dyDescent="0.2">
      <c r="A609" s="41" t="s">
        <v>151</v>
      </c>
      <c r="B609" s="41">
        <f>B608+1</f>
        <v>1995</v>
      </c>
      <c r="C609" s="41" t="s">
        <v>87</v>
      </c>
      <c r="D609" s="41" t="s">
        <v>113</v>
      </c>
      <c r="E609" s="41">
        <v>100</v>
      </c>
      <c r="F609" s="41" t="s">
        <v>9</v>
      </c>
      <c r="AI609" s="53">
        <v>4039626.5734986919</v>
      </c>
      <c r="AJ609" s="41">
        <v>1.5</v>
      </c>
      <c r="AL609" s="53">
        <v>36417.233560090703</v>
      </c>
      <c r="AM609" s="53">
        <v>16158506.293994768</v>
      </c>
      <c r="AO609" s="53">
        <f t="shared" ref="AO609:AO628" si="106">$AI609*AJ609</f>
        <v>6059439.8602480376</v>
      </c>
      <c r="AY609" s="41" t="s">
        <v>557</v>
      </c>
    </row>
    <row r="610" spans="1:51" x14ac:dyDescent="0.2">
      <c r="A610" s="41" t="s">
        <v>151</v>
      </c>
      <c r="B610" s="41">
        <f t="shared" ref="B610:B628" si="107">B609+1</f>
        <v>1996</v>
      </c>
      <c r="C610" s="41" t="s">
        <v>87</v>
      </c>
      <c r="D610" s="41" t="s">
        <v>113</v>
      </c>
      <c r="E610" s="41">
        <v>100</v>
      </c>
      <c r="F610" s="41" t="s">
        <v>9</v>
      </c>
      <c r="AI610" s="53">
        <v>5500000</v>
      </c>
      <c r="AJ610" s="41">
        <v>1.46</v>
      </c>
      <c r="AL610" s="53">
        <v>59319.727891156464</v>
      </c>
      <c r="AM610" s="53">
        <v>19800000</v>
      </c>
      <c r="AO610" s="53">
        <f t="shared" si="106"/>
        <v>8030000</v>
      </c>
      <c r="AY610" s="41" t="s">
        <v>557</v>
      </c>
    </row>
    <row r="611" spans="1:51" x14ac:dyDescent="0.2">
      <c r="A611" s="41" t="s">
        <v>151</v>
      </c>
      <c r="B611" s="41">
        <f t="shared" si="107"/>
        <v>1997</v>
      </c>
      <c r="C611" s="41" t="s">
        <v>87</v>
      </c>
      <c r="D611" s="41" t="s">
        <v>113</v>
      </c>
      <c r="E611" s="41">
        <v>100</v>
      </c>
      <c r="F611" s="41" t="s">
        <v>9</v>
      </c>
      <c r="AI611" s="53">
        <v>5500000</v>
      </c>
      <c r="AJ611" s="41">
        <v>1.52</v>
      </c>
      <c r="AL611" s="53">
        <v>60317.460317460318</v>
      </c>
      <c r="AM611" s="53">
        <v>16100000</v>
      </c>
      <c r="AO611" s="53">
        <f t="shared" si="106"/>
        <v>8360000</v>
      </c>
      <c r="AY611" s="41" t="s">
        <v>557</v>
      </c>
    </row>
    <row r="612" spans="1:51" x14ac:dyDescent="0.2">
      <c r="A612" s="41" t="s">
        <v>151</v>
      </c>
      <c r="B612" s="41">
        <f t="shared" si="107"/>
        <v>1998</v>
      </c>
      <c r="C612" s="41" t="s">
        <v>87</v>
      </c>
      <c r="D612" s="41" t="s">
        <v>113</v>
      </c>
      <c r="E612" s="41">
        <v>100</v>
      </c>
      <c r="F612" s="41" t="s">
        <v>9</v>
      </c>
      <c r="AI612" s="53">
        <v>7400000</v>
      </c>
      <c r="AJ612" s="41">
        <v>1.37</v>
      </c>
      <c r="AL612" s="53">
        <v>74829.931972789112</v>
      </c>
      <c r="AM612" s="53">
        <v>37500000</v>
      </c>
      <c r="AO612" s="53">
        <f t="shared" si="106"/>
        <v>10138000</v>
      </c>
      <c r="AY612" s="41" t="s">
        <v>557</v>
      </c>
    </row>
    <row r="613" spans="1:51" x14ac:dyDescent="0.2">
      <c r="A613" s="41" t="s">
        <v>151</v>
      </c>
      <c r="B613" s="41">
        <f t="shared" si="107"/>
        <v>1999</v>
      </c>
      <c r="C613" s="41" t="s">
        <v>87</v>
      </c>
      <c r="D613" s="41" t="s">
        <v>113</v>
      </c>
      <c r="E613" s="41">
        <v>100</v>
      </c>
      <c r="F613" s="41" t="s">
        <v>9</v>
      </c>
      <c r="AI613" s="53">
        <v>12400000</v>
      </c>
      <c r="AJ613" s="41">
        <v>1.31</v>
      </c>
      <c r="AL613" s="53">
        <v>100226.75736961451</v>
      </c>
      <c r="AM613" s="53">
        <v>30600000</v>
      </c>
      <c r="AO613" s="53">
        <f t="shared" si="106"/>
        <v>16244000</v>
      </c>
      <c r="AY613" s="41" t="s">
        <v>557</v>
      </c>
    </row>
    <row r="614" spans="1:51" x14ac:dyDescent="0.2">
      <c r="A614" s="41" t="s">
        <v>151</v>
      </c>
      <c r="B614" s="41">
        <f t="shared" si="107"/>
        <v>2000</v>
      </c>
      <c r="C614" s="41" t="s">
        <v>87</v>
      </c>
      <c r="D614" s="41" t="s">
        <v>113</v>
      </c>
      <c r="E614" s="41">
        <v>100</v>
      </c>
      <c r="F614" s="41" t="s">
        <v>9</v>
      </c>
      <c r="AI614" s="53">
        <v>13056000</v>
      </c>
      <c r="AJ614" s="41">
        <v>1.08</v>
      </c>
      <c r="AL614" s="53">
        <v>124000</v>
      </c>
      <c r="AM614" s="53">
        <v>46772000</v>
      </c>
      <c r="AO614" s="53">
        <f t="shared" si="106"/>
        <v>14100480</v>
      </c>
      <c r="AY614" s="41" t="s">
        <v>557</v>
      </c>
    </row>
    <row r="615" spans="1:51" x14ac:dyDescent="0.2">
      <c r="A615" s="41" t="s">
        <v>151</v>
      </c>
      <c r="B615" s="41">
        <f t="shared" si="107"/>
        <v>2001</v>
      </c>
      <c r="C615" s="41" t="s">
        <v>87</v>
      </c>
      <c r="D615" s="41" t="s">
        <v>113</v>
      </c>
      <c r="E615" s="41">
        <v>100</v>
      </c>
      <c r="F615" s="41" t="s">
        <v>9</v>
      </c>
      <c r="AI615" s="53">
        <v>14436000</v>
      </c>
      <c r="AJ615" s="46">
        <v>1.0983534220005542</v>
      </c>
      <c r="AL615" s="53">
        <v>133600</v>
      </c>
      <c r="AM615" s="53">
        <v>43355000</v>
      </c>
      <c r="AO615" s="53">
        <f t="shared" si="106"/>
        <v>15855830</v>
      </c>
      <c r="AY615" s="41" t="s">
        <v>557</v>
      </c>
    </row>
    <row r="616" spans="1:51" x14ac:dyDescent="0.2">
      <c r="A616" s="41" t="s">
        <v>151</v>
      </c>
      <c r="B616" s="41">
        <f t="shared" si="107"/>
        <v>2002</v>
      </c>
      <c r="C616" s="41" t="s">
        <v>87</v>
      </c>
      <c r="D616" s="41" t="s">
        <v>113</v>
      </c>
      <c r="E616" s="41">
        <v>100</v>
      </c>
      <c r="F616" s="41" t="s">
        <v>9</v>
      </c>
      <c r="AI616" s="53">
        <v>14980000</v>
      </c>
      <c r="AJ616" s="46">
        <v>1.0077723631508679</v>
      </c>
      <c r="AL616" s="53">
        <v>128200</v>
      </c>
      <c r="AM616" s="53">
        <v>66966000</v>
      </c>
      <c r="AO616" s="53">
        <f t="shared" si="106"/>
        <v>15096430.000000002</v>
      </c>
      <c r="AY616" s="41" t="s">
        <v>557</v>
      </c>
    </row>
    <row r="617" spans="1:51" x14ac:dyDescent="0.2">
      <c r="A617" s="41" t="s">
        <v>151</v>
      </c>
      <c r="B617" s="41">
        <f t="shared" si="107"/>
        <v>2003</v>
      </c>
      <c r="C617" s="41" t="s">
        <v>87</v>
      </c>
      <c r="D617" s="41" t="s">
        <v>113</v>
      </c>
      <c r="E617" s="41">
        <v>100</v>
      </c>
      <c r="F617" s="41" t="s">
        <v>9</v>
      </c>
      <c r="AI617" s="53">
        <v>16797000</v>
      </c>
      <c r="AJ617" s="46">
        <v>0.98757754360897776</v>
      </c>
      <c r="AL617" s="53">
        <v>131600</v>
      </c>
      <c r="AM617" s="53">
        <v>56412000</v>
      </c>
      <c r="AO617" s="53">
        <f t="shared" si="106"/>
        <v>16588340</v>
      </c>
      <c r="AY617" s="41" t="s">
        <v>557</v>
      </c>
    </row>
    <row r="618" spans="1:51" x14ac:dyDescent="0.2">
      <c r="A618" s="41" t="s">
        <v>151</v>
      </c>
      <c r="B618" s="41">
        <f t="shared" si="107"/>
        <v>2004</v>
      </c>
      <c r="C618" s="41" t="s">
        <v>87</v>
      </c>
      <c r="D618" s="41" t="s">
        <v>113</v>
      </c>
      <c r="E618" s="41">
        <v>100</v>
      </c>
      <c r="F618" s="41" t="s">
        <v>9</v>
      </c>
      <c r="AI618" s="53">
        <v>16624000</v>
      </c>
      <c r="AJ618" s="46">
        <v>0.89943816169393642</v>
      </c>
      <c r="AL618" s="53">
        <v>118100</v>
      </c>
      <c r="AM618" s="53">
        <v>50204000</v>
      </c>
      <c r="AO618" s="53">
        <f t="shared" si="106"/>
        <v>14952260</v>
      </c>
      <c r="AY618" s="41" t="s">
        <v>557</v>
      </c>
    </row>
    <row r="619" spans="1:51" x14ac:dyDescent="0.2">
      <c r="A619" s="41" t="s">
        <v>151</v>
      </c>
      <c r="B619" s="41">
        <f t="shared" si="107"/>
        <v>2005</v>
      </c>
      <c r="C619" s="41" t="s">
        <v>87</v>
      </c>
      <c r="D619" s="41" t="s">
        <v>113</v>
      </c>
      <c r="E619" s="41">
        <v>100</v>
      </c>
      <c r="F619" s="41" t="s">
        <v>9</v>
      </c>
      <c r="AI619" s="53">
        <v>14701000</v>
      </c>
      <c r="AJ619" s="46">
        <v>0.88629889123188899</v>
      </c>
      <c r="AL619" s="53">
        <v>90400</v>
      </c>
      <c r="AM619" s="53">
        <v>50763000</v>
      </c>
      <c r="AO619" s="53">
        <f t="shared" si="106"/>
        <v>13029480</v>
      </c>
      <c r="AY619" s="41" t="s">
        <v>557</v>
      </c>
    </row>
    <row r="620" spans="1:51" x14ac:dyDescent="0.2">
      <c r="A620" s="41" t="s">
        <v>151</v>
      </c>
      <c r="B620" s="41">
        <f t="shared" si="107"/>
        <v>2006</v>
      </c>
      <c r="C620" s="41" t="s">
        <v>87</v>
      </c>
      <c r="D620" s="41" t="s">
        <v>113</v>
      </c>
      <c r="E620" s="41">
        <v>100</v>
      </c>
      <c r="F620" s="41" t="s">
        <v>9</v>
      </c>
      <c r="AI620" s="53">
        <v>17842000</v>
      </c>
      <c r="AJ620" s="46">
        <v>0.84358928371258823</v>
      </c>
      <c r="AL620" s="53">
        <v>115500</v>
      </c>
      <c r="AM620" s="53">
        <v>53534000</v>
      </c>
      <c r="AO620" s="53">
        <f t="shared" si="106"/>
        <v>15051320</v>
      </c>
      <c r="AY620" s="41" t="s">
        <v>557</v>
      </c>
    </row>
    <row r="621" spans="1:51" x14ac:dyDescent="0.2">
      <c r="A621" s="41" t="s">
        <v>151</v>
      </c>
      <c r="B621" s="41">
        <f t="shared" si="107"/>
        <v>2007</v>
      </c>
      <c r="C621" s="41" t="s">
        <v>87</v>
      </c>
      <c r="D621" s="41" t="s">
        <v>113</v>
      </c>
      <c r="E621" s="41">
        <v>100</v>
      </c>
      <c r="F621" s="41" t="s">
        <v>9</v>
      </c>
      <c r="AI621" s="53">
        <v>17451000</v>
      </c>
      <c r="AJ621" s="46">
        <v>0.89062919030428056</v>
      </c>
      <c r="AL621" s="53">
        <v>98800</v>
      </c>
      <c r="AM621" s="53">
        <v>46855000</v>
      </c>
      <c r="AO621" s="53">
        <f t="shared" si="106"/>
        <v>15542370</v>
      </c>
      <c r="AY621" s="41" t="s">
        <v>557</v>
      </c>
    </row>
    <row r="622" spans="1:51" x14ac:dyDescent="0.2">
      <c r="A622" s="41" t="s">
        <v>151</v>
      </c>
      <c r="B622" s="41">
        <f t="shared" si="107"/>
        <v>2008</v>
      </c>
      <c r="C622" s="41" t="s">
        <v>87</v>
      </c>
      <c r="D622" s="41" t="s">
        <v>113</v>
      </c>
      <c r="E622" s="41">
        <v>100</v>
      </c>
      <c r="F622" s="41" t="s">
        <v>9</v>
      </c>
      <c r="AI622" s="53">
        <v>18009000</v>
      </c>
      <c r="AJ622" s="46">
        <v>0.84266366816591709</v>
      </c>
      <c r="AL622" s="53">
        <v>104100</v>
      </c>
      <c r="AM622" s="53">
        <v>50991000</v>
      </c>
      <c r="AO622" s="53">
        <f t="shared" si="106"/>
        <v>15175530</v>
      </c>
      <c r="AY622" s="41" t="s">
        <v>557</v>
      </c>
    </row>
    <row r="623" spans="1:51" x14ac:dyDescent="0.2">
      <c r="A623" s="41" t="s">
        <v>151</v>
      </c>
      <c r="B623" s="41">
        <f t="shared" si="107"/>
        <v>2009</v>
      </c>
      <c r="C623" s="41" t="s">
        <v>87</v>
      </c>
      <c r="D623" s="41" t="s">
        <v>113</v>
      </c>
      <c r="E623" s="41">
        <v>100</v>
      </c>
      <c r="F623" s="41" t="s">
        <v>9</v>
      </c>
      <c r="AI623" s="53">
        <v>16075000</v>
      </c>
      <c r="AJ623" s="46">
        <v>0.8288808709175739</v>
      </c>
      <c r="AL623" s="53">
        <v>94200</v>
      </c>
      <c r="AM623" s="53">
        <v>52746000</v>
      </c>
      <c r="AO623" s="53">
        <f t="shared" si="106"/>
        <v>13324260</v>
      </c>
      <c r="AY623" s="41" t="s">
        <v>557</v>
      </c>
    </row>
    <row r="624" spans="1:51" x14ac:dyDescent="0.2">
      <c r="A624" s="41" t="s">
        <v>151</v>
      </c>
      <c r="B624" s="41">
        <f t="shared" si="107"/>
        <v>2010</v>
      </c>
      <c r="C624" s="41" t="s">
        <v>87</v>
      </c>
      <c r="D624" s="41" t="s">
        <v>113</v>
      </c>
      <c r="E624" s="41">
        <v>100</v>
      </c>
      <c r="F624" s="41" t="s">
        <v>9</v>
      </c>
      <c r="AI624" s="53">
        <v>18289000</v>
      </c>
      <c r="AJ624" s="46">
        <v>0.71976652632730054</v>
      </c>
      <c r="AL624" s="53">
        <v>89100</v>
      </c>
      <c r="AM624" s="53">
        <v>45986000</v>
      </c>
      <c r="AO624" s="53">
        <f t="shared" si="106"/>
        <v>13163810</v>
      </c>
      <c r="AY624" s="41" t="s">
        <v>557</v>
      </c>
    </row>
    <row r="625" spans="1:51" x14ac:dyDescent="0.2">
      <c r="A625" s="41" t="s">
        <v>151</v>
      </c>
      <c r="B625" s="41">
        <f t="shared" si="107"/>
        <v>2011</v>
      </c>
      <c r="C625" s="41" t="s">
        <v>87</v>
      </c>
      <c r="D625" s="41" t="s">
        <v>113</v>
      </c>
      <c r="E625" s="41">
        <v>100</v>
      </c>
      <c r="F625" s="41" t="s">
        <v>9</v>
      </c>
      <c r="AI625" s="53">
        <v>18231000</v>
      </c>
      <c r="AJ625" s="46">
        <v>0.72970544676649662</v>
      </c>
      <c r="AL625" s="53">
        <v>94300</v>
      </c>
      <c r="AM625" s="53">
        <v>47457000</v>
      </c>
      <c r="AO625" s="53">
        <f t="shared" si="106"/>
        <v>13303260</v>
      </c>
      <c r="AY625" s="41" t="s">
        <v>557</v>
      </c>
    </row>
    <row r="626" spans="1:51" x14ac:dyDescent="0.2">
      <c r="A626" s="41" t="s">
        <v>151</v>
      </c>
      <c r="B626" s="41">
        <f t="shared" si="107"/>
        <v>2012</v>
      </c>
      <c r="C626" s="41" t="s">
        <v>87</v>
      </c>
      <c r="D626" s="41" t="s">
        <v>113</v>
      </c>
      <c r="E626" s="41">
        <v>100</v>
      </c>
      <c r="F626" s="41" t="s">
        <v>9</v>
      </c>
      <c r="AI626" s="53">
        <v>17399000</v>
      </c>
      <c r="AJ626" s="46">
        <v>0.6337369963791023</v>
      </c>
      <c r="AL626" s="53">
        <v>73100</v>
      </c>
      <c r="AM626" s="53">
        <v>46956000</v>
      </c>
      <c r="AO626" s="53">
        <f t="shared" si="106"/>
        <v>11026390.000000002</v>
      </c>
      <c r="AY626" s="41" t="s">
        <v>557</v>
      </c>
    </row>
    <row r="627" spans="1:51" x14ac:dyDescent="0.2">
      <c r="A627" s="41" t="s">
        <v>151</v>
      </c>
      <c r="B627" s="41">
        <f t="shared" si="107"/>
        <v>2013</v>
      </c>
      <c r="C627" s="41" t="s">
        <v>87</v>
      </c>
      <c r="D627" s="41" t="s">
        <v>113</v>
      </c>
      <c r="E627" s="41">
        <v>100</v>
      </c>
      <c r="F627" s="41" t="s">
        <v>9</v>
      </c>
      <c r="AI627" s="53">
        <v>17363000</v>
      </c>
      <c r="AJ627" s="46">
        <v>0.75226976904912746</v>
      </c>
      <c r="AL627" s="53">
        <v>72800</v>
      </c>
      <c r="AM627" s="53">
        <v>47162000</v>
      </c>
      <c r="AO627" s="53">
        <f t="shared" si="106"/>
        <v>13061660</v>
      </c>
      <c r="AY627" s="41" t="s">
        <v>557</v>
      </c>
    </row>
    <row r="628" spans="1:51" x14ac:dyDescent="0.2">
      <c r="A628" s="41" t="s">
        <v>151</v>
      </c>
      <c r="B628" s="41">
        <f t="shared" si="107"/>
        <v>2014</v>
      </c>
      <c r="C628" s="41" t="s">
        <v>87</v>
      </c>
      <c r="D628" s="41" t="s">
        <v>113</v>
      </c>
      <c r="E628" s="41">
        <v>100</v>
      </c>
      <c r="F628" s="41" t="s">
        <v>9</v>
      </c>
      <c r="AI628" s="53">
        <v>17159000</v>
      </c>
      <c r="AJ628" s="46">
        <v>0.74426773121976808</v>
      </c>
      <c r="AL628" s="53">
        <v>79600</v>
      </c>
      <c r="AM628" s="53">
        <v>47508000</v>
      </c>
      <c r="AO628" s="53">
        <f t="shared" si="106"/>
        <v>12770890</v>
      </c>
      <c r="AY628" s="41" t="s">
        <v>557</v>
      </c>
    </row>
    <row r="629" spans="1:51" x14ac:dyDescent="0.2">
      <c r="A629" s="60"/>
      <c r="B629" s="85" t="s">
        <v>604</v>
      </c>
      <c r="C629" s="60" t="s">
        <v>87</v>
      </c>
      <c r="D629" s="60" t="s">
        <v>113</v>
      </c>
      <c r="E629" s="60">
        <v>100</v>
      </c>
      <c r="F629" s="60" t="s">
        <v>9</v>
      </c>
      <c r="AI629" s="79">
        <f>SUM(AI608:AI627)+(10.6/12)*AI628</f>
        <v>284188518.75036949</v>
      </c>
      <c r="AJ629" s="80">
        <f>AO629/AI629</f>
        <v>0.92822882894365522</v>
      </c>
      <c r="AL629" s="79">
        <f>SUM(AL608:AL627)+(10.6/12)*AL628</f>
        <v>1891265.2607709749</v>
      </c>
      <c r="AM629" s="79">
        <f>SUM(AM608:AM627)+(10.6/12)*AM628</f>
        <v>880038008.33481109</v>
      </c>
      <c r="AO629" s="79">
        <f>SUM(AO608:AO627)+(10.6/12)*AO628</f>
        <v>263791975.95888749</v>
      </c>
      <c r="AY629" s="41" t="s">
        <v>557</v>
      </c>
    </row>
    <row r="630" spans="1:51" x14ac:dyDescent="0.2">
      <c r="A630" s="41" t="s">
        <v>151</v>
      </c>
      <c r="B630" s="43" t="s">
        <v>560</v>
      </c>
      <c r="AI630" s="53">
        <f>STDEV(AI608:AI628)</f>
        <v>5209147.1033391161</v>
      </c>
      <c r="AJ630" s="46">
        <f>STDEV(AJ608:AJ628)</f>
        <v>0.29494681151161994</v>
      </c>
      <c r="AL630" s="53">
        <f>STDEV(AL608:AL628)</f>
        <v>30274.486979966485</v>
      </c>
      <c r="AM630" s="53">
        <f>STDEV(AM608:AM628)</f>
        <v>14791262.451741921</v>
      </c>
      <c r="AY630" s="41" t="s">
        <v>557</v>
      </c>
    </row>
    <row r="631" spans="1:51" x14ac:dyDescent="0.2">
      <c r="A631" s="41" t="s">
        <v>151</v>
      </c>
      <c r="B631" s="81" t="s">
        <v>249</v>
      </c>
      <c r="AI631" s="41">
        <f>COUNT(AI608:AI628)</f>
        <v>21</v>
      </c>
      <c r="AJ631" s="59">
        <f>COUNT(AJ608:AJ628)</f>
        <v>21</v>
      </c>
      <c r="AL631" s="41">
        <f>COUNT(AL608:AL628)</f>
        <v>21</v>
      </c>
      <c r="AM631" s="41">
        <f>COUNT(AM608:AM628)</f>
        <v>21</v>
      </c>
      <c r="AY631" s="41" t="s">
        <v>557</v>
      </c>
    </row>
    <row r="632" spans="1:51" x14ac:dyDescent="0.2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2"/>
      <c r="AG632" s="82"/>
      <c r="AH632" s="82"/>
      <c r="AI632" s="82"/>
      <c r="AJ632" s="82"/>
      <c r="AK632" s="82"/>
      <c r="AL632" s="82"/>
      <c r="AM632" s="82"/>
      <c r="AN632" s="82"/>
      <c r="AO632" s="82"/>
      <c r="AP632" s="82"/>
      <c r="AQ632" s="82"/>
      <c r="AR632" s="82"/>
      <c r="AS632" s="82"/>
      <c r="AT632" s="82"/>
      <c r="AU632" s="82"/>
      <c r="AV632" s="82"/>
      <c r="AW632" s="82"/>
      <c r="AX632" s="82"/>
      <c r="AY632" s="41" t="s">
        <v>557</v>
      </c>
    </row>
    <row r="633" spans="1:51" x14ac:dyDescent="0.2">
      <c r="A633" s="41" t="s">
        <v>213</v>
      </c>
      <c r="B633" s="41">
        <v>2008</v>
      </c>
      <c r="C633" s="41" t="s">
        <v>87</v>
      </c>
      <c r="D633" s="41" t="s">
        <v>88</v>
      </c>
      <c r="E633" s="41">
        <v>100</v>
      </c>
      <c r="F633" s="41" t="s">
        <v>570</v>
      </c>
      <c r="G633" s="53">
        <v>2273500</v>
      </c>
      <c r="H633" s="41">
        <v>0.78</v>
      </c>
      <c r="I633" s="41">
        <v>1.24</v>
      </c>
      <c r="R633" s="53">
        <v>61406.93426142</v>
      </c>
      <c r="S633" s="53">
        <v>12750.242700000001</v>
      </c>
      <c r="T633" s="53">
        <v>1668.9308799999999</v>
      </c>
      <c r="AM633" s="53">
        <v>2447000</v>
      </c>
      <c r="AO633" s="53">
        <f t="shared" ref="AO633:AW642" si="108">$G633*H633</f>
        <v>1773330</v>
      </c>
      <c r="AP633" s="53">
        <f t="shared" si="108"/>
        <v>2819140</v>
      </c>
      <c r="AQ633" s="53">
        <f t="shared" si="108"/>
        <v>0</v>
      </c>
      <c r="AR633" s="53">
        <f t="shared" si="108"/>
        <v>0</v>
      </c>
      <c r="AS633" s="53">
        <f t="shared" si="108"/>
        <v>0</v>
      </c>
      <c r="AT633" s="53">
        <f t="shared" si="108"/>
        <v>0</v>
      </c>
      <c r="AU633" s="53">
        <f t="shared" si="108"/>
        <v>0</v>
      </c>
      <c r="AV633" s="53">
        <f t="shared" si="108"/>
        <v>0</v>
      </c>
      <c r="AW633" s="53">
        <f t="shared" si="108"/>
        <v>0</v>
      </c>
      <c r="AX633" s="53">
        <f t="shared" ref="AX633:AX642" si="109">$G633*E633</f>
        <v>227350000</v>
      </c>
      <c r="AY633" s="41" t="s">
        <v>557</v>
      </c>
    </row>
    <row r="634" spans="1:51" x14ac:dyDescent="0.2">
      <c r="A634" s="41" t="s">
        <v>213</v>
      </c>
      <c r="B634" s="41">
        <v>2009</v>
      </c>
      <c r="C634" s="41" t="s">
        <v>87</v>
      </c>
      <c r="D634" s="41" t="s">
        <v>88</v>
      </c>
      <c r="E634" s="41">
        <v>100</v>
      </c>
      <c r="F634" s="41" t="s">
        <v>570</v>
      </c>
      <c r="G634" s="53">
        <v>5344000</v>
      </c>
      <c r="H634" s="46">
        <v>0.82021987275449104</v>
      </c>
      <c r="I634" s="46">
        <v>1.1825430389221556</v>
      </c>
      <c r="R634" s="53">
        <v>162972.00230002153</v>
      </c>
      <c r="S634" s="53">
        <v>33838.728600000002</v>
      </c>
      <c r="T634" s="53">
        <v>3908.6169350000005</v>
      </c>
      <c r="AM634" s="53">
        <v>6130000</v>
      </c>
      <c r="AO634" s="53">
        <f t="shared" si="108"/>
        <v>4383255</v>
      </c>
      <c r="AP634" s="53">
        <f t="shared" si="108"/>
        <v>6319510</v>
      </c>
      <c r="AQ634" s="53">
        <f t="shared" si="108"/>
        <v>0</v>
      </c>
      <c r="AR634" s="53">
        <f t="shared" si="108"/>
        <v>0</v>
      </c>
      <c r="AS634" s="53">
        <f t="shared" si="108"/>
        <v>0</v>
      </c>
      <c r="AT634" s="53">
        <f t="shared" si="108"/>
        <v>0</v>
      </c>
      <c r="AU634" s="53">
        <f t="shared" si="108"/>
        <v>0</v>
      </c>
      <c r="AV634" s="53">
        <f t="shared" si="108"/>
        <v>0</v>
      </c>
      <c r="AW634" s="53">
        <f t="shared" si="108"/>
        <v>0</v>
      </c>
      <c r="AX634" s="53">
        <f t="shared" si="109"/>
        <v>534400000</v>
      </c>
      <c r="AY634" s="41" t="s">
        <v>557</v>
      </c>
    </row>
    <row r="635" spans="1:51" x14ac:dyDescent="0.2">
      <c r="A635" s="41" t="s">
        <v>213</v>
      </c>
      <c r="B635" s="41">
        <v>2010</v>
      </c>
      <c r="C635" s="41" t="s">
        <v>87</v>
      </c>
      <c r="D635" s="41" t="s">
        <v>88</v>
      </c>
      <c r="E635" s="41">
        <v>100</v>
      </c>
      <c r="F635" s="41" t="s">
        <v>570</v>
      </c>
      <c r="G635" s="53">
        <v>6172500</v>
      </c>
      <c r="H635" s="46">
        <v>0.81984690157958684</v>
      </c>
      <c r="I635" s="46">
        <v>1.2153827460510329</v>
      </c>
      <c r="R635" s="53">
        <v>92390</v>
      </c>
      <c r="S635" s="53">
        <v>42052.796549999999</v>
      </c>
      <c r="T635" s="53">
        <v>4838.7577499999998</v>
      </c>
      <c r="AM635" s="53">
        <v>6719000</v>
      </c>
      <c r="AO635" s="53">
        <f t="shared" si="108"/>
        <v>5060505</v>
      </c>
      <c r="AP635" s="53">
        <f t="shared" si="108"/>
        <v>7501950.0000000009</v>
      </c>
      <c r="AQ635" s="53">
        <f t="shared" si="108"/>
        <v>0</v>
      </c>
      <c r="AR635" s="53">
        <f t="shared" si="108"/>
        <v>0</v>
      </c>
      <c r="AS635" s="53">
        <f t="shared" si="108"/>
        <v>0</v>
      </c>
      <c r="AT635" s="53">
        <f t="shared" si="108"/>
        <v>0</v>
      </c>
      <c r="AU635" s="53">
        <f t="shared" si="108"/>
        <v>0</v>
      </c>
      <c r="AV635" s="53">
        <f t="shared" si="108"/>
        <v>0</v>
      </c>
      <c r="AW635" s="53">
        <f t="shared" si="108"/>
        <v>0</v>
      </c>
      <c r="AX635" s="53">
        <f t="shared" si="109"/>
        <v>617250000</v>
      </c>
      <c r="AY635" s="41" t="s">
        <v>557</v>
      </c>
    </row>
    <row r="636" spans="1:51" x14ac:dyDescent="0.2">
      <c r="A636" s="41" t="s">
        <v>213</v>
      </c>
      <c r="B636" s="41">
        <v>2011</v>
      </c>
      <c r="C636" s="41" t="s">
        <v>87</v>
      </c>
      <c r="D636" s="41" t="s">
        <v>88</v>
      </c>
      <c r="E636" s="41">
        <v>100</v>
      </c>
      <c r="F636" s="41" t="s">
        <v>570</v>
      </c>
      <c r="G636" s="53">
        <v>6593000</v>
      </c>
      <c r="H636" s="41">
        <v>0.74</v>
      </c>
      <c r="I636" s="41">
        <v>1.22</v>
      </c>
      <c r="R636" s="53">
        <v>190007</v>
      </c>
      <c r="S636" s="53">
        <v>40494.205999999998</v>
      </c>
      <c r="T636" s="53">
        <v>5228.2489999999998</v>
      </c>
      <c r="AM636" s="53">
        <v>6007000</v>
      </c>
      <c r="AO636" s="53">
        <f t="shared" si="108"/>
        <v>4878820</v>
      </c>
      <c r="AP636" s="53">
        <f t="shared" si="108"/>
        <v>8043460</v>
      </c>
      <c r="AQ636" s="53">
        <f t="shared" si="108"/>
        <v>0</v>
      </c>
      <c r="AR636" s="53">
        <f t="shared" si="108"/>
        <v>0</v>
      </c>
      <c r="AS636" s="53">
        <f t="shared" si="108"/>
        <v>0</v>
      </c>
      <c r="AT636" s="53">
        <f t="shared" si="108"/>
        <v>0</v>
      </c>
      <c r="AU636" s="53">
        <f t="shared" si="108"/>
        <v>0</v>
      </c>
      <c r="AV636" s="53">
        <f t="shared" si="108"/>
        <v>0</v>
      </c>
      <c r="AW636" s="53">
        <f t="shared" si="108"/>
        <v>0</v>
      </c>
      <c r="AX636" s="53">
        <f t="shared" si="109"/>
        <v>659300000</v>
      </c>
      <c r="AY636" s="41" t="s">
        <v>557</v>
      </c>
    </row>
    <row r="637" spans="1:51" x14ac:dyDescent="0.2">
      <c r="A637" s="41" t="s">
        <v>213</v>
      </c>
      <c r="B637" s="41">
        <v>2012</v>
      </c>
      <c r="C637" s="41" t="s">
        <v>87</v>
      </c>
      <c r="D637" s="41" t="s">
        <v>88</v>
      </c>
      <c r="E637" s="41">
        <v>100</v>
      </c>
      <c r="F637" s="41" t="s">
        <v>570</v>
      </c>
      <c r="G637" s="53">
        <v>6513000</v>
      </c>
      <c r="H637" s="41">
        <v>0.68</v>
      </c>
      <c r="I637" s="41">
        <v>1.24</v>
      </c>
      <c r="R637" s="53">
        <v>181000</v>
      </c>
      <c r="S637" s="53">
        <v>37866.582000000002</v>
      </c>
      <c r="T637" s="53">
        <v>5515.9899599999999</v>
      </c>
      <c r="AM637" s="53">
        <v>6296000</v>
      </c>
      <c r="AO637" s="53">
        <f t="shared" si="108"/>
        <v>4428840</v>
      </c>
      <c r="AP637" s="53">
        <f t="shared" si="108"/>
        <v>8076120</v>
      </c>
      <c r="AQ637" s="53">
        <f t="shared" si="108"/>
        <v>0</v>
      </c>
      <c r="AR637" s="53">
        <f t="shared" si="108"/>
        <v>0</v>
      </c>
      <c r="AS637" s="53">
        <f t="shared" si="108"/>
        <v>0</v>
      </c>
      <c r="AT637" s="53">
        <f t="shared" si="108"/>
        <v>0</v>
      </c>
      <c r="AU637" s="53">
        <f t="shared" si="108"/>
        <v>0</v>
      </c>
      <c r="AV637" s="53">
        <f t="shared" si="108"/>
        <v>0</v>
      </c>
      <c r="AW637" s="53">
        <f t="shared" si="108"/>
        <v>0</v>
      </c>
      <c r="AX637" s="53">
        <f t="shared" si="109"/>
        <v>651300000</v>
      </c>
      <c r="AY637" s="41" t="s">
        <v>557</v>
      </c>
    </row>
    <row r="638" spans="1:51" x14ac:dyDescent="0.2">
      <c r="A638" s="41" t="s">
        <v>213</v>
      </c>
      <c r="B638" s="41">
        <v>2013</v>
      </c>
      <c r="C638" s="41" t="s">
        <v>87</v>
      </c>
      <c r="D638" s="41" t="s">
        <v>88</v>
      </c>
      <c r="E638" s="41">
        <v>100</v>
      </c>
      <c r="F638" s="41" t="s">
        <v>570</v>
      </c>
      <c r="G638" s="53">
        <v>6571000</v>
      </c>
      <c r="H638" s="41">
        <v>0.55000000000000004</v>
      </c>
      <c r="I638" s="41">
        <v>1.1299999999999999</v>
      </c>
      <c r="R638" s="53">
        <v>151000</v>
      </c>
      <c r="S638" s="53">
        <v>31189.251500000002</v>
      </c>
      <c r="T638" s="53">
        <v>5153.1096199999993</v>
      </c>
      <c r="AM638" s="53">
        <v>6435000</v>
      </c>
      <c r="AO638" s="53">
        <f t="shared" si="108"/>
        <v>3614050.0000000005</v>
      </c>
      <c r="AP638" s="53">
        <f t="shared" si="108"/>
        <v>7425229.9999999991</v>
      </c>
      <c r="AQ638" s="53">
        <f t="shared" si="108"/>
        <v>0</v>
      </c>
      <c r="AR638" s="53">
        <f t="shared" si="108"/>
        <v>0</v>
      </c>
      <c r="AS638" s="53">
        <f t="shared" si="108"/>
        <v>0</v>
      </c>
      <c r="AT638" s="53">
        <f t="shared" si="108"/>
        <v>0</v>
      </c>
      <c r="AU638" s="53">
        <f t="shared" si="108"/>
        <v>0</v>
      </c>
      <c r="AV638" s="53">
        <f t="shared" si="108"/>
        <v>0</v>
      </c>
      <c r="AW638" s="53">
        <f t="shared" si="108"/>
        <v>0</v>
      </c>
      <c r="AX638" s="53">
        <f t="shared" si="109"/>
        <v>657100000</v>
      </c>
      <c r="AY638" s="41" t="s">
        <v>557</v>
      </c>
    </row>
    <row r="639" spans="1:51" x14ac:dyDescent="0.2">
      <c r="A639" s="41" t="s">
        <v>213</v>
      </c>
      <c r="B639" s="41">
        <v>2014</v>
      </c>
      <c r="C639" s="41" t="s">
        <v>87</v>
      </c>
      <c r="D639" s="41" t="s">
        <v>88</v>
      </c>
      <c r="E639" s="41">
        <v>100</v>
      </c>
      <c r="F639" s="41" t="s">
        <v>570</v>
      </c>
      <c r="G639" s="53">
        <v>6797000</v>
      </c>
      <c r="H639" s="41">
        <v>0.57999999999999996</v>
      </c>
      <c r="I639" s="41">
        <v>1.06</v>
      </c>
      <c r="R639" s="53">
        <v>164000</v>
      </c>
      <c r="S639" s="53">
        <v>33706.322999999997</v>
      </c>
      <c r="T639" s="53">
        <v>4899.2776000000003</v>
      </c>
      <c r="AM639" s="53">
        <v>6571000</v>
      </c>
      <c r="AO639" s="53">
        <f t="shared" si="108"/>
        <v>3942259.9999999995</v>
      </c>
      <c r="AP639" s="53">
        <f t="shared" si="108"/>
        <v>7204820</v>
      </c>
      <c r="AQ639" s="53">
        <f t="shared" si="108"/>
        <v>0</v>
      </c>
      <c r="AR639" s="53">
        <f t="shared" si="108"/>
        <v>0</v>
      </c>
      <c r="AS639" s="53">
        <f t="shared" si="108"/>
        <v>0</v>
      </c>
      <c r="AT639" s="53">
        <f t="shared" si="108"/>
        <v>0</v>
      </c>
      <c r="AU639" s="53">
        <f t="shared" si="108"/>
        <v>0</v>
      </c>
      <c r="AV639" s="53">
        <f t="shared" si="108"/>
        <v>0</v>
      </c>
      <c r="AW639" s="53">
        <f t="shared" si="108"/>
        <v>0</v>
      </c>
      <c r="AX639" s="53">
        <f t="shared" si="109"/>
        <v>679700000</v>
      </c>
      <c r="AY639" s="41" t="s">
        <v>557</v>
      </c>
    </row>
    <row r="640" spans="1:51" x14ac:dyDescent="0.2">
      <c r="A640" s="41" t="s">
        <v>213</v>
      </c>
      <c r="B640" s="41">
        <v>2015</v>
      </c>
      <c r="C640" s="41" t="s">
        <v>87</v>
      </c>
      <c r="D640" s="41" t="s">
        <v>88</v>
      </c>
      <c r="E640" s="41">
        <v>100</v>
      </c>
      <c r="F640" s="41" t="s">
        <v>570</v>
      </c>
      <c r="G640" s="53">
        <v>6710000</v>
      </c>
      <c r="H640" s="41">
        <v>0.52</v>
      </c>
      <c r="I640" s="41">
        <v>1.07</v>
      </c>
      <c r="R640" s="53">
        <v>145000</v>
      </c>
      <c r="S640" s="53">
        <v>30042.012000000002</v>
      </c>
      <c r="T640" s="53">
        <v>5162.2043000000003</v>
      </c>
      <c r="AM640" s="53">
        <v>6120000</v>
      </c>
      <c r="AO640" s="53">
        <f t="shared" si="108"/>
        <v>3489200</v>
      </c>
      <c r="AP640" s="53">
        <f t="shared" si="108"/>
        <v>7179700</v>
      </c>
      <c r="AQ640" s="53">
        <f t="shared" si="108"/>
        <v>0</v>
      </c>
      <c r="AR640" s="53">
        <f t="shared" si="108"/>
        <v>0</v>
      </c>
      <c r="AS640" s="53">
        <f t="shared" si="108"/>
        <v>0</v>
      </c>
      <c r="AT640" s="53">
        <f t="shared" si="108"/>
        <v>0</v>
      </c>
      <c r="AU640" s="53">
        <f t="shared" si="108"/>
        <v>0</v>
      </c>
      <c r="AV640" s="53">
        <f t="shared" si="108"/>
        <v>0</v>
      </c>
      <c r="AW640" s="53">
        <f t="shared" si="108"/>
        <v>0</v>
      </c>
      <c r="AX640" s="53">
        <f t="shared" si="109"/>
        <v>671000000</v>
      </c>
      <c r="AY640" s="41" t="s">
        <v>557</v>
      </c>
    </row>
    <row r="641" spans="1:51" x14ac:dyDescent="0.2">
      <c r="A641" s="41" t="s">
        <v>213</v>
      </c>
      <c r="B641" s="41">
        <v>2016</v>
      </c>
      <c r="C641" s="41" t="s">
        <v>87</v>
      </c>
      <c r="D641" s="41" t="s">
        <v>88</v>
      </c>
      <c r="E641" s="41">
        <v>100</v>
      </c>
      <c r="F641" s="41" t="s">
        <v>570</v>
      </c>
      <c r="G641" s="53">
        <v>6977000</v>
      </c>
      <c r="H641" s="41">
        <v>0.53</v>
      </c>
      <c r="I641" s="41">
        <v>1.03</v>
      </c>
      <c r="R641" s="53">
        <v>156000</v>
      </c>
      <c r="S641" s="53">
        <v>32023.034599999999</v>
      </c>
      <c r="T641" s="53">
        <v>4850.7592500000001</v>
      </c>
      <c r="AM641" s="53">
        <v>7391000</v>
      </c>
      <c r="AO641" s="53">
        <f t="shared" si="108"/>
        <v>3697810</v>
      </c>
      <c r="AP641" s="53">
        <f t="shared" si="108"/>
        <v>7186310</v>
      </c>
      <c r="AQ641" s="53">
        <f t="shared" si="108"/>
        <v>0</v>
      </c>
      <c r="AR641" s="53">
        <f t="shared" si="108"/>
        <v>0</v>
      </c>
      <c r="AS641" s="53">
        <f t="shared" si="108"/>
        <v>0</v>
      </c>
      <c r="AT641" s="53">
        <f t="shared" si="108"/>
        <v>0</v>
      </c>
      <c r="AU641" s="53">
        <f t="shared" si="108"/>
        <v>0</v>
      </c>
      <c r="AV641" s="53">
        <f t="shared" si="108"/>
        <v>0</v>
      </c>
      <c r="AW641" s="53">
        <f t="shared" si="108"/>
        <v>0</v>
      </c>
      <c r="AX641" s="53">
        <f t="shared" si="109"/>
        <v>697700000</v>
      </c>
      <c r="AY641" s="41" t="s">
        <v>557</v>
      </c>
    </row>
    <row r="642" spans="1:51" x14ac:dyDescent="0.2">
      <c r="A642" s="41" t="s">
        <v>213</v>
      </c>
      <c r="B642" s="41" t="s">
        <v>605</v>
      </c>
      <c r="C642" s="41" t="s">
        <v>87</v>
      </c>
      <c r="D642" s="41" t="s">
        <v>88</v>
      </c>
      <c r="E642" s="41">
        <v>100</v>
      </c>
      <c r="F642" s="41" t="s">
        <v>570</v>
      </c>
      <c r="G642" s="53">
        <f>3447000+1690000</f>
        <v>5137000</v>
      </c>
      <c r="H642" s="46">
        <f>(0.5*3447000+0.58*1690000)/G642</f>
        <v>0.52631886314969822</v>
      </c>
      <c r="I642" s="46">
        <f>(0.95*3447000+1.31*1690000)/G642</f>
        <v>1.0684348841736422</v>
      </c>
      <c r="R642" s="53">
        <f>(SUM(R637:R641)/SUM(S637:S641))*S642</f>
        <v>110647.70048263954</v>
      </c>
      <c r="S642" s="53">
        <f>14431+8452</f>
        <v>22883</v>
      </c>
      <c r="T642" s="53">
        <f>(69900+47800)*31.1/1000</f>
        <v>3660.47</v>
      </c>
      <c r="AM642" s="53">
        <f>3780000+2520000</f>
        <v>6300000</v>
      </c>
      <c r="AO642" s="53">
        <f t="shared" si="108"/>
        <v>2703700</v>
      </c>
      <c r="AP642" s="53">
        <f t="shared" si="108"/>
        <v>5488550</v>
      </c>
      <c r="AQ642" s="53">
        <f t="shared" si="108"/>
        <v>0</v>
      </c>
      <c r="AR642" s="53">
        <f t="shared" si="108"/>
        <v>0</v>
      </c>
      <c r="AS642" s="53">
        <f t="shared" si="108"/>
        <v>0</v>
      </c>
      <c r="AT642" s="53">
        <f t="shared" si="108"/>
        <v>0</v>
      </c>
      <c r="AU642" s="53">
        <f t="shared" si="108"/>
        <v>0</v>
      </c>
      <c r="AV642" s="53">
        <f t="shared" si="108"/>
        <v>0</v>
      </c>
      <c r="AW642" s="53">
        <f t="shared" si="108"/>
        <v>0</v>
      </c>
      <c r="AX642" s="53">
        <f t="shared" si="109"/>
        <v>513700000</v>
      </c>
      <c r="AY642" s="41" t="s">
        <v>557</v>
      </c>
    </row>
    <row r="643" spans="1:51" x14ac:dyDescent="0.2">
      <c r="A643" s="41" t="s">
        <v>213</v>
      </c>
      <c r="B643" s="60" t="s">
        <v>559</v>
      </c>
      <c r="C643" s="60" t="s">
        <v>87</v>
      </c>
      <c r="D643" s="60" t="s">
        <v>88</v>
      </c>
      <c r="E643" s="60">
        <v>100</v>
      </c>
      <c r="F643" s="60" t="s">
        <v>570</v>
      </c>
      <c r="G643" s="79">
        <f>SUM(G633:G642)</f>
        <v>59088000</v>
      </c>
      <c r="H643" s="80">
        <f>AO643/G643</f>
        <v>0.64263082182507447</v>
      </c>
      <c r="I643" s="80">
        <f>AP643/G643</f>
        <v>1.1380447806661251</v>
      </c>
      <c r="R643" s="79">
        <f>SUM(R633:R642)</f>
        <v>1414423.637044081</v>
      </c>
      <c r="S643" s="79">
        <f>SUM(S633:S642)</f>
        <v>316846.17695000005</v>
      </c>
      <c r="T643" s="79">
        <f>SUM(T633:T642)</f>
        <v>44886.365295000003</v>
      </c>
      <c r="AM643" s="79">
        <f>SUM(AM633:AM642)</f>
        <v>60416000</v>
      </c>
      <c r="AO643" s="79">
        <f>SUM(AO633:AO642)</f>
        <v>37971770</v>
      </c>
      <c r="AP643" s="79">
        <f t="shared" ref="AP643:AX643" si="110">SUM(AP633:AP642)</f>
        <v>67244790</v>
      </c>
      <c r="AQ643" s="79">
        <f t="shared" si="110"/>
        <v>0</v>
      </c>
      <c r="AR643" s="79">
        <f t="shared" si="110"/>
        <v>0</v>
      </c>
      <c r="AS643" s="79">
        <f t="shared" si="110"/>
        <v>0</v>
      </c>
      <c r="AT643" s="79">
        <f t="shared" si="110"/>
        <v>0</v>
      </c>
      <c r="AU643" s="79">
        <f t="shared" si="110"/>
        <v>0</v>
      </c>
      <c r="AV643" s="79">
        <f t="shared" si="110"/>
        <v>0</v>
      </c>
      <c r="AW643" s="79">
        <f t="shared" si="110"/>
        <v>0</v>
      </c>
      <c r="AX643" s="79">
        <f t="shared" si="110"/>
        <v>5908800000</v>
      </c>
      <c r="AY643" s="41" t="s">
        <v>557</v>
      </c>
    </row>
    <row r="644" spans="1:51" x14ac:dyDescent="0.2">
      <c r="A644" s="41" t="s">
        <v>213</v>
      </c>
      <c r="B644" s="43" t="s">
        <v>560</v>
      </c>
      <c r="G644" s="53">
        <f>STDEV(G633:G642)</f>
        <v>1415909.056244629</v>
      </c>
      <c r="H644" s="46">
        <f>STDEV(H633:H642)</f>
        <v>0.12693158084086315</v>
      </c>
      <c r="I644" s="46">
        <f>STDEV(I633:I642)</f>
        <v>8.3130674819493072E-2</v>
      </c>
      <c r="R644" s="53">
        <f>STDEV(R633:R642)</f>
        <v>40786.365337859184</v>
      </c>
      <c r="S644" s="53">
        <f>STDEV(S633:S642)</f>
        <v>8635.1300917348417</v>
      </c>
      <c r="T644" s="53">
        <f>STDEV(T633:T642)</f>
        <v>1149.5441613513365</v>
      </c>
      <c r="AM644" s="53">
        <f>STDEV(AM633:AM642)</f>
        <v>1324243.0290547125</v>
      </c>
      <c r="AY644" s="41" t="s">
        <v>557</v>
      </c>
    </row>
    <row r="645" spans="1:51" x14ac:dyDescent="0.2">
      <c r="A645" s="41" t="s">
        <v>213</v>
      </c>
      <c r="B645" s="81" t="s">
        <v>249</v>
      </c>
      <c r="G645" s="41">
        <f>COUNT(G633:G642)</f>
        <v>10</v>
      </c>
      <c r="H645" s="41">
        <f>COUNT(H633:H642)</f>
        <v>10</v>
      </c>
      <c r="I645" s="41">
        <f>COUNT(I633:I642)</f>
        <v>10</v>
      </c>
      <c r="R645" s="41">
        <f>COUNT(R633:R642)</f>
        <v>10</v>
      </c>
      <c r="S645" s="41">
        <f>COUNT(S633:S642)</f>
        <v>10</v>
      </c>
      <c r="T645" s="41">
        <f>COUNT(T633:T642)</f>
        <v>10</v>
      </c>
      <c r="AM645" s="41">
        <f>COUNT(AM633:AM642)</f>
        <v>10</v>
      </c>
      <c r="AY645" s="41" t="s">
        <v>557</v>
      </c>
    </row>
    <row r="646" spans="1:51" x14ac:dyDescent="0.2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  <c r="AA646" s="82"/>
      <c r="AB646" s="82"/>
      <c r="AC646" s="82"/>
      <c r="AD646" s="82"/>
      <c r="AE646" s="82"/>
      <c r="AF646" s="82"/>
      <c r="AG646" s="82"/>
      <c r="AH646" s="82"/>
      <c r="AI646" s="82"/>
      <c r="AJ646" s="82"/>
      <c r="AK646" s="82"/>
      <c r="AL646" s="82"/>
      <c r="AM646" s="82"/>
      <c r="AN646" s="82"/>
      <c r="AO646" s="82"/>
      <c r="AP646" s="82"/>
      <c r="AQ646" s="82"/>
      <c r="AR646" s="82"/>
      <c r="AS646" s="82"/>
      <c r="AT646" s="82"/>
      <c r="AU646" s="82"/>
      <c r="AV646" s="82"/>
      <c r="AW646" s="82"/>
      <c r="AX646" s="82"/>
      <c r="AY646" s="41" t="s">
        <v>557</v>
      </c>
    </row>
    <row r="647" spans="1:51" x14ac:dyDescent="0.2">
      <c r="A647" s="41" t="s">
        <v>122</v>
      </c>
      <c r="B647" s="41">
        <v>2006</v>
      </c>
      <c r="C647" s="41" t="s">
        <v>87</v>
      </c>
      <c r="D647" s="41" t="s">
        <v>88</v>
      </c>
      <c r="E647" s="41">
        <v>100</v>
      </c>
      <c r="F647" s="41" t="s">
        <v>556</v>
      </c>
      <c r="G647" s="53">
        <v>825586</v>
      </c>
      <c r="H647" s="56">
        <f>100*S647/G647/0.5</f>
        <v>0.49448188554937705</v>
      </c>
      <c r="I647" s="56">
        <f>1000*T647/G647/0.5</f>
        <v>0.59375788833628473</v>
      </c>
      <c r="J647" s="58">
        <v>1.6</v>
      </c>
      <c r="R647" s="53">
        <v>10278</v>
      </c>
      <c r="S647" s="53">
        <f>4500000/2204.6</f>
        <v>2041.1866098158398</v>
      </c>
      <c r="T647" s="53">
        <f>7881*31.1/1000</f>
        <v>245.09909999999999</v>
      </c>
      <c r="U647" s="76">
        <f t="shared" ref="U647:U652" si="111">0.582*G647*J647/1000</f>
        <v>768.78568319999999</v>
      </c>
      <c r="AH647" s="93">
        <f t="shared" ref="AH647:AH653" si="112">G647-R647</f>
        <v>815308</v>
      </c>
      <c r="AM647" s="76">
        <f t="shared" ref="AM647:AM653" si="113">1.25*G647</f>
        <v>1031982.5</v>
      </c>
      <c r="AO647" s="53">
        <f t="shared" ref="AO647:AW655" si="114">$G647*H647</f>
        <v>408237.32196316798</v>
      </c>
      <c r="AP647" s="53">
        <f t="shared" si="114"/>
        <v>490198.19999999995</v>
      </c>
      <c r="AQ647" s="53">
        <f t="shared" si="114"/>
        <v>1320937.6000000001</v>
      </c>
      <c r="AR647" s="53">
        <f t="shared" si="114"/>
        <v>0</v>
      </c>
      <c r="AS647" s="53">
        <f t="shared" si="114"/>
        <v>0</v>
      </c>
      <c r="AT647" s="53">
        <f t="shared" si="114"/>
        <v>0</v>
      </c>
      <c r="AU647" s="53">
        <f t="shared" si="114"/>
        <v>0</v>
      </c>
      <c r="AV647" s="53">
        <f t="shared" si="114"/>
        <v>0</v>
      </c>
      <c r="AW647" s="53">
        <f t="shared" si="114"/>
        <v>0</v>
      </c>
      <c r="AX647" s="53">
        <f t="shared" ref="AX647:AX655" si="115">$G647*E647</f>
        <v>82558600</v>
      </c>
      <c r="AY647" s="41" t="s">
        <v>557</v>
      </c>
    </row>
    <row r="648" spans="1:51" x14ac:dyDescent="0.2">
      <c r="A648" s="41" t="s">
        <v>122</v>
      </c>
      <c r="B648" s="41">
        <v>2007</v>
      </c>
      <c r="C648" s="41" t="s">
        <v>87</v>
      </c>
      <c r="D648" s="41" t="s">
        <v>88</v>
      </c>
      <c r="E648" s="41">
        <v>100</v>
      </c>
      <c r="F648" s="41" t="s">
        <v>556</v>
      </c>
      <c r="G648" s="53">
        <v>12693868</v>
      </c>
      <c r="H648" s="46">
        <v>0.5</v>
      </c>
      <c r="I648" s="46">
        <v>0.6</v>
      </c>
      <c r="J648" s="58">
        <v>1.6</v>
      </c>
      <c r="R648" s="53">
        <v>201339</v>
      </c>
      <c r="S648" s="53">
        <f>122900000/2204.6</f>
        <v>55747.074299192602</v>
      </c>
      <c r="T648" s="53">
        <f>178125*31.1/1000</f>
        <v>5539.6875</v>
      </c>
      <c r="U648" s="76">
        <f t="shared" si="111"/>
        <v>11820.529881599999</v>
      </c>
      <c r="AH648" s="93">
        <f t="shared" si="112"/>
        <v>12492529</v>
      </c>
      <c r="AM648" s="76">
        <f t="shared" si="113"/>
        <v>15867335</v>
      </c>
      <c r="AO648" s="53">
        <f t="shared" si="114"/>
        <v>6346934</v>
      </c>
      <c r="AP648" s="53">
        <f t="shared" si="114"/>
        <v>7616320.7999999998</v>
      </c>
      <c r="AQ648" s="53">
        <f t="shared" si="114"/>
        <v>20310188.800000001</v>
      </c>
      <c r="AR648" s="53">
        <f t="shared" si="114"/>
        <v>0</v>
      </c>
      <c r="AS648" s="53">
        <f t="shared" si="114"/>
        <v>0</v>
      </c>
      <c r="AT648" s="53">
        <f t="shared" si="114"/>
        <v>0</v>
      </c>
      <c r="AU648" s="53">
        <f t="shared" si="114"/>
        <v>0</v>
      </c>
      <c r="AV648" s="53">
        <f t="shared" si="114"/>
        <v>0</v>
      </c>
      <c r="AW648" s="53">
        <f t="shared" si="114"/>
        <v>0</v>
      </c>
      <c r="AX648" s="53">
        <f t="shared" si="115"/>
        <v>1269386800</v>
      </c>
      <c r="AY648" s="41" t="s">
        <v>557</v>
      </c>
    </row>
    <row r="649" spans="1:51" x14ac:dyDescent="0.2">
      <c r="A649" s="41" t="s">
        <v>122</v>
      </c>
      <c r="B649" s="41">
        <v>2008</v>
      </c>
      <c r="C649" s="41" t="s">
        <v>87</v>
      </c>
      <c r="D649" s="41" t="s">
        <v>88</v>
      </c>
      <c r="E649" s="41">
        <v>100</v>
      </c>
      <c r="F649" s="41" t="s">
        <v>556</v>
      </c>
      <c r="G649" s="53">
        <v>14942848</v>
      </c>
      <c r="H649" s="41">
        <v>0.47</v>
      </c>
      <c r="I649" s="41">
        <v>0.44</v>
      </c>
      <c r="J649" s="58">
        <v>1.4</v>
      </c>
      <c r="R649" s="53">
        <v>244301</v>
      </c>
      <c r="S649" s="53">
        <f>139300000/2204.6</f>
        <v>63186.065499410324</v>
      </c>
      <c r="T649" s="53">
        <f>150037*31.1/1000</f>
        <v>4666.1507000000001</v>
      </c>
      <c r="U649" s="76">
        <f t="shared" si="111"/>
        <v>12175.432550400001</v>
      </c>
      <c r="AH649" s="93">
        <f t="shared" si="112"/>
        <v>14698547</v>
      </c>
      <c r="AM649" s="76">
        <f t="shared" si="113"/>
        <v>18678560</v>
      </c>
      <c r="AO649" s="53">
        <f t="shared" si="114"/>
        <v>7023138.5599999996</v>
      </c>
      <c r="AP649" s="53">
        <f t="shared" si="114"/>
        <v>6574853.1200000001</v>
      </c>
      <c r="AQ649" s="53">
        <f t="shared" si="114"/>
        <v>20919987.199999999</v>
      </c>
      <c r="AR649" s="53">
        <f t="shared" si="114"/>
        <v>0</v>
      </c>
      <c r="AS649" s="53">
        <f t="shared" si="114"/>
        <v>0</v>
      </c>
      <c r="AT649" s="53">
        <f t="shared" si="114"/>
        <v>0</v>
      </c>
      <c r="AU649" s="53">
        <f t="shared" si="114"/>
        <v>0</v>
      </c>
      <c r="AV649" s="53">
        <f t="shared" si="114"/>
        <v>0</v>
      </c>
      <c r="AW649" s="53">
        <f t="shared" si="114"/>
        <v>0</v>
      </c>
      <c r="AX649" s="53">
        <f t="shared" si="115"/>
        <v>1494284800</v>
      </c>
      <c r="AY649" s="41" t="s">
        <v>557</v>
      </c>
    </row>
    <row r="650" spans="1:51" x14ac:dyDescent="0.2">
      <c r="A650" s="41" t="s">
        <v>122</v>
      </c>
      <c r="B650" s="41">
        <v>2009</v>
      </c>
      <c r="C650" s="41" t="s">
        <v>87</v>
      </c>
      <c r="D650" s="41" t="s">
        <v>88</v>
      </c>
      <c r="E650" s="41">
        <v>100</v>
      </c>
      <c r="F650" s="41" t="s">
        <v>556</v>
      </c>
      <c r="G650" s="53">
        <v>17307429</v>
      </c>
      <c r="H650" s="41">
        <v>0.43</v>
      </c>
      <c r="I650" s="41">
        <v>0.41</v>
      </c>
      <c r="J650" s="58">
        <v>1.2</v>
      </c>
      <c r="R650" s="53">
        <v>248940</v>
      </c>
      <c r="S650" s="53">
        <f>144000000/2204.6</f>
        <v>65317.971514106874</v>
      </c>
      <c r="T650" s="53">
        <f>156251*31.1/1000</f>
        <v>4859.4061000000002</v>
      </c>
      <c r="U650" s="76">
        <f t="shared" si="111"/>
        <v>12087.5084136</v>
      </c>
      <c r="AH650" s="93">
        <f t="shared" si="112"/>
        <v>17058489</v>
      </c>
      <c r="AM650" s="76">
        <f t="shared" si="113"/>
        <v>21634286.25</v>
      </c>
      <c r="AO650" s="53">
        <f t="shared" si="114"/>
        <v>7442194.4699999997</v>
      </c>
      <c r="AP650" s="53">
        <f t="shared" si="114"/>
        <v>7096045.8899999997</v>
      </c>
      <c r="AQ650" s="53">
        <f t="shared" si="114"/>
        <v>20768914.800000001</v>
      </c>
      <c r="AR650" s="53">
        <f t="shared" si="114"/>
        <v>0</v>
      </c>
      <c r="AS650" s="53">
        <f t="shared" si="114"/>
        <v>0</v>
      </c>
      <c r="AT650" s="53">
        <f t="shared" si="114"/>
        <v>0</v>
      </c>
      <c r="AU650" s="53">
        <f t="shared" si="114"/>
        <v>0</v>
      </c>
      <c r="AV650" s="53">
        <f t="shared" si="114"/>
        <v>0</v>
      </c>
      <c r="AW650" s="53">
        <f t="shared" si="114"/>
        <v>0</v>
      </c>
      <c r="AX650" s="53">
        <f t="shared" si="115"/>
        <v>1730742900</v>
      </c>
      <c r="AY650" s="41" t="s">
        <v>557</v>
      </c>
    </row>
    <row r="651" spans="1:51" x14ac:dyDescent="0.2">
      <c r="A651" s="41" t="s">
        <v>122</v>
      </c>
      <c r="B651" s="41">
        <v>2010</v>
      </c>
      <c r="C651" s="41" t="s">
        <v>87</v>
      </c>
      <c r="D651" s="41" t="s">
        <v>88</v>
      </c>
      <c r="E651" s="41">
        <v>100</v>
      </c>
      <c r="F651" s="41" t="s">
        <v>556</v>
      </c>
      <c r="G651" s="53">
        <v>19195578</v>
      </c>
      <c r="H651" s="41">
        <v>0.41</v>
      </c>
      <c r="I651" s="41">
        <v>0.35</v>
      </c>
      <c r="J651" s="58">
        <v>1.2</v>
      </c>
      <c r="R651" s="53">
        <v>264195</v>
      </c>
      <c r="S651" s="53">
        <f>149400000/2204.6</f>
        <v>67767.395445885879</v>
      </c>
      <c r="T651" s="53">
        <f>135613*31.1/1000</f>
        <v>4217.5643</v>
      </c>
      <c r="U651" s="76">
        <f t="shared" si="111"/>
        <v>13406.191675199998</v>
      </c>
      <c r="AH651" s="93">
        <f t="shared" si="112"/>
        <v>18931383</v>
      </c>
      <c r="AM651" s="76">
        <f t="shared" si="113"/>
        <v>23994472.5</v>
      </c>
      <c r="AO651" s="53">
        <f t="shared" si="114"/>
        <v>7870186.9799999995</v>
      </c>
      <c r="AP651" s="53">
        <f t="shared" si="114"/>
        <v>6718452.2999999998</v>
      </c>
      <c r="AQ651" s="53">
        <f t="shared" si="114"/>
        <v>23034693.599999998</v>
      </c>
      <c r="AR651" s="53">
        <f t="shared" si="114"/>
        <v>0</v>
      </c>
      <c r="AS651" s="53">
        <f t="shared" si="114"/>
        <v>0</v>
      </c>
      <c r="AT651" s="53">
        <f t="shared" si="114"/>
        <v>0</v>
      </c>
      <c r="AU651" s="53">
        <f t="shared" si="114"/>
        <v>0</v>
      </c>
      <c r="AV651" s="53">
        <f t="shared" si="114"/>
        <v>0</v>
      </c>
      <c r="AW651" s="53">
        <f t="shared" si="114"/>
        <v>0</v>
      </c>
      <c r="AX651" s="53">
        <f t="shared" si="115"/>
        <v>1919557800</v>
      </c>
      <c r="AY651" s="41" t="s">
        <v>557</v>
      </c>
    </row>
    <row r="652" spans="1:51" x14ac:dyDescent="0.2">
      <c r="A652" s="41" t="s">
        <v>122</v>
      </c>
      <c r="B652" s="41">
        <v>2011</v>
      </c>
      <c r="C652" s="41" t="s">
        <v>87</v>
      </c>
      <c r="D652" s="41" t="s">
        <v>88</v>
      </c>
      <c r="E652" s="41">
        <v>100</v>
      </c>
      <c r="F652" s="41" t="s">
        <v>556</v>
      </c>
      <c r="G652" s="53">
        <v>20581385</v>
      </c>
      <c r="H652" s="41">
        <v>0.42</v>
      </c>
      <c r="I652" s="41">
        <v>0.32</v>
      </c>
      <c r="J652" s="58">
        <v>1</v>
      </c>
      <c r="R652" s="53">
        <v>297294</v>
      </c>
      <c r="S652" s="53">
        <f>166100000/2204.6</f>
        <v>75342.465753424665</v>
      </c>
      <c r="T652" s="53">
        <f>135347*31.1/1000</f>
        <v>4209.2916999999998</v>
      </c>
      <c r="U652" s="76">
        <f t="shared" si="111"/>
        <v>11978.366069999998</v>
      </c>
      <c r="AH652" s="93">
        <f t="shared" si="112"/>
        <v>20284091</v>
      </c>
      <c r="AM652" s="76">
        <f t="shared" si="113"/>
        <v>25726731.25</v>
      </c>
      <c r="AO652" s="53">
        <f t="shared" si="114"/>
        <v>8644181.6999999993</v>
      </c>
      <c r="AP652" s="53">
        <f t="shared" si="114"/>
        <v>6586043.2000000002</v>
      </c>
      <c r="AQ652" s="53">
        <f t="shared" si="114"/>
        <v>20581385</v>
      </c>
      <c r="AR652" s="53">
        <f t="shared" si="114"/>
        <v>0</v>
      </c>
      <c r="AS652" s="53">
        <f t="shared" si="114"/>
        <v>0</v>
      </c>
      <c r="AT652" s="53">
        <f t="shared" si="114"/>
        <v>0</v>
      </c>
      <c r="AU652" s="53">
        <f t="shared" si="114"/>
        <v>0</v>
      </c>
      <c r="AV652" s="53">
        <f t="shared" si="114"/>
        <v>0</v>
      </c>
      <c r="AW652" s="53">
        <f t="shared" si="114"/>
        <v>0</v>
      </c>
      <c r="AX652" s="53">
        <f t="shared" si="115"/>
        <v>2058138500</v>
      </c>
      <c r="AY652" s="41" t="s">
        <v>557</v>
      </c>
    </row>
    <row r="653" spans="1:51" x14ac:dyDescent="0.2">
      <c r="A653" s="41" t="s">
        <v>122</v>
      </c>
      <c r="B653" s="41">
        <v>2012</v>
      </c>
      <c r="C653" s="41" t="s">
        <v>87</v>
      </c>
      <c r="D653" s="41" t="s">
        <v>88</v>
      </c>
      <c r="E653" s="41">
        <v>100</v>
      </c>
      <c r="F653" s="41" t="s">
        <v>556</v>
      </c>
      <c r="G653" s="53">
        <v>21591482</v>
      </c>
      <c r="H653" s="41">
        <v>0.39</v>
      </c>
      <c r="I653" s="41">
        <v>0.28999999999999998</v>
      </c>
      <c r="J653" s="56">
        <f>1000*U653/(1000*T653/(G653*I653))/G653</f>
        <v>1.0319957377460196</v>
      </c>
      <c r="R653" s="53">
        <v>268135</v>
      </c>
      <c r="S653" s="53">
        <f>150600000/2204.6</f>
        <v>68311.711875170105</v>
      </c>
      <c r="T653" s="53">
        <f>119655*31.1/1000</f>
        <v>3721.2705000000001</v>
      </c>
      <c r="U653" s="53">
        <f>425805*31.1/1000</f>
        <v>13242.5355</v>
      </c>
      <c r="AH653" s="93">
        <f t="shared" si="112"/>
        <v>21323347</v>
      </c>
      <c r="AM653" s="76">
        <f t="shared" si="113"/>
        <v>26989352.5</v>
      </c>
      <c r="AO653" s="53">
        <f t="shared" si="114"/>
        <v>8420677.9800000004</v>
      </c>
      <c r="AP653" s="53">
        <f t="shared" si="114"/>
        <v>6261529.7799999993</v>
      </c>
      <c r="AQ653" s="53">
        <f t="shared" si="114"/>
        <v>22282317.395619903</v>
      </c>
      <c r="AR653" s="53">
        <f t="shared" si="114"/>
        <v>0</v>
      </c>
      <c r="AS653" s="53">
        <f t="shared" si="114"/>
        <v>0</v>
      </c>
      <c r="AT653" s="53">
        <f t="shared" si="114"/>
        <v>0</v>
      </c>
      <c r="AU653" s="53">
        <f t="shared" si="114"/>
        <v>0</v>
      </c>
      <c r="AV653" s="53">
        <f t="shared" si="114"/>
        <v>0</v>
      </c>
      <c r="AW653" s="53">
        <f t="shared" si="114"/>
        <v>0</v>
      </c>
      <c r="AX653" s="53">
        <f t="shared" si="115"/>
        <v>2159148200</v>
      </c>
      <c r="AY653" s="41" t="s">
        <v>557</v>
      </c>
    </row>
    <row r="654" spans="1:51" x14ac:dyDescent="0.2">
      <c r="A654" s="41" t="s">
        <v>122</v>
      </c>
      <c r="B654" s="41">
        <v>2013</v>
      </c>
      <c r="C654" s="41" t="s">
        <v>87</v>
      </c>
      <c r="D654" s="41" t="s">
        <v>88</v>
      </c>
      <c r="E654" s="41">
        <v>100</v>
      </c>
      <c r="F654" s="41" t="s">
        <v>556</v>
      </c>
      <c r="G654" s="53">
        <v>21347439</v>
      </c>
      <c r="H654" s="41">
        <v>0.35</v>
      </c>
      <c r="I654" s="41">
        <v>0.26</v>
      </c>
      <c r="J654" s="56">
        <f>1000*U654/(1000*T654/(G654*I654))/G654</f>
        <v>0.81446568552105769</v>
      </c>
      <c r="R654" s="53">
        <v>239811</v>
      </c>
      <c r="S654" s="53">
        <f>130200000/2204.6</f>
        <v>59058.332577338297</v>
      </c>
      <c r="T654" s="53">
        <f>104096*31.1/1000</f>
        <v>3237.3856000000001</v>
      </c>
      <c r="U654" s="53">
        <f>326087*31.1/1000</f>
        <v>10141.305700000001</v>
      </c>
      <c r="AH654" s="93">
        <f>G654-R654</f>
        <v>21107628</v>
      </c>
      <c r="AM654" s="76">
        <f>1.25*G654</f>
        <v>26684298.75</v>
      </c>
      <c r="AO654" s="53">
        <f t="shared" si="114"/>
        <v>7471603.6499999994</v>
      </c>
      <c r="AP654" s="53">
        <f t="shared" si="114"/>
        <v>5550334.1400000006</v>
      </c>
      <c r="AQ654" s="53">
        <f t="shared" si="114"/>
        <v>17386756.539253961</v>
      </c>
      <c r="AR654" s="53">
        <f t="shared" si="114"/>
        <v>0</v>
      </c>
      <c r="AS654" s="53">
        <f t="shared" si="114"/>
        <v>0</v>
      </c>
      <c r="AT654" s="53">
        <f t="shared" si="114"/>
        <v>0</v>
      </c>
      <c r="AU654" s="53">
        <f t="shared" si="114"/>
        <v>0</v>
      </c>
      <c r="AV654" s="53">
        <f t="shared" si="114"/>
        <v>0</v>
      </c>
      <c r="AW654" s="53">
        <f t="shared" si="114"/>
        <v>0</v>
      </c>
      <c r="AX654" s="53">
        <f t="shared" si="115"/>
        <v>2134743900</v>
      </c>
      <c r="AY654" s="41" t="s">
        <v>557</v>
      </c>
    </row>
    <row r="655" spans="1:51" x14ac:dyDescent="0.2">
      <c r="A655" s="41" t="s">
        <v>122</v>
      </c>
      <c r="B655" s="41">
        <v>2014</v>
      </c>
      <c r="C655" s="41" t="s">
        <v>87</v>
      </c>
      <c r="D655" s="41" t="s">
        <v>88</v>
      </c>
      <c r="E655" s="41">
        <v>100</v>
      </c>
      <c r="F655" s="41" t="s">
        <v>556</v>
      </c>
      <c r="G655" s="53">
        <v>20360659</v>
      </c>
      <c r="H655" s="41">
        <v>0.37</v>
      </c>
      <c r="I655" s="41">
        <v>0.28000000000000003</v>
      </c>
      <c r="J655" s="56">
        <f>1000*U655/(1000*T655/(G655*I655))/G655</f>
        <v>0.77384570997794266</v>
      </c>
      <c r="R655" s="53">
        <v>245779</v>
      </c>
      <c r="S655" s="53">
        <f>133500000/2204.6</f>
        <v>60555.202757869913</v>
      </c>
      <c r="T655" s="53">
        <f>107447*31.1/1000</f>
        <v>3341.6017000000002</v>
      </c>
      <c r="U655" s="53">
        <f>296955*31.1/1000</f>
        <v>9235.3004999999994</v>
      </c>
      <c r="AH655" s="93">
        <f>G655-R655</f>
        <v>20114880</v>
      </c>
      <c r="AM655" s="53">
        <v>24668038</v>
      </c>
      <c r="AO655" s="53">
        <f t="shared" si="114"/>
        <v>7533443.8300000001</v>
      </c>
      <c r="AP655" s="53">
        <f t="shared" si="114"/>
        <v>5700984.5200000005</v>
      </c>
      <c r="AQ655" s="53">
        <f t="shared" si="114"/>
        <v>15756008.619473789</v>
      </c>
      <c r="AR655" s="53">
        <f t="shared" si="114"/>
        <v>0</v>
      </c>
      <c r="AS655" s="53">
        <f t="shared" si="114"/>
        <v>0</v>
      </c>
      <c r="AT655" s="53">
        <f t="shared" si="114"/>
        <v>0</v>
      </c>
      <c r="AU655" s="53">
        <f t="shared" si="114"/>
        <v>0</v>
      </c>
      <c r="AV655" s="53">
        <f t="shared" si="114"/>
        <v>0</v>
      </c>
      <c r="AW655" s="53">
        <f t="shared" si="114"/>
        <v>0</v>
      </c>
      <c r="AX655" s="53">
        <f t="shared" si="115"/>
        <v>2036065900</v>
      </c>
      <c r="AY655" s="41" t="s">
        <v>557</v>
      </c>
    </row>
    <row r="656" spans="1:51" x14ac:dyDescent="0.2">
      <c r="A656" s="41" t="s">
        <v>122</v>
      </c>
      <c r="B656" s="60" t="s">
        <v>559</v>
      </c>
      <c r="C656" s="60" t="s">
        <v>87</v>
      </c>
      <c r="D656" s="60" t="s">
        <v>88</v>
      </c>
      <c r="E656" s="60">
        <v>100</v>
      </c>
      <c r="F656" s="60" t="s">
        <v>556</v>
      </c>
      <c r="G656" s="79">
        <f>SUM(G647:G654)+0.75*G655</f>
        <v>143756109.25</v>
      </c>
      <c r="H656" s="80">
        <f>AO656/G656</f>
        <v>0.41234586720329713</v>
      </c>
      <c r="I656" s="80">
        <f>AP656/G656</f>
        <v>0.35594672175645298</v>
      </c>
      <c r="J656" s="78">
        <f>AQ656/G656</f>
        <v>1.1020205556897344</v>
      </c>
      <c r="R656" s="79">
        <f>SUM(R647:R654)+0.75*R655</f>
        <v>1958627.25</v>
      </c>
      <c r="S656" s="79">
        <f>SUM(S647:S654)+0.75*S655</f>
        <v>502188.60564274708</v>
      </c>
      <c r="T656" s="79">
        <f>SUM(T647:T654)+0.75*T655</f>
        <v>33202.056775000005</v>
      </c>
      <c r="U656" s="79">
        <f>SUM(U647:U654)+0.75*U655</f>
        <v>92547.130848999994</v>
      </c>
      <c r="AH656" s="79">
        <f>SUM(AH647:AH654)+0.75*AH655</f>
        <v>141797482</v>
      </c>
      <c r="AM656" s="79">
        <f>SUM(AM647:AM654)+0.75*AM655</f>
        <v>179108047.25</v>
      </c>
      <c r="AO656" s="79">
        <f t="shared" ref="AO656:AX656" si="116">SUM(AO647:AO654)+0.75*AO655</f>
        <v>59277237.534463175</v>
      </c>
      <c r="AP656" s="79">
        <f t="shared" si="116"/>
        <v>51169515.820000008</v>
      </c>
      <c r="AQ656" s="79">
        <f t="shared" si="116"/>
        <v>158422187.39947918</v>
      </c>
      <c r="AR656" s="79">
        <f t="shared" si="116"/>
        <v>0</v>
      </c>
      <c r="AS656" s="79">
        <f t="shared" si="116"/>
        <v>0</v>
      </c>
      <c r="AT656" s="79">
        <f t="shared" si="116"/>
        <v>0</v>
      </c>
      <c r="AU656" s="79">
        <f t="shared" si="116"/>
        <v>0</v>
      </c>
      <c r="AV656" s="79">
        <f t="shared" si="116"/>
        <v>0</v>
      </c>
      <c r="AW656" s="79">
        <f t="shared" si="116"/>
        <v>0</v>
      </c>
      <c r="AX656" s="79">
        <f t="shared" si="116"/>
        <v>14375610925</v>
      </c>
      <c r="AY656" s="41" t="s">
        <v>557</v>
      </c>
    </row>
    <row r="657" spans="1:51" x14ac:dyDescent="0.2">
      <c r="A657" s="41" t="s">
        <v>122</v>
      </c>
      <c r="B657" s="43" t="s">
        <v>560</v>
      </c>
      <c r="G657" s="53">
        <f>STDEV(G647:G655)</f>
        <v>6628410.6516374368</v>
      </c>
      <c r="H657" s="46">
        <f>STDEV(H647:H655)</f>
        <v>5.3171588803229135E-2</v>
      </c>
      <c r="I657" s="46">
        <f>STDEV(I647:I655)</f>
        <v>0.12936897589348173</v>
      </c>
      <c r="J657" s="46">
        <f>STDEV(J647:J655)</f>
        <v>0.30718111382559316</v>
      </c>
      <c r="R657" s="53">
        <f>STDEV(R539:R655)</f>
        <v>659669.27122388023</v>
      </c>
      <c r="S657" s="53">
        <f>STDEV(S539:S655)</f>
        <v>163933.8272565761</v>
      </c>
      <c r="T657" s="53">
        <f>STDEV(T539:T655)</f>
        <v>8633.2135375498165</v>
      </c>
      <c r="U657" s="53">
        <f>STDEV(U539:U655)</f>
        <v>294026.07645087881</v>
      </c>
      <c r="AH657" s="53">
        <f>STDEV(AH539:AH655)</f>
        <v>38583561.806699909</v>
      </c>
      <c r="AM657" s="53">
        <f>STDEV(AM539:AM655)</f>
        <v>180951169.14940053</v>
      </c>
      <c r="AY657" s="41" t="s">
        <v>557</v>
      </c>
    </row>
    <row r="658" spans="1:51" x14ac:dyDescent="0.2">
      <c r="A658" s="41" t="s">
        <v>122</v>
      </c>
      <c r="B658" s="81" t="s">
        <v>249</v>
      </c>
      <c r="G658" s="41">
        <f>COUNT(G647:G655)</f>
        <v>9</v>
      </c>
      <c r="H658" s="41">
        <f>COUNT(H647:H655)</f>
        <v>9</v>
      </c>
      <c r="I658" s="41">
        <f>COUNT(I647:I655)</f>
        <v>9</v>
      </c>
      <c r="J658" s="41">
        <f>COUNT(J647:J655)</f>
        <v>9</v>
      </c>
      <c r="R658" s="41">
        <f>COUNT(R539:R655)</f>
        <v>43</v>
      </c>
      <c r="S658" s="41">
        <f>COUNT(S539:S655)</f>
        <v>43</v>
      </c>
      <c r="T658" s="41">
        <f>COUNT(T539:T655)</f>
        <v>43</v>
      </c>
      <c r="U658" s="41">
        <f>COUNT(U539:U655)</f>
        <v>39</v>
      </c>
      <c r="AH658" s="41">
        <f>COUNT(AH539:AH655)</f>
        <v>20</v>
      </c>
      <c r="AM658" s="41">
        <f>COUNT(AM539:AM655)</f>
        <v>91</v>
      </c>
      <c r="AY658" s="41" t="s">
        <v>557</v>
      </c>
    </row>
    <row r="659" spans="1:51" x14ac:dyDescent="0.2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  <c r="AA659" s="82"/>
      <c r="AB659" s="82"/>
      <c r="AC659" s="82"/>
      <c r="AD659" s="82"/>
      <c r="AE659" s="82"/>
      <c r="AF659" s="82"/>
      <c r="AG659" s="82"/>
      <c r="AH659" s="82"/>
      <c r="AI659" s="82"/>
      <c r="AJ659" s="82"/>
      <c r="AK659" s="82"/>
      <c r="AL659" s="82"/>
      <c r="AM659" s="82"/>
      <c r="AN659" s="82"/>
      <c r="AO659" s="82"/>
      <c r="AP659" s="82"/>
      <c r="AQ659" s="82"/>
      <c r="AR659" s="82"/>
      <c r="AS659" s="82"/>
      <c r="AT659" s="82"/>
      <c r="AU659" s="82"/>
      <c r="AV659" s="82"/>
      <c r="AW659" s="82"/>
      <c r="AX659" s="82"/>
      <c r="AY659" s="41" t="s">
        <v>557</v>
      </c>
    </row>
    <row r="660" spans="1:51" x14ac:dyDescent="0.2">
      <c r="A660" s="41" t="s">
        <v>245</v>
      </c>
      <c r="B660" s="41">
        <v>2007</v>
      </c>
      <c r="C660" s="41" t="s">
        <v>91</v>
      </c>
      <c r="D660" s="41" t="s">
        <v>88</v>
      </c>
      <c r="E660" s="41">
        <v>0</v>
      </c>
      <c r="F660" s="41" t="s">
        <v>9</v>
      </c>
      <c r="G660" s="99">
        <v>363311</v>
      </c>
      <c r="H660" s="100">
        <v>2.7</v>
      </c>
      <c r="S660" s="99">
        <v>8002</v>
      </c>
      <c r="AO660" s="53">
        <f t="shared" ref="AO660:AW670" si="117">$G660*H660</f>
        <v>980939.70000000007</v>
      </c>
      <c r="AP660" s="53">
        <f t="shared" si="117"/>
        <v>0</v>
      </c>
      <c r="AQ660" s="53">
        <f t="shared" si="117"/>
        <v>0</v>
      </c>
      <c r="AR660" s="53">
        <f t="shared" si="117"/>
        <v>0</v>
      </c>
      <c r="AS660" s="53">
        <f t="shared" si="117"/>
        <v>0</v>
      </c>
      <c r="AT660" s="53">
        <f t="shared" si="117"/>
        <v>0</v>
      </c>
      <c r="AU660" s="53">
        <f t="shared" si="117"/>
        <v>0</v>
      </c>
      <c r="AV660" s="53">
        <f t="shared" si="117"/>
        <v>0</v>
      </c>
      <c r="AW660" s="53">
        <f t="shared" si="117"/>
        <v>0</v>
      </c>
      <c r="AX660" s="53">
        <f t="shared" ref="AX660:AX670" si="118">$G660*E660</f>
        <v>0</v>
      </c>
      <c r="AY660" s="41" t="s">
        <v>557</v>
      </c>
    </row>
    <row r="661" spans="1:51" x14ac:dyDescent="0.2">
      <c r="A661" s="41" t="s">
        <v>245</v>
      </c>
      <c r="B661" s="41">
        <v>2008</v>
      </c>
      <c r="C661" s="41" t="s">
        <v>91</v>
      </c>
      <c r="D661" s="41" t="s">
        <v>88</v>
      </c>
      <c r="E661" s="41">
        <v>0</v>
      </c>
      <c r="F661" s="41" t="s">
        <v>9</v>
      </c>
      <c r="G661" s="99">
        <v>555575</v>
      </c>
      <c r="H661" s="100">
        <v>2.9</v>
      </c>
      <c r="S661" s="99">
        <v>14583</v>
      </c>
      <c r="AO661" s="53">
        <f t="shared" si="117"/>
        <v>1611167.5</v>
      </c>
      <c r="AP661" s="53">
        <f t="shared" si="117"/>
        <v>0</v>
      </c>
      <c r="AQ661" s="53">
        <f t="shared" si="117"/>
        <v>0</v>
      </c>
      <c r="AR661" s="53">
        <f t="shared" si="117"/>
        <v>0</v>
      </c>
      <c r="AS661" s="53">
        <f t="shared" si="117"/>
        <v>0</v>
      </c>
      <c r="AT661" s="53">
        <f t="shared" si="117"/>
        <v>0</v>
      </c>
      <c r="AU661" s="53">
        <f t="shared" si="117"/>
        <v>0</v>
      </c>
      <c r="AV661" s="53">
        <f t="shared" si="117"/>
        <v>0</v>
      </c>
      <c r="AW661" s="53">
        <f t="shared" si="117"/>
        <v>0</v>
      </c>
      <c r="AX661" s="53">
        <f t="shared" si="118"/>
        <v>0</v>
      </c>
      <c r="AY661" s="41" t="s">
        <v>557</v>
      </c>
    </row>
    <row r="662" spans="1:51" x14ac:dyDescent="0.2">
      <c r="A662" s="41" t="s">
        <v>245</v>
      </c>
      <c r="B662" s="41">
        <v>2009</v>
      </c>
      <c r="C662" s="41" t="s">
        <v>91</v>
      </c>
      <c r="D662" s="41" t="s">
        <v>88</v>
      </c>
      <c r="E662" s="41">
        <v>0</v>
      </c>
      <c r="F662" s="41" t="s">
        <v>9</v>
      </c>
      <c r="G662" s="99">
        <v>568187</v>
      </c>
      <c r="H662" s="100">
        <v>3.1</v>
      </c>
      <c r="S662" s="99">
        <v>15940</v>
      </c>
      <c r="AO662" s="53">
        <f t="shared" si="117"/>
        <v>1761379.7</v>
      </c>
      <c r="AP662" s="53">
        <f t="shared" si="117"/>
        <v>0</v>
      </c>
      <c r="AQ662" s="53">
        <f t="shared" si="117"/>
        <v>0</v>
      </c>
      <c r="AR662" s="53">
        <f t="shared" si="117"/>
        <v>0</v>
      </c>
      <c r="AS662" s="53">
        <f t="shared" si="117"/>
        <v>0</v>
      </c>
      <c r="AT662" s="53">
        <f t="shared" si="117"/>
        <v>0</v>
      </c>
      <c r="AU662" s="53">
        <f t="shared" si="117"/>
        <v>0</v>
      </c>
      <c r="AV662" s="53">
        <f t="shared" si="117"/>
        <v>0</v>
      </c>
      <c r="AW662" s="53">
        <f t="shared" si="117"/>
        <v>0</v>
      </c>
      <c r="AX662" s="53">
        <f t="shared" si="118"/>
        <v>0</v>
      </c>
      <c r="AY662" s="41" t="s">
        <v>557</v>
      </c>
    </row>
    <row r="663" spans="1:51" x14ac:dyDescent="0.2">
      <c r="A663" s="41" t="s">
        <v>245</v>
      </c>
      <c r="B663" s="41">
        <v>2010</v>
      </c>
      <c r="C663" s="41" t="s">
        <v>91</v>
      </c>
      <c r="D663" s="41" t="s">
        <v>88</v>
      </c>
      <c r="E663" s="41">
        <v>0</v>
      </c>
      <c r="F663" s="41" t="s">
        <v>9</v>
      </c>
      <c r="G663" s="99">
        <v>571090</v>
      </c>
      <c r="H663" s="100">
        <v>3.4</v>
      </c>
      <c r="S663" s="99">
        <v>17729</v>
      </c>
      <c r="AO663" s="53">
        <f t="shared" si="117"/>
        <v>1941706</v>
      </c>
      <c r="AP663" s="53">
        <f t="shared" si="117"/>
        <v>0</v>
      </c>
      <c r="AQ663" s="53">
        <f t="shared" si="117"/>
        <v>0</v>
      </c>
      <c r="AR663" s="53">
        <f t="shared" si="117"/>
        <v>0</v>
      </c>
      <c r="AS663" s="53">
        <f t="shared" si="117"/>
        <v>0</v>
      </c>
      <c r="AT663" s="53">
        <f t="shared" si="117"/>
        <v>0</v>
      </c>
      <c r="AU663" s="53">
        <f t="shared" si="117"/>
        <v>0</v>
      </c>
      <c r="AV663" s="53">
        <f t="shared" si="117"/>
        <v>0</v>
      </c>
      <c r="AW663" s="53">
        <f t="shared" si="117"/>
        <v>0</v>
      </c>
      <c r="AX663" s="53">
        <f t="shared" si="118"/>
        <v>0</v>
      </c>
      <c r="AY663" s="41" t="s">
        <v>557</v>
      </c>
    </row>
    <row r="664" spans="1:51" x14ac:dyDescent="0.2">
      <c r="A664" s="41" t="s">
        <v>245</v>
      </c>
      <c r="B664" s="41">
        <v>2011</v>
      </c>
      <c r="C664" s="41" t="s">
        <v>91</v>
      </c>
      <c r="D664" s="41" t="s">
        <v>88</v>
      </c>
      <c r="E664" s="41">
        <v>0</v>
      </c>
      <c r="F664" s="41" t="s">
        <v>9</v>
      </c>
      <c r="G664" s="99">
        <v>559824</v>
      </c>
      <c r="H664" s="100">
        <v>3.5</v>
      </c>
      <c r="S664" s="99">
        <v>17533</v>
      </c>
      <c r="AO664" s="53">
        <f t="shared" si="117"/>
        <v>1959384</v>
      </c>
      <c r="AP664" s="53">
        <f t="shared" si="117"/>
        <v>0</v>
      </c>
      <c r="AQ664" s="53">
        <f t="shared" si="117"/>
        <v>0</v>
      </c>
      <c r="AR664" s="53">
        <f t="shared" si="117"/>
        <v>0</v>
      </c>
      <c r="AS664" s="53">
        <f t="shared" si="117"/>
        <v>0</v>
      </c>
      <c r="AT664" s="53">
        <f t="shared" si="117"/>
        <v>0</v>
      </c>
      <c r="AU664" s="53">
        <f t="shared" si="117"/>
        <v>0</v>
      </c>
      <c r="AV664" s="53">
        <f t="shared" si="117"/>
        <v>0</v>
      </c>
      <c r="AW664" s="53">
        <f t="shared" si="117"/>
        <v>0</v>
      </c>
      <c r="AX664" s="53">
        <f t="shared" si="118"/>
        <v>0</v>
      </c>
      <c r="AY664" s="41" t="s">
        <v>557</v>
      </c>
    </row>
    <row r="665" spans="1:51" x14ac:dyDescent="0.2">
      <c r="A665" s="41" t="s">
        <v>245</v>
      </c>
      <c r="B665" s="41">
        <v>2012</v>
      </c>
      <c r="C665" s="41" t="s">
        <v>91</v>
      </c>
      <c r="D665" s="41" t="s">
        <v>88</v>
      </c>
      <c r="E665" s="41">
        <v>0</v>
      </c>
      <c r="F665" s="41" t="s">
        <v>9</v>
      </c>
      <c r="G665" s="101">
        <f>S665/(H665/100)/0.85</f>
        <v>652268.41469725722</v>
      </c>
      <c r="H665" s="102">
        <v>3.41</v>
      </c>
      <c r="S665" s="99">
        <v>18906</v>
      </c>
      <c r="AO665" s="53">
        <f t="shared" si="117"/>
        <v>2224235.2941176472</v>
      </c>
      <c r="AP665" s="53">
        <f t="shared" si="117"/>
        <v>0</v>
      </c>
      <c r="AQ665" s="53">
        <f t="shared" si="117"/>
        <v>0</v>
      </c>
      <c r="AR665" s="53">
        <f t="shared" si="117"/>
        <v>0</v>
      </c>
      <c r="AS665" s="53">
        <f t="shared" si="117"/>
        <v>0</v>
      </c>
      <c r="AT665" s="53">
        <f t="shared" si="117"/>
        <v>0</v>
      </c>
      <c r="AU665" s="53">
        <f t="shared" si="117"/>
        <v>0</v>
      </c>
      <c r="AV665" s="53">
        <f t="shared" si="117"/>
        <v>0</v>
      </c>
      <c r="AW665" s="53">
        <f t="shared" si="117"/>
        <v>0</v>
      </c>
      <c r="AX665" s="53">
        <f t="shared" si="118"/>
        <v>0</v>
      </c>
      <c r="AY665" s="41" t="s">
        <v>557</v>
      </c>
    </row>
    <row r="666" spans="1:51" x14ac:dyDescent="0.2">
      <c r="A666" s="41" t="s">
        <v>245</v>
      </c>
      <c r="B666" s="41">
        <v>2013</v>
      </c>
      <c r="C666" s="41" t="s">
        <v>91</v>
      </c>
      <c r="D666" s="41" t="s">
        <v>88</v>
      </c>
      <c r="E666" s="41">
        <v>0</v>
      </c>
      <c r="F666" s="41" t="s">
        <v>9</v>
      </c>
      <c r="G666" s="101">
        <f>S666/(H666/100)/0.85</f>
        <v>625323.44316025544</v>
      </c>
      <c r="H666" s="102">
        <v>3.41</v>
      </c>
      <c r="S666" s="99">
        <v>18125</v>
      </c>
      <c r="AO666" s="53">
        <f t="shared" si="117"/>
        <v>2132352.9411764713</v>
      </c>
      <c r="AP666" s="53">
        <f t="shared" si="117"/>
        <v>0</v>
      </c>
      <c r="AQ666" s="53">
        <f t="shared" si="117"/>
        <v>0</v>
      </c>
      <c r="AR666" s="53">
        <f t="shared" si="117"/>
        <v>0</v>
      </c>
      <c r="AS666" s="53">
        <f t="shared" si="117"/>
        <v>0</v>
      </c>
      <c r="AT666" s="53">
        <f t="shared" si="117"/>
        <v>0</v>
      </c>
      <c r="AU666" s="53">
        <f t="shared" si="117"/>
        <v>0</v>
      </c>
      <c r="AV666" s="53">
        <f t="shared" si="117"/>
        <v>0</v>
      </c>
      <c r="AW666" s="53">
        <f t="shared" si="117"/>
        <v>0</v>
      </c>
      <c r="AX666" s="53">
        <f t="shared" si="118"/>
        <v>0</v>
      </c>
      <c r="AY666" s="41" t="s">
        <v>557</v>
      </c>
    </row>
    <row r="667" spans="1:51" x14ac:dyDescent="0.2">
      <c r="A667" s="41" t="s">
        <v>245</v>
      </c>
      <c r="B667" s="41">
        <v>2014</v>
      </c>
      <c r="C667" s="41" t="s">
        <v>91</v>
      </c>
      <c r="D667" s="41" t="s">
        <v>88</v>
      </c>
      <c r="E667" s="41">
        <v>0</v>
      </c>
      <c r="F667" s="41" t="s">
        <v>9</v>
      </c>
      <c r="G667" s="101">
        <f>S667/(H667/100)/0.85</f>
        <v>602139.037433155</v>
      </c>
      <c r="H667" s="102">
        <v>3.3</v>
      </c>
      <c r="S667" s="99">
        <v>16890</v>
      </c>
      <c r="AO667" s="53">
        <f t="shared" si="117"/>
        <v>1987058.8235294113</v>
      </c>
      <c r="AP667" s="53">
        <f t="shared" si="117"/>
        <v>0</v>
      </c>
      <c r="AQ667" s="53">
        <f t="shared" si="117"/>
        <v>0</v>
      </c>
      <c r="AR667" s="53">
        <f t="shared" si="117"/>
        <v>0</v>
      </c>
      <c r="AS667" s="53">
        <f t="shared" si="117"/>
        <v>0</v>
      </c>
      <c r="AT667" s="53">
        <f t="shared" si="117"/>
        <v>0</v>
      </c>
      <c r="AU667" s="53">
        <f t="shared" si="117"/>
        <v>0</v>
      </c>
      <c r="AV667" s="53">
        <f t="shared" si="117"/>
        <v>0</v>
      </c>
      <c r="AW667" s="53">
        <f t="shared" si="117"/>
        <v>0</v>
      </c>
      <c r="AX667" s="53">
        <f t="shared" si="118"/>
        <v>0</v>
      </c>
      <c r="AY667" s="41" t="s">
        <v>557</v>
      </c>
    </row>
    <row r="668" spans="1:51" x14ac:dyDescent="0.2">
      <c r="A668" s="41" t="s">
        <v>245</v>
      </c>
      <c r="B668" s="41">
        <v>2015</v>
      </c>
      <c r="C668" s="41" t="s">
        <v>91</v>
      </c>
      <c r="D668" s="41" t="s">
        <v>88</v>
      </c>
      <c r="E668" s="41">
        <v>0</v>
      </c>
      <c r="F668" s="41" t="s">
        <v>9</v>
      </c>
      <c r="G668" s="101">
        <f>S668/(H668/100)/0.85</f>
        <v>516267.74847870186</v>
      </c>
      <c r="H668" s="102">
        <v>2.9</v>
      </c>
      <c r="S668" s="99">
        <v>12726</v>
      </c>
      <c r="AO668" s="53">
        <f t="shared" si="117"/>
        <v>1497176.4705882354</v>
      </c>
      <c r="AP668" s="53">
        <f t="shared" si="117"/>
        <v>0</v>
      </c>
      <c r="AQ668" s="53">
        <f t="shared" si="117"/>
        <v>0</v>
      </c>
      <c r="AR668" s="53">
        <f t="shared" si="117"/>
        <v>0</v>
      </c>
      <c r="AS668" s="53">
        <f t="shared" si="117"/>
        <v>0</v>
      </c>
      <c r="AT668" s="53">
        <f t="shared" si="117"/>
        <v>0</v>
      </c>
      <c r="AU668" s="53">
        <f t="shared" si="117"/>
        <v>0</v>
      </c>
      <c r="AV668" s="53">
        <f t="shared" si="117"/>
        <v>0</v>
      </c>
      <c r="AW668" s="53">
        <f t="shared" si="117"/>
        <v>0</v>
      </c>
      <c r="AX668" s="53">
        <f t="shared" si="118"/>
        <v>0</v>
      </c>
      <c r="AY668" s="41" t="s">
        <v>557</v>
      </c>
    </row>
    <row r="669" spans="1:51" x14ac:dyDescent="0.2">
      <c r="A669" s="41" t="s">
        <v>245</v>
      </c>
      <c r="B669" s="41">
        <v>2016</v>
      </c>
      <c r="C669" s="41" t="s">
        <v>91</v>
      </c>
      <c r="D669" s="41" t="s">
        <v>88</v>
      </c>
      <c r="E669" s="41">
        <v>0</v>
      </c>
      <c r="F669" s="41" t="s">
        <v>9</v>
      </c>
      <c r="G669" s="101">
        <f>S669/(H669/100)/0.85</f>
        <v>439411.76470588241</v>
      </c>
      <c r="H669" s="102">
        <v>2.8</v>
      </c>
      <c r="S669" s="99">
        <v>10458</v>
      </c>
      <c r="AO669" s="53">
        <f t="shared" si="117"/>
        <v>1230352.9411764706</v>
      </c>
      <c r="AP669" s="53">
        <f t="shared" si="117"/>
        <v>0</v>
      </c>
      <c r="AQ669" s="53">
        <f t="shared" si="117"/>
        <v>0</v>
      </c>
      <c r="AR669" s="53">
        <f t="shared" si="117"/>
        <v>0</v>
      </c>
      <c r="AS669" s="53">
        <f t="shared" si="117"/>
        <v>0</v>
      </c>
      <c r="AT669" s="53">
        <f t="shared" si="117"/>
        <v>0</v>
      </c>
      <c r="AU669" s="53">
        <f t="shared" si="117"/>
        <v>0</v>
      </c>
      <c r="AV669" s="53">
        <f t="shared" si="117"/>
        <v>0</v>
      </c>
      <c r="AW669" s="53">
        <f t="shared" si="117"/>
        <v>0</v>
      </c>
      <c r="AX669" s="53">
        <f t="shared" si="118"/>
        <v>0</v>
      </c>
      <c r="AY669" s="41" t="s">
        <v>557</v>
      </c>
    </row>
    <row r="670" spans="1:51" x14ac:dyDescent="0.2">
      <c r="A670" s="41" t="s">
        <v>245</v>
      </c>
      <c r="B670" s="41" t="s">
        <v>558</v>
      </c>
      <c r="C670" s="41" t="s">
        <v>91</v>
      </c>
      <c r="D670" s="41" t="s">
        <v>88</v>
      </c>
      <c r="E670" s="41">
        <v>0</v>
      </c>
      <c r="F670" s="41" t="s">
        <v>9</v>
      </c>
      <c r="G670" s="101">
        <v>250000</v>
      </c>
      <c r="H670" s="102">
        <v>2.8</v>
      </c>
      <c r="S670" s="101">
        <f>0.85*(G670*H670/100)</f>
        <v>5950</v>
      </c>
      <c r="AO670" s="53">
        <f t="shared" si="117"/>
        <v>700000</v>
      </c>
      <c r="AP670" s="53">
        <f t="shared" si="117"/>
        <v>0</v>
      </c>
      <c r="AQ670" s="53">
        <f t="shared" si="117"/>
        <v>0</v>
      </c>
      <c r="AR670" s="53">
        <f t="shared" si="117"/>
        <v>0</v>
      </c>
      <c r="AS670" s="53">
        <f t="shared" si="117"/>
        <v>0</v>
      </c>
      <c r="AT670" s="53">
        <f t="shared" si="117"/>
        <v>0</v>
      </c>
      <c r="AU670" s="53">
        <f t="shared" si="117"/>
        <v>0</v>
      </c>
      <c r="AV670" s="53">
        <f t="shared" si="117"/>
        <v>0</v>
      </c>
      <c r="AW670" s="53">
        <f t="shared" si="117"/>
        <v>0</v>
      </c>
      <c r="AX670" s="53">
        <f t="shared" si="118"/>
        <v>0</v>
      </c>
      <c r="AY670" s="41" t="s">
        <v>557</v>
      </c>
    </row>
    <row r="671" spans="1:51" x14ac:dyDescent="0.2">
      <c r="A671" s="41" t="s">
        <v>245</v>
      </c>
      <c r="B671" s="60" t="s">
        <v>559</v>
      </c>
      <c r="C671" s="60" t="s">
        <v>91</v>
      </c>
      <c r="D671" s="60" t="s">
        <v>88</v>
      </c>
      <c r="E671" s="60">
        <v>0</v>
      </c>
      <c r="F671" s="60" t="s">
        <v>9</v>
      </c>
      <c r="G671" s="79">
        <f>SUM(G660:G670)</f>
        <v>5703397.4084752528</v>
      </c>
      <c r="H671" s="80">
        <f>AO671/G671</f>
        <v>3.16052908110558</v>
      </c>
      <c r="S671" s="79">
        <f>SUM(S660:S670)</f>
        <v>156842</v>
      </c>
      <c r="AO671" s="79">
        <f t="shared" ref="AO671:AX671" si="119">SUM(AO660:AO670)</f>
        <v>18025753.370588236</v>
      </c>
      <c r="AP671" s="79">
        <f t="shared" si="119"/>
        <v>0</v>
      </c>
      <c r="AQ671" s="79">
        <f t="shared" si="119"/>
        <v>0</v>
      </c>
      <c r="AR671" s="79">
        <f t="shared" si="119"/>
        <v>0</v>
      </c>
      <c r="AS671" s="79">
        <f t="shared" si="119"/>
        <v>0</v>
      </c>
      <c r="AT671" s="79">
        <f t="shared" si="119"/>
        <v>0</v>
      </c>
      <c r="AU671" s="79">
        <f t="shared" si="119"/>
        <v>0</v>
      </c>
      <c r="AV671" s="79">
        <f t="shared" si="119"/>
        <v>0</v>
      </c>
      <c r="AW671" s="79">
        <f t="shared" si="119"/>
        <v>0</v>
      </c>
      <c r="AX671" s="79">
        <f t="shared" si="119"/>
        <v>0</v>
      </c>
      <c r="AY671" s="41" t="s">
        <v>557</v>
      </c>
    </row>
    <row r="672" spans="1:51" x14ac:dyDescent="0.2">
      <c r="A672" s="41" t="s">
        <v>245</v>
      </c>
      <c r="B672" s="43" t="s">
        <v>560</v>
      </c>
      <c r="G672" s="53">
        <f>STDEV(G660:G670)</f>
        <v>121265.52135910079</v>
      </c>
      <c r="H672" s="46">
        <f>STDEV(H660:H670)</f>
        <v>0.3001484481204108</v>
      </c>
      <c r="S672" s="53">
        <f>STDEV(S660:S670)</f>
        <v>4406.1395182796296</v>
      </c>
      <c r="AY672" s="41" t="s">
        <v>557</v>
      </c>
    </row>
    <row r="673" spans="1:51" x14ac:dyDescent="0.2">
      <c r="A673" s="41" t="s">
        <v>245</v>
      </c>
      <c r="B673" s="81" t="s">
        <v>249</v>
      </c>
      <c r="G673" s="41">
        <f>COUNT(G660:G670)</f>
        <v>11</v>
      </c>
      <c r="H673" s="41">
        <f>COUNT(H660:H670)</f>
        <v>11</v>
      </c>
      <c r="S673" s="41">
        <f>COUNT(S660:S670)</f>
        <v>11</v>
      </c>
      <c r="AY673" s="41" t="s">
        <v>557</v>
      </c>
    </row>
    <row r="674" spans="1:51" x14ac:dyDescent="0.2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  <c r="AI674" s="82"/>
      <c r="AJ674" s="82"/>
      <c r="AK674" s="82"/>
      <c r="AL674" s="82"/>
      <c r="AM674" s="82"/>
      <c r="AN674" s="82"/>
      <c r="AO674" s="82"/>
      <c r="AP674" s="82"/>
      <c r="AQ674" s="82"/>
      <c r="AR674" s="82"/>
      <c r="AS674" s="82"/>
      <c r="AT674" s="82"/>
      <c r="AU674" s="82"/>
      <c r="AV674" s="82"/>
      <c r="AW674" s="82"/>
      <c r="AX674" s="82"/>
      <c r="AY674" s="41" t="s">
        <v>557</v>
      </c>
    </row>
    <row r="675" spans="1:51" x14ac:dyDescent="0.2">
      <c r="A675" s="86" t="s">
        <v>142</v>
      </c>
      <c r="B675" s="41">
        <v>2011</v>
      </c>
      <c r="C675" s="41" t="s">
        <v>87</v>
      </c>
      <c r="D675" s="41" t="s">
        <v>606</v>
      </c>
      <c r="E675" s="41">
        <v>100</v>
      </c>
      <c r="F675" s="41" t="s">
        <v>563</v>
      </c>
      <c r="G675" s="93">
        <v>48150000</v>
      </c>
      <c r="H675" s="88">
        <f>(0.83*38570000+1.35*9580000)/G675</f>
        <v>0.93346002076843193</v>
      </c>
      <c r="I675" s="56">
        <v>5.9979231568016614E-2</v>
      </c>
      <c r="J675" s="54">
        <v>8.7522326064382145</v>
      </c>
      <c r="K675" s="55">
        <v>3.1329871928002767E-2</v>
      </c>
      <c r="S675" s="53">
        <v>443381</v>
      </c>
      <c r="T675" s="53">
        <v>1444</v>
      </c>
      <c r="U675" s="53">
        <v>210710</v>
      </c>
      <c r="W675" s="53">
        <v>11314</v>
      </c>
      <c r="AI675" s="53">
        <v>40997837.59050972</v>
      </c>
      <c r="AM675" s="53">
        <v>147354000</v>
      </c>
      <c r="AO675" s="53">
        <f t="shared" ref="AO675:AW679" si="120">$G675*H675</f>
        <v>44946100</v>
      </c>
      <c r="AP675" s="53">
        <f t="shared" si="120"/>
        <v>2888000</v>
      </c>
      <c r="AQ675" s="53">
        <f t="shared" si="120"/>
        <v>421420000.00000006</v>
      </c>
      <c r="AR675" s="53">
        <f t="shared" si="120"/>
        <v>1508533.3333333333</v>
      </c>
      <c r="AS675" s="53">
        <f t="shared" si="120"/>
        <v>0</v>
      </c>
      <c r="AT675" s="53">
        <f t="shared" si="120"/>
        <v>0</v>
      </c>
      <c r="AU675" s="53">
        <f t="shared" si="120"/>
        <v>0</v>
      </c>
      <c r="AV675" s="53">
        <f t="shared" si="120"/>
        <v>0</v>
      </c>
      <c r="AW675" s="53">
        <f t="shared" si="120"/>
        <v>0</v>
      </c>
      <c r="AX675" s="53">
        <f>$G675*E675</f>
        <v>4815000000</v>
      </c>
      <c r="AY675" s="41" t="s">
        <v>557</v>
      </c>
    </row>
    <row r="676" spans="1:51" x14ac:dyDescent="0.2">
      <c r="A676" s="86" t="s">
        <v>142</v>
      </c>
      <c r="B676" s="41">
        <v>2012</v>
      </c>
      <c r="C676" s="41" t="s">
        <v>87</v>
      </c>
      <c r="D676" s="41" t="s">
        <v>606</v>
      </c>
      <c r="E676" s="41">
        <v>100</v>
      </c>
      <c r="F676" s="41" t="s">
        <v>563</v>
      </c>
      <c r="G676" s="76">
        <v>51673991.604996346</v>
      </c>
      <c r="H676" s="58">
        <v>0.81</v>
      </c>
      <c r="I676" s="77">
        <v>0.04</v>
      </c>
      <c r="J676" s="77">
        <v>6.5</v>
      </c>
      <c r="K676" s="58">
        <v>2.5000000000000001E-2</v>
      </c>
      <c r="S676" s="53">
        <v>355901</v>
      </c>
      <c r="T676" s="76">
        <v>1033.4798320999269</v>
      </c>
      <c r="U676" s="76">
        <v>167940.47271623812</v>
      </c>
      <c r="W676" s="76">
        <v>9688.8734259368157</v>
      </c>
      <c r="AI676" s="53">
        <v>23650000</v>
      </c>
      <c r="AM676" s="53">
        <v>161215000</v>
      </c>
      <c r="AO676" s="53">
        <f t="shared" si="120"/>
        <v>41855933.200047046</v>
      </c>
      <c r="AP676" s="53">
        <f t="shared" si="120"/>
        <v>2066959.6641998538</v>
      </c>
      <c r="AQ676" s="53">
        <f t="shared" si="120"/>
        <v>335880945.43247622</v>
      </c>
      <c r="AR676" s="53">
        <f t="shared" si="120"/>
        <v>1291849.7901249088</v>
      </c>
      <c r="AS676" s="53">
        <f t="shared" si="120"/>
        <v>0</v>
      </c>
      <c r="AT676" s="53">
        <f t="shared" si="120"/>
        <v>0</v>
      </c>
      <c r="AU676" s="53">
        <f t="shared" si="120"/>
        <v>0</v>
      </c>
      <c r="AV676" s="53">
        <f t="shared" si="120"/>
        <v>0</v>
      </c>
      <c r="AW676" s="53">
        <f t="shared" si="120"/>
        <v>0</v>
      </c>
      <c r="AX676" s="53">
        <f>$G676*E676</f>
        <v>5167399160.4996347</v>
      </c>
      <c r="AY676" s="41" t="s">
        <v>557</v>
      </c>
    </row>
    <row r="677" spans="1:51" x14ac:dyDescent="0.2">
      <c r="A677" s="86" t="s">
        <v>142</v>
      </c>
      <c r="B677" s="41">
        <v>2013</v>
      </c>
      <c r="C677" s="41" t="s">
        <v>87</v>
      </c>
      <c r="D677" s="41" t="s">
        <v>606</v>
      </c>
      <c r="E677" s="41">
        <v>100</v>
      </c>
      <c r="F677" s="41" t="s">
        <v>563</v>
      </c>
      <c r="G677" s="93">
        <v>47000000</v>
      </c>
      <c r="H677" s="103">
        <f>(0.7*36100000+1.2*10900000)/G677</f>
        <v>0.81595744680851068</v>
      </c>
      <c r="I677" s="56">
        <v>2.7319148936170212E-2</v>
      </c>
      <c r="J677" s="54">
        <v>4.2463829787234042</v>
      </c>
      <c r="K677" s="55">
        <v>1.963971631205674E-2</v>
      </c>
      <c r="S677" s="53">
        <v>339012</v>
      </c>
      <c r="T677" s="41">
        <v>642</v>
      </c>
      <c r="U677" s="53">
        <v>99790</v>
      </c>
      <c r="W677" s="53">
        <v>6923</v>
      </c>
      <c r="AI677" s="53">
        <v>15488000</v>
      </c>
      <c r="AM677" s="53">
        <v>141787000</v>
      </c>
      <c r="AO677" s="53">
        <f t="shared" si="120"/>
        <v>38350000</v>
      </c>
      <c r="AP677" s="53">
        <f t="shared" si="120"/>
        <v>1284000</v>
      </c>
      <c r="AQ677" s="53">
        <f t="shared" si="120"/>
        <v>199580000</v>
      </c>
      <c r="AR677" s="53">
        <f t="shared" si="120"/>
        <v>923066.66666666674</v>
      </c>
      <c r="AS677" s="53">
        <f t="shared" si="120"/>
        <v>0</v>
      </c>
      <c r="AT677" s="53">
        <f t="shared" si="120"/>
        <v>0</v>
      </c>
      <c r="AU677" s="53">
        <f t="shared" si="120"/>
        <v>0</v>
      </c>
      <c r="AV677" s="53">
        <f t="shared" si="120"/>
        <v>0</v>
      </c>
      <c r="AW677" s="53">
        <f t="shared" si="120"/>
        <v>0</v>
      </c>
      <c r="AX677" s="53">
        <f>$G677*E677</f>
        <v>4700000000</v>
      </c>
      <c r="AY677" s="41" t="s">
        <v>557</v>
      </c>
    </row>
    <row r="678" spans="1:51" x14ac:dyDescent="0.2">
      <c r="A678" s="86" t="s">
        <v>142</v>
      </c>
      <c r="B678" s="41">
        <v>2015</v>
      </c>
      <c r="C678" s="41" t="s">
        <v>87</v>
      </c>
      <c r="D678" s="41" t="s">
        <v>606</v>
      </c>
      <c r="E678" s="41">
        <v>100</v>
      </c>
      <c r="F678" s="41" t="s">
        <v>563</v>
      </c>
      <c r="G678" s="76">
        <v>49720565.988796867</v>
      </c>
      <c r="H678" s="58">
        <v>0.73</v>
      </c>
      <c r="I678" s="56">
        <v>4.1713121296071277E-2</v>
      </c>
      <c r="J678" s="54">
        <v>6.9726881242284318</v>
      </c>
      <c r="K678" s="55">
        <v>3.3888056176049682E-2</v>
      </c>
      <c r="S678" s="53">
        <v>308625</v>
      </c>
      <c r="T678" s="53">
        <v>1037</v>
      </c>
      <c r="U678" s="53">
        <v>173343</v>
      </c>
      <c r="W678" s="53">
        <v>12637</v>
      </c>
      <c r="AI678" s="53">
        <v>14548000</v>
      </c>
      <c r="AM678" s="53">
        <v>108888000</v>
      </c>
      <c r="AO678" s="53">
        <f t="shared" si="120"/>
        <v>36296013.171821713</v>
      </c>
      <c r="AP678" s="53">
        <f t="shared" si="120"/>
        <v>2073999.9999999998</v>
      </c>
      <c r="AQ678" s="53">
        <f t="shared" si="120"/>
        <v>346686000</v>
      </c>
      <c r="AR678" s="53">
        <f t="shared" si="120"/>
        <v>1684933.3333333335</v>
      </c>
      <c r="AS678" s="53">
        <f t="shared" si="120"/>
        <v>0</v>
      </c>
      <c r="AT678" s="53">
        <f t="shared" si="120"/>
        <v>0</v>
      </c>
      <c r="AU678" s="53">
        <f t="shared" si="120"/>
        <v>0</v>
      </c>
      <c r="AV678" s="53">
        <f t="shared" si="120"/>
        <v>0</v>
      </c>
      <c r="AW678" s="53">
        <f t="shared" si="120"/>
        <v>0</v>
      </c>
      <c r="AX678" s="53">
        <f>$G678*E678</f>
        <v>4972056598.8796864</v>
      </c>
      <c r="AY678" s="41" t="s">
        <v>557</v>
      </c>
    </row>
    <row r="679" spans="1:51" x14ac:dyDescent="0.2">
      <c r="A679" s="86" t="s">
        <v>142</v>
      </c>
      <c r="B679" s="41">
        <v>2016</v>
      </c>
      <c r="C679" s="41" t="s">
        <v>87</v>
      </c>
      <c r="D679" s="41" t="s">
        <v>606</v>
      </c>
      <c r="E679" s="41">
        <v>100</v>
      </c>
      <c r="F679" s="41" t="s">
        <v>563</v>
      </c>
      <c r="G679" s="76">
        <v>48654866.372706495</v>
      </c>
      <c r="H679" s="58">
        <v>0.73</v>
      </c>
      <c r="I679" s="77">
        <v>0.04</v>
      </c>
      <c r="J679" s="77">
        <v>6.5</v>
      </c>
      <c r="K679" s="55">
        <v>4.7660871485491647E-2</v>
      </c>
      <c r="S679" s="53">
        <v>302010</v>
      </c>
      <c r="T679" s="76">
        <v>973.09732745412998</v>
      </c>
      <c r="U679" s="76">
        <v>158128.31571129611</v>
      </c>
      <c r="W679" s="53">
        <v>17392</v>
      </c>
      <c r="AI679" s="53">
        <v>21688000</v>
      </c>
      <c r="AM679" s="53">
        <v>83330000</v>
      </c>
      <c r="AO679" s="53">
        <f t="shared" si="120"/>
        <v>35518052.452075742</v>
      </c>
      <c r="AP679" s="53">
        <f t="shared" si="120"/>
        <v>1946194.6549082599</v>
      </c>
      <c r="AQ679" s="53">
        <f t="shared" si="120"/>
        <v>316256631.42259222</v>
      </c>
      <c r="AR679" s="53">
        <f t="shared" si="120"/>
        <v>2318933.3333333335</v>
      </c>
      <c r="AS679" s="53">
        <f t="shared" si="120"/>
        <v>0</v>
      </c>
      <c r="AT679" s="53">
        <f t="shared" si="120"/>
        <v>0</v>
      </c>
      <c r="AU679" s="53">
        <f t="shared" si="120"/>
        <v>0</v>
      </c>
      <c r="AV679" s="53">
        <f t="shared" si="120"/>
        <v>0</v>
      </c>
      <c r="AW679" s="53">
        <f t="shared" si="120"/>
        <v>0</v>
      </c>
      <c r="AX679" s="53">
        <f>$G679*E679</f>
        <v>4865486637.2706499</v>
      </c>
      <c r="AY679" s="41" t="s">
        <v>557</v>
      </c>
    </row>
    <row r="680" spans="1:51" x14ac:dyDescent="0.2">
      <c r="A680" s="86" t="s">
        <v>142</v>
      </c>
      <c r="B680" s="60" t="s">
        <v>248</v>
      </c>
      <c r="C680" s="60" t="s">
        <v>87</v>
      </c>
      <c r="D680" s="60" t="s">
        <v>606</v>
      </c>
      <c r="E680" s="60">
        <v>100</v>
      </c>
      <c r="F680" s="60" t="s">
        <v>563</v>
      </c>
      <c r="G680" s="79">
        <f>AVERAGE(G675:G679)</f>
        <v>49039884.793299943</v>
      </c>
      <c r="H680" s="80">
        <f>AO680/SUM($G675:$G679)</f>
        <v>0.80328940271431848</v>
      </c>
      <c r="I680" s="80">
        <f>AP680/SUM($G675:$G679)</f>
        <v>4.1840042497447986E-2</v>
      </c>
      <c r="J680" s="80">
        <f>AQ680/SUM($G675:$G679)</f>
        <v>6.6061475620610608</v>
      </c>
      <c r="K680" s="89">
        <f>AR680/SUM($G675:$G679)</f>
        <v>3.1514415212685484E-2</v>
      </c>
      <c r="S680" s="79">
        <f>AVERAGE(S675:S679)</f>
        <v>349785.8</v>
      </c>
      <c r="T680" s="79">
        <f>AVERAGE(T675:T679)</f>
        <v>1025.9154319108115</v>
      </c>
      <c r="U680" s="79">
        <f>AVERAGE(U675:U679)</f>
        <v>161982.35768550687</v>
      </c>
      <c r="W680" s="79">
        <f>AVERAGE(W675:W679)</f>
        <v>11590.974685187362</v>
      </c>
      <c r="AI680" s="79">
        <f>AVERAGE(AI675:AI679)</f>
        <v>23274367.518101942</v>
      </c>
      <c r="AM680" s="79">
        <f>AVERAGE(AM675:AM679)</f>
        <v>128514800</v>
      </c>
      <c r="AO680" s="79">
        <f>SUM(AO675:AO679)</f>
        <v>196966098.82394451</v>
      </c>
      <c r="AP680" s="79">
        <f t="shared" ref="AP680:AX680" si="121">SUM(AP675:AP679)</f>
        <v>10259154.319108114</v>
      </c>
      <c r="AQ680" s="79">
        <f t="shared" si="121"/>
        <v>1619823576.8550684</v>
      </c>
      <c r="AR680" s="79">
        <f t="shared" si="121"/>
        <v>7727316.456791576</v>
      </c>
      <c r="AS680" s="79">
        <f t="shared" si="121"/>
        <v>0</v>
      </c>
      <c r="AT680" s="79">
        <f t="shared" si="121"/>
        <v>0</v>
      </c>
      <c r="AU680" s="79">
        <f t="shared" si="121"/>
        <v>0</v>
      </c>
      <c r="AV680" s="79">
        <f t="shared" si="121"/>
        <v>0</v>
      </c>
      <c r="AW680" s="79">
        <f t="shared" si="121"/>
        <v>0</v>
      </c>
      <c r="AX680" s="79">
        <f t="shared" si="121"/>
        <v>24519942396.649967</v>
      </c>
      <c r="AY680" s="41" t="s">
        <v>557</v>
      </c>
    </row>
    <row r="681" spans="1:51" x14ac:dyDescent="0.2">
      <c r="A681" s="86" t="s">
        <v>142</v>
      </c>
      <c r="B681" s="43" t="s">
        <v>560</v>
      </c>
      <c r="G681" s="53">
        <f>STDEV(G675:G679)</f>
        <v>1767986.827213909</v>
      </c>
      <c r="H681" s="46">
        <f>STDEV(H675:H679)</f>
        <v>8.3502709002068326E-2</v>
      </c>
      <c r="I681" s="46">
        <f>STDEV(I675:I679)</f>
        <v>1.1690455822885045E-2</v>
      </c>
      <c r="J681" s="46">
        <f>STDEV(J675:J679)</f>
        <v>1.6070430935090627</v>
      </c>
      <c r="K681" s="42">
        <f>STDEV(K675:K679)</f>
        <v>1.0604501209653847E-2</v>
      </c>
      <c r="S681" s="53">
        <f>STDEV(S675:S679)</f>
        <v>56767.663380660757</v>
      </c>
      <c r="T681" s="53">
        <f>STDEV(T675:T679)</f>
        <v>285.11208536816179</v>
      </c>
      <c r="U681" s="53">
        <f>STDEV(U675:U679)</f>
        <v>40067.722196511961</v>
      </c>
      <c r="W681" s="53">
        <f>STDEV(W675:W679)</f>
        <v>3880.4238009704923</v>
      </c>
      <c r="AI681" s="53">
        <f>STDEV(AI675:AI679)</f>
        <v>10648427.844750347</v>
      </c>
      <c r="AM681" s="53">
        <f>STDEV(AM675:AM679)</f>
        <v>31730298.055643916</v>
      </c>
      <c r="AY681" s="41" t="s">
        <v>557</v>
      </c>
    </row>
    <row r="682" spans="1:51" x14ac:dyDescent="0.2">
      <c r="A682" s="86" t="s">
        <v>142</v>
      </c>
      <c r="B682" s="81" t="s">
        <v>249</v>
      </c>
      <c r="G682" s="41">
        <f>COUNT(G675:G679)</f>
        <v>5</v>
      </c>
      <c r="H682" s="41">
        <f>COUNT(H675:H679)</f>
        <v>5</v>
      </c>
      <c r="I682" s="41">
        <f>COUNT(I675:I679)</f>
        <v>5</v>
      </c>
      <c r="J682" s="41">
        <f>COUNT(J675:J679)</f>
        <v>5</v>
      </c>
      <c r="K682" s="41">
        <f>COUNT(K675:K679)</f>
        <v>5</v>
      </c>
      <c r="S682" s="41">
        <f>COUNT(S675:S679)</f>
        <v>5</v>
      </c>
      <c r="T682" s="41">
        <f>COUNT(T675:T679)</f>
        <v>5</v>
      </c>
      <c r="U682" s="41">
        <f>COUNT(U675:U679)</f>
        <v>5</v>
      </c>
      <c r="W682" s="41">
        <f>COUNT(W675:W679)</f>
        <v>5</v>
      </c>
      <c r="AI682" s="41">
        <f>COUNT(AI675:AI679)</f>
        <v>5</v>
      </c>
      <c r="AM682" s="41">
        <f>COUNT(AM675:AM679)</f>
        <v>5</v>
      </c>
      <c r="AY682" s="41" t="s">
        <v>557</v>
      </c>
    </row>
    <row r="683" spans="1:51" x14ac:dyDescent="0.2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  <c r="AA683" s="82"/>
      <c r="AB683" s="82"/>
      <c r="AC683" s="82"/>
      <c r="AD683" s="82"/>
      <c r="AE683" s="82"/>
      <c r="AF683" s="82"/>
      <c r="AG683" s="82"/>
      <c r="AH683" s="82"/>
      <c r="AI683" s="82"/>
      <c r="AJ683" s="82"/>
      <c r="AK683" s="82"/>
      <c r="AL683" s="82"/>
      <c r="AM683" s="82"/>
      <c r="AN683" s="82"/>
      <c r="AO683" s="82"/>
      <c r="AP683" s="82"/>
      <c r="AQ683" s="82"/>
      <c r="AR683" s="82"/>
      <c r="AS683" s="82"/>
      <c r="AT683" s="82"/>
      <c r="AU683" s="82"/>
      <c r="AV683" s="82"/>
      <c r="AW683" s="82"/>
      <c r="AX683" s="82"/>
      <c r="AY683" s="41" t="s">
        <v>557</v>
      </c>
    </row>
    <row r="684" spans="1:51" x14ac:dyDescent="0.2">
      <c r="A684" s="41" t="s">
        <v>102</v>
      </c>
      <c r="B684" s="41">
        <v>1907</v>
      </c>
      <c r="C684" s="41" t="s">
        <v>91</v>
      </c>
      <c r="D684" s="41" t="s">
        <v>88</v>
      </c>
      <c r="E684" s="41">
        <v>0</v>
      </c>
      <c r="F684" s="41" t="s">
        <v>9</v>
      </c>
      <c r="G684" s="53">
        <v>1257.808</v>
      </c>
      <c r="H684" s="46">
        <v>0.40387722132471726</v>
      </c>
      <c r="J684" s="58">
        <v>16</v>
      </c>
      <c r="R684" s="76">
        <f t="shared" ref="R684:R740" si="122">S684/0.275</f>
        <v>18.472727272727273</v>
      </c>
      <c r="S684" s="53">
        <v>5.08</v>
      </c>
      <c r="U684" s="76">
        <f t="shared" ref="U684:U740" si="123">0.8*G684*J684/1000</f>
        <v>16.0999424</v>
      </c>
      <c r="AH684" s="76">
        <f t="shared" ref="AH684:AH715" si="124">G684-R684</f>
        <v>1239.3352727272727</v>
      </c>
      <c r="AO684" s="53">
        <f t="shared" ref="AO684:AW712" si="125">$G684*H684</f>
        <v>507.99999999999994</v>
      </c>
      <c r="AP684" s="53">
        <f t="shared" si="125"/>
        <v>0</v>
      </c>
      <c r="AQ684" s="53">
        <f t="shared" si="125"/>
        <v>20124.928</v>
      </c>
      <c r="AR684" s="53">
        <f t="shared" si="125"/>
        <v>0</v>
      </c>
      <c r="AS684" s="53">
        <f t="shared" si="125"/>
        <v>0</v>
      </c>
      <c r="AT684" s="53">
        <f t="shared" si="125"/>
        <v>0</v>
      </c>
      <c r="AU684" s="53">
        <f t="shared" si="125"/>
        <v>0</v>
      </c>
      <c r="AV684" s="53">
        <f t="shared" si="125"/>
        <v>0</v>
      </c>
      <c r="AW684" s="53">
        <f t="shared" si="125"/>
        <v>0</v>
      </c>
      <c r="AX684" s="53">
        <f t="shared" ref="AX684:AX745" si="126">$G684*E684</f>
        <v>0</v>
      </c>
      <c r="AY684" s="41" t="s">
        <v>557</v>
      </c>
    </row>
    <row r="685" spans="1:51" x14ac:dyDescent="0.2">
      <c r="A685" s="41" t="s">
        <v>102</v>
      </c>
      <c r="B685" s="41">
        <v>1911</v>
      </c>
      <c r="C685" s="41" t="s">
        <v>91</v>
      </c>
      <c r="D685" s="41" t="s">
        <v>88</v>
      </c>
      <c r="E685" s="41">
        <v>0</v>
      </c>
      <c r="F685" s="41" t="s">
        <v>9</v>
      </c>
      <c r="G685" s="53">
        <v>498.85599999999999</v>
      </c>
      <c r="H685" s="46">
        <v>4.5824847250509162</v>
      </c>
      <c r="J685" s="58">
        <v>16</v>
      </c>
      <c r="R685" s="76">
        <f t="shared" si="122"/>
        <v>83.127272727272725</v>
      </c>
      <c r="S685" s="53">
        <v>22.86</v>
      </c>
      <c r="U685" s="76">
        <f t="shared" si="123"/>
        <v>6.3853568000000003</v>
      </c>
      <c r="AH685" s="76">
        <f t="shared" si="124"/>
        <v>415.72872727272727</v>
      </c>
      <c r="AO685" s="53">
        <f t="shared" si="125"/>
        <v>2286</v>
      </c>
      <c r="AP685" s="53">
        <f t="shared" si="125"/>
        <v>0</v>
      </c>
      <c r="AQ685" s="53">
        <f t="shared" si="125"/>
        <v>7981.6959999999999</v>
      </c>
      <c r="AR685" s="53">
        <f t="shared" si="125"/>
        <v>0</v>
      </c>
      <c r="AS685" s="53">
        <f t="shared" si="125"/>
        <v>0</v>
      </c>
      <c r="AT685" s="53">
        <f t="shared" si="125"/>
        <v>0</v>
      </c>
      <c r="AU685" s="53">
        <f t="shared" si="125"/>
        <v>0</v>
      </c>
      <c r="AV685" s="53">
        <f t="shared" si="125"/>
        <v>0</v>
      </c>
      <c r="AW685" s="53">
        <f t="shared" si="125"/>
        <v>0</v>
      </c>
      <c r="AX685" s="53">
        <f t="shared" si="126"/>
        <v>0</v>
      </c>
      <c r="AY685" s="41" t="s">
        <v>557</v>
      </c>
    </row>
    <row r="686" spans="1:51" x14ac:dyDescent="0.2">
      <c r="A686" s="41" t="s">
        <v>102</v>
      </c>
      <c r="B686" s="41">
        <v>1914</v>
      </c>
      <c r="C686" s="41" t="s">
        <v>91</v>
      </c>
      <c r="D686" s="41" t="s">
        <v>88</v>
      </c>
      <c r="E686" s="41">
        <v>0</v>
      </c>
      <c r="F686" s="41" t="s">
        <v>9</v>
      </c>
      <c r="G686" s="53">
        <v>1522.9839999999999</v>
      </c>
      <c r="H686" s="46">
        <v>7.5660910344631143</v>
      </c>
      <c r="J686" s="58">
        <v>16</v>
      </c>
      <c r="R686" s="76">
        <f t="shared" si="122"/>
        <v>419.01947592839167</v>
      </c>
      <c r="S686" s="53">
        <v>115.23035588030771</v>
      </c>
      <c r="U686" s="76">
        <f t="shared" si="123"/>
        <v>19.4941952</v>
      </c>
      <c r="AH686" s="76">
        <f t="shared" si="124"/>
        <v>1103.9645240716081</v>
      </c>
      <c r="AO686" s="53">
        <f t="shared" si="125"/>
        <v>11523.035588030771</v>
      </c>
      <c r="AP686" s="53">
        <f t="shared" si="125"/>
        <v>0</v>
      </c>
      <c r="AQ686" s="53">
        <f t="shared" si="125"/>
        <v>24367.743999999999</v>
      </c>
      <c r="AR686" s="53">
        <f t="shared" si="125"/>
        <v>0</v>
      </c>
      <c r="AS686" s="53">
        <f t="shared" si="125"/>
        <v>0</v>
      </c>
      <c r="AT686" s="53">
        <f t="shared" si="125"/>
        <v>0</v>
      </c>
      <c r="AU686" s="53">
        <f t="shared" si="125"/>
        <v>0</v>
      </c>
      <c r="AV686" s="53">
        <f t="shared" si="125"/>
        <v>0</v>
      </c>
      <c r="AW686" s="53">
        <f t="shared" si="125"/>
        <v>0</v>
      </c>
      <c r="AX686" s="53">
        <f t="shared" si="126"/>
        <v>0</v>
      </c>
      <c r="AY686" s="41" t="s">
        <v>557</v>
      </c>
    </row>
    <row r="687" spans="1:51" x14ac:dyDescent="0.2">
      <c r="A687" s="41" t="s">
        <v>102</v>
      </c>
      <c r="B687" s="41">
        <v>1915</v>
      </c>
      <c r="C687" s="41" t="s">
        <v>91</v>
      </c>
      <c r="D687" s="41" t="s">
        <v>88</v>
      </c>
      <c r="E687" s="41">
        <v>0</v>
      </c>
      <c r="F687" s="41" t="s">
        <v>9</v>
      </c>
      <c r="G687" s="53">
        <v>4419.6000000000004</v>
      </c>
      <c r="H687" s="46">
        <v>10.459770114942529</v>
      </c>
      <c r="J687" s="58">
        <v>16</v>
      </c>
      <c r="R687" s="76">
        <f t="shared" si="122"/>
        <v>1681.0181818181818</v>
      </c>
      <c r="S687" s="53">
        <v>462.28000000000003</v>
      </c>
      <c r="U687" s="76">
        <f t="shared" si="123"/>
        <v>56.570880000000002</v>
      </c>
      <c r="AH687" s="76">
        <f t="shared" si="124"/>
        <v>2738.5818181818186</v>
      </c>
      <c r="AO687" s="53">
        <f t="shared" si="125"/>
        <v>46228.000000000007</v>
      </c>
      <c r="AP687" s="53">
        <f t="shared" si="125"/>
        <v>0</v>
      </c>
      <c r="AQ687" s="53">
        <f t="shared" si="125"/>
        <v>70713.600000000006</v>
      </c>
      <c r="AR687" s="53">
        <f t="shared" si="125"/>
        <v>0</v>
      </c>
      <c r="AS687" s="53">
        <f t="shared" si="125"/>
        <v>0</v>
      </c>
      <c r="AT687" s="53">
        <f t="shared" si="125"/>
        <v>0</v>
      </c>
      <c r="AU687" s="53">
        <f t="shared" si="125"/>
        <v>0</v>
      </c>
      <c r="AV687" s="53">
        <f t="shared" si="125"/>
        <v>0</v>
      </c>
      <c r="AW687" s="53">
        <f t="shared" si="125"/>
        <v>0</v>
      </c>
      <c r="AX687" s="53">
        <f t="shared" si="126"/>
        <v>0</v>
      </c>
      <c r="AY687" s="41" t="s">
        <v>557</v>
      </c>
    </row>
    <row r="688" spans="1:51" x14ac:dyDescent="0.2">
      <c r="A688" s="41" t="s">
        <v>102</v>
      </c>
      <c r="B688" s="41">
        <v>1916</v>
      </c>
      <c r="C688" s="41" t="s">
        <v>91</v>
      </c>
      <c r="D688" s="41" t="s">
        <v>88</v>
      </c>
      <c r="E688" s="41">
        <v>0</v>
      </c>
      <c r="F688" s="41" t="s">
        <v>9</v>
      </c>
      <c r="G688" s="53">
        <v>2570.48</v>
      </c>
      <c r="H688" s="46">
        <v>15.019762845849803</v>
      </c>
      <c r="J688" s="58">
        <v>16</v>
      </c>
      <c r="R688" s="76">
        <f t="shared" si="122"/>
        <v>1403.9272727272726</v>
      </c>
      <c r="S688" s="53">
        <v>386.08</v>
      </c>
      <c r="U688" s="76">
        <f t="shared" si="123"/>
        <v>32.902144</v>
      </c>
      <c r="AH688" s="76">
        <f t="shared" si="124"/>
        <v>1166.5527272727275</v>
      </c>
      <c r="AO688" s="53">
        <f t="shared" si="125"/>
        <v>38608</v>
      </c>
      <c r="AP688" s="53">
        <f t="shared" si="125"/>
        <v>0</v>
      </c>
      <c r="AQ688" s="53">
        <f t="shared" si="125"/>
        <v>41127.68</v>
      </c>
      <c r="AR688" s="53">
        <f t="shared" si="125"/>
        <v>0</v>
      </c>
      <c r="AS688" s="53">
        <f t="shared" si="125"/>
        <v>0</v>
      </c>
      <c r="AT688" s="53">
        <f t="shared" si="125"/>
        <v>0</v>
      </c>
      <c r="AU688" s="53">
        <f t="shared" si="125"/>
        <v>0</v>
      </c>
      <c r="AV688" s="53">
        <f t="shared" si="125"/>
        <v>0</v>
      </c>
      <c r="AW688" s="53">
        <f t="shared" si="125"/>
        <v>0</v>
      </c>
      <c r="AX688" s="53">
        <f t="shared" si="126"/>
        <v>0</v>
      </c>
      <c r="AY688" s="41" t="s">
        <v>557</v>
      </c>
    </row>
    <row r="689" spans="1:51" x14ac:dyDescent="0.2">
      <c r="A689" s="41" t="s">
        <v>102</v>
      </c>
      <c r="B689" s="41">
        <v>1917</v>
      </c>
      <c r="C689" s="41" t="s">
        <v>91</v>
      </c>
      <c r="D689" s="41" t="s">
        <v>88</v>
      </c>
      <c r="E689" s="41">
        <v>0</v>
      </c>
      <c r="F689" s="41" t="s">
        <v>9</v>
      </c>
      <c r="G689" s="53">
        <v>12848.335999999999</v>
      </c>
      <c r="H689" s="46">
        <v>3.5030839791238337</v>
      </c>
      <c r="J689" s="58">
        <v>16</v>
      </c>
      <c r="R689" s="76">
        <f t="shared" si="122"/>
        <v>1636.6836363636364</v>
      </c>
      <c r="S689" s="53">
        <v>450.08800000000002</v>
      </c>
      <c r="U689" s="76">
        <f t="shared" si="123"/>
        <v>164.4587008</v>
      </c>
      <c r="AH689" s="76">
        <f t="shared" si="124"/>
        <v>11211.652363636364</v>
      </c>
      <c r="AO689" s="53">
        <f t="shared" si="125"/>
        <v>45008.799999999996</v>
      </c>
      <c r="AP689" s="53">
        <f t="shared" si="125"/>
        <v>0</v>
      </c>
      <c r="AQ689" s="53">
        <f t="shared" si="125"/>
        <v>205573.37599999999</v>
      </c>
      <c r="AR689" s="53">
        <f t="shared" si="125"/>
        <v>0</v>
      </c>
      <c r="AS689" s="53">
        <f t="shared" si="125"/>
        <v>0</v>
      </c>
      <c r="AT689" s="53">
        <f t="shared" si="125"/>
        <v>0</v>
      </c>
      <c r="AU689" s="53">
        <f t="shared" si="125"/>
        <v>0</v>
      </c>
      <c r="AV689" s="53">
        <f t="shared" si="125"/>
        <v>0</v>
      </c>
      <c r="AW689" s="53">
        <f t="shared" si="125"/>
        <v>0</v>
      </c>
      <c r="AX689" s="53">
        <f t="shared" si="126"/>
        <v>0</v>
      </c>
      <c r="AY689" s="41" t="s">
        <v>557</v>
      </c>
    </row>
    <row r="690" spans="1:51" x14ac:dyDescent="0.2">
      <c r="A690" s="41" t="s">
        <v>102</v>
      </c>
      <c r="B690" s="41">
        <v>1918</v>
      </c>
      <c r="C690" s="41" t="s">
        <v>91</v>
      </c>
      <c r="D690" s="41" t="s">
        <v>88</v>
      </c>
      <c r="E690" s="41">
        <v>0</v>
      </c>
      <c r="F690" s="41" t="s">
        <v>9</v>
      </c>
      <c r="G690" s="53">
        <v>55908.448000000004</v>
      </c>
      <c r="H690" s="46">
        <v>4.0561168859489714</v>
      </c>
      <c r="J690" s="58">
        <v>16</v>
      </c>
      <c r="R690" s="76">
        <f t="shared" si="122"/>
        <v>8246.2254545454543</v>
      </c>
      <c r="S690" s="53">
        <v>2267.712</v>
      </c>
      <c r="U690" s="76">
        <f t="shared" si="123"/>
        <v>715.62813440000014</v>
      </c>
      <c r="AH690" s="76">
        <f t="shared" si="124"/>
        <v>47662.222545454548</v>
      </c>
      <c r="AO690" s="53">
        <f t="shared" si="125"/>
        <v>226771.20000000001</v>
      </c>
      <c r="AP690" s="53">
        <f t="shared" si="125"/>
        <v>0</v>
      </c>
      <c r="AQ690" s="53">
        <f t="shared" si="125"/>
        <v>894535.16800000006</v>
      </c>
      <c r="AR690" s="53">
        <f t="shared" si="125"/>
        <v>0</v>
      </c>
      <c r="AS690" s="53">
        <f t="shared" si="125"/>
        <v>0</v>
      </c>
      <c r="AT690" s="53">
        <f t="shared" si="125"/>
        <v>0</v>
      </c>
      <c r="AU690" s="53">
        <f t="shared" si="125"/>
        <v>0</v>
      </c>
      <c r="AV690" s="53">
        <f t="shared" si="125"/>
        <v>0</v>
      </c>
      <c r="AW690" s="53">
        <f t="shared" si="125"/>
        <v>0</v>
      </c>
      <c r="AX690" s="53">
        <f t="shared" si="126"/>
        <v>0</v>
      </c>
      <c r="AY690" s="41" t="s">
        <v>557</v>
      </c>
    </row>
    <row r="691" spans="1:51" x14ac:dyDescent="0.2">
      <c r="A691" s="41" t="s">
        <v>102</v>
      </c>
      <c r="B691" s="41">
        <v>1919</v>
      </c>
      <c r="C691" s="41" t="s">
        <v>91</v>
      </c>
      <c r="D691" s="41" t="s">
        <v>88</v>
      </c>
      <c r="E691" s="41">
        <v>0</v>
      </c>
      <c r="F691" s="41" t="s">
        <v>9</v>
      </c>
      <c r="G691" s="53">
        <v>15876.016</v>
      </c>
      <c r="H691" s="46">
        <v>2.534237808780238</v>
      </c>
      <c r="J691" s="58">
        <v>16</v>
      </c>
      <c r="R691" s="76">
        <f t="shared" si="122"/>
        <v>1463.04</v>
      </c>
      <c r="S691" s="53">
        <v>402.33600000000001</v>
      </c>
      <c r="U691" s="76">
        <f t="shared" si="123"/>
        <v>203.21300479999999</v>
      </c>
      <c r="AH691" s="76">
        <f t="shared" si="124"/>
        <v>14412.975999999999</v>
      </c>
      <c r="AO691" s="53">
        <f t="shared" si="125"/>
        <v>40233.599999999999</v>
      </c>
      <c r="AP691" s="53">
        <f t="shared" si="125"/>
        <v>0</v>
      </c>
      <c r="AQ691" s="53">
        <f t="shared" si="125"/>
        <v>254016.25599999999</v>
      </c>
      <c r="AR691" s="53">
        <f t="shared" si="125"/>
        <v>0</v>
      </c>
      <c r="AS691" s="53">
        <f t="shared" si="125"/>
        <v>0</v>
      </c>
      <c r="AT691" s="53">
        <f t="shared" si="125"/>
        <v>0</v>
      </c>
      <c r="AU691" s="53">
        <f t="shared" si="125"/>
        <v>0</v>
      </c>
      <c r="AV691" s="53">
        <f t="shared" si="125"/>
        <v>0</v>
      </c>
      <c r="AW691" s="53">
        <f t="shared" si="125"/>
        <v>0</v>
      </c>
      <c r="AX691" s="53">
        <f t="shared" si="126"/>
        <v>0</v>
      </c>
      <c r="AY691" s="41" t="s">
        <v>557</v>
      </c>
    </row>
    <row r="692" spans="1:51" x14ac:dyDescent="0.2">
      <c r="A692" s="41" t="s">
        <v>102</v>
      </c>
      <c r="B692" s="41">
        <v>1920</v>
      </c>
      <c r="C692" s="41" t="s">
        <v>91</v>
      </c>
      <c r="D692" s="41" t="s">
        <v>88</v>
      </c>
      <c r="E692" s="41">
        <v>0</v>
      </c>
      <c r="F692" s="41" t="s">
        <v>9</v>
      </c>
      <c r="G692" s="53">
        <v>7999.9840000000004</v>
      </c>
      <c r="H692" s="46">
        <v>2.9464058928117858</v>
      </c>
      <c r="J692" s="58">
        <v>16</v>
      </c>
      <c r="R692" s="76">
        <f t="shared" si="122"/>
        <v>857.13454545454533</v>
      </c>
      <c r="S692" s="53">
        <v>235.71199999999999</v>
      </c>
      <c r="U692" s="76">
        <f t="shared" si="123"/>
        <v>102.39979520000001</v>
      </c>
      <c r="AH692" s="76">
        <f t="shared" si="124"/>
        <v>7142.849454545455</v>
      </c>
      <c r="AO692" s="53">
        <f t="shared" si="125"/>
        <v>23571.200000000001</v>
      </c>
      <c r="AP692" s="53">
        <f t="shared" si="125"/>
        <v>0</v>
      </c>
      <c r="AQ692" s="53">
        <f t="shared" si="125"/>
        <v>127999.74400000001</v>
      </c>
      <c r="AR692" s="53">
        <f t="shared" si="125"/>
        <v>0</v>
      </c>
      <c r="AS692" s="53">
        <f t="shared" si="125"/>
        <v>0</v>
      </c>
      <c r="AT692" s="53">
        <f t="shared" si="125"/>
        <v>0</v>
      </c>
      <c r="AU692" s="53">
        <f t="shared" si="125"/>
        <v>0</v>
      </c>
      <c r="AV692" s="53">
        <f t="shared" si="125"/>
        <v>0</v>
      </c>
      <c r="AW692" s="53">
        <f t="shared" si="125"/>
        <v>0</v>
      </c>
      <c r="AX692" s="53">
        <f t="shared" si="126"/>
        <v>0</v>
      </c>
      <c r="AY692" s="41" t="s">
        <v>557</v>
      </c>
    </row>
    <row r="693" spans="1:51" x14ac:dyDescent="0.2">
      <c r="A693" s="41" t="s">
        <v>102</v>
      </c>
      <c r="B693" s="41">
        <v>1963</v>
      </c>
      <c r="C693" s="41" t="s">
        <v>91</v>
      </c>
      <c r="D693" s="41" t="s">
        <v>88</v>
      </c>
      <c r="E693" s="41">
        <v>0</v>
      </c>
      <c r="F693" s="41" t="s">
        <v>9</v>
      </c>
      <c r="G693" s="53">
        <v>6315</v>
      </c>
      <c r="H693" s="46">
        <v>1.840855106888361</v>
      </c>
      <c r="J693" s="58">
        <v>16</v>
      </c>
      <c r="R693" s="76">
        <f t="shared" si="122"/>
        <v>338.18181818181813</v>
      </c>
      <c r="S693" s="53">
        <v>93</v>
      </c>
      <c r="U693" s="76">
        <f t="shared" si="123"/>
        <v>80.831999999999994</v>
      </c>
      <c r="AH693" s="76">
        <f t="shared" si="124"/>
        <v>5976.818181818182</v>
      </c>
      <c r="AO693" s="53">
        <f t="shared" si="125"/>
        <v>11625</v>
      </c>
      <c r="AP693" s="53">
        <f t="shared" si="125"/>
        <v>0</v>
      </c>
      <c r="AQ693" s="53">
        <f t="shared" si="125"/>
        <v>101040</v>
      </c>
      <c r="AR693" s="53">
        <f t="shared" si="125"/>
        <v>0</v>
      </c>
      <c r="AS693" s="53">
        <f t="shared" si="125"/>
        <v>0</v>
      </c>
      <c r="AT693" s="53">
        <f t="shared" si="125"/>
        <v>0</v>
      </c>
      <c r="AU693" s="53">
        <f t="shared" si="125"/>
        <v>0</v>
      </c>
      <c r="AV693" s="53">
        <f t="shared" si="125"/>
        <v>0</v>
      </c>
      <c r="AW693" s="53">
        <f t="shared" si="125"/>
        <v>0</v>
      </c>
      <c r="AX693" s="53">
        <f t="shared" si="126"/>
        <v>0</v>
      </c>
      <c r="AY693" s="41" t="s">
        <v>557</v>
      </c>
    </row>
    <row r="694" spans="1:51" x14ac:dyDescent="0.2">
      <c r="A694" s="41" t="s">
        <v>102</v>
      </c>
      <c r="B694" s="41">
        <v>1964</v>
      </c>
      <c r="C694" s="41" t="s">
        <v>91</v>
      </c>
      <c r="D694" s="41" t="s">
        <v>88</v>
      </c>
      <c r="E694" s="41">
        <v>0</v>
      </c>
      <c r="F694" s="41" t="s">
        <v>9</v>
      </c>
      <c r="G694" s="53">
        <v>16158</v>
      </c>
      <c r="H694" s="41">
        <v>2.36</v>
      </c>
      <c r="J694" s="58">
        <v>16</v>
      </c>
      <c r="R694" s="76">
        <f t="shared" si="122"/>
        <v>1141.8181818181818</v>
      </c>
      <c r="S694" s="53">
        <v>314</v>
      </c>
      <c r="U694" s="76">
        <f t="shared" si="123"/>
        <v>206.82240000000002</v>
      </c>
      <c r="AH694" s="76">
        <f t="shared" si="124"/>
        <v>15016.181818181818</v>
      </c>
      <c r="AO694" s="53">
        <f t="shared" si="125"/>
        <v>38132.879999999997</v>
      </c>
      <c r="AP694" s="53">
        <f t="shared" si="125"/>
        <v>0</v>
      </c>
      <c r="AQ694" s="53">
        <f t="shared" si="125"/>
        <v>258528</v>
      </c>
      <c r="AR694" s="53">
        <f t="shared" si="125"/>
        <v>0</v>
      </c>
      <c r="AS694" s="53">
        <f t="shared" si="125"/>
        <v>0</v>
      </c>
      <c r="AT694" s="53">
        <f t="shared" si="125"/>
        <v>0</v>
      </c>
      <c r="AU694" s="53">
        <f t="shared" si="125"/>
        <v>0</v>
      </c>
      <c r="AV694" s="53">
        <f t="shared" si="125"/>
        <v>0</v>
      </c>
      <c r="AW694" s="53">
        <f t="shared" si="125"/>
        <v>0</v>
      </c>
      <c r="AX694" s="53">
        <f t="shared" si="126"/>
        <v>0</v>
      </c>
      <c r="AY694" s="41" t="s">
        <v>557</v>
      </c>
    </row>
    <row r="695" spans="1:51" x14ac:dyDescent="0.2">
      <c r="A695" s="41" t="s">
        <v>102</v>
      </c>
      <c r="B695" s="41">
        <v>1965</v>
      </c>
      <c r="C695" s="41" t="s">
        <v>91</v>
      </c>
      <c r="D695" s="41" t="s">
        <v>88</v>
      </c>
      <c r="E695" s="41">
        <v>0</v>
      </c>
      <c r="F695" s="41" t="s">
        <v>9</v>
      </c>
      <c r="G695" s="53">
        <v>201917</v>
      </c>
      <c r="H695" s="41">
        <v>2.16</v>
      </c>
      <c r="J695" s="58">
        <v>16</v>
      </c>
      <c r="R695" s="76">
        <f t="shared" si="122"/>
        <v>14385.454545454544</v>
      </c>
      <c r="S695" s="53">
        <v>3956</v>
      </c>
      <c r="U695" s="76">
        <f t="shared" si="123"/>
        <v>2584.5376000000001</v>
      </c>
      <c r="AH695" s="76">
        <f t="shared" si="124"/>
        <v>187531.54545454547</v>
      </c>
      <c r="AO695" s="53">
        <f t="shared" si="125"/>
        <v>436140.72000000003</v>
      </c>
      <c r="AP695" s="53">
        <f t="shared" si="125"/>
        <v>0</v>
      </c>
      <c r="AQ695" s="53">
        <f t="shared" si="125"/>
        <v>3230672</v>
      </c>
      <c r="AR695" s="53">
        <f t="shared" si="125"/>
        <v>0</v>
      </c>
      <c r="AS695" s="53">
        <f t="shared" si="125"/>
        <v>0</v>
      </c>
      <c r="AT695" s="53">
        <f t="shared" si="125"/>
        <v>0</v>
      </c>
      <c r="AU695" s="53">
        <f t="shared" si="125"/>
        <v>0</v>
      </c>
      <c r="AV695" s="53">
        <f t="shared" si="125"/>
        <v>0</v>
      </c>
      <c r="AW695" s="53">
        <f t="shared" si="125"/>
        <v>0</v>
      </c>
      <c r="AX695" s="53">
        <f t="shared" si="126"/>
        <v>0</v>
      </c>
      <c r="AY695" s="41" t="s">
        <v>557</v>
      </c>
    </row>
    <row r="696" spans="1:51" x14ac:dyDescent="0.2">
      <c r="A696" s="41" t="s">
        <v>102</v>
      </c>
      <c r="B696" s="41">
        <v>1966</v>
      </c>
      <c r="C696" s="41" t="s">
        <v>91</v>
      </c>
      <c r="D696" s="41" t="s">
        <v>88</v>
      </c>
      <c r="E696" s="41">
        <v>0</v>
      </c>
      <c r="F696" s="41" t="s">
        <v>9</v>
      </c>
      <c r="G696" s="53">
        <v>426294</v>
      </c>
      <c r="H696" s="46">
        <v>2</v>
      </c>
      <c r="J696" s="58">
        <v>16</v>
      </c>
      <c r="R696" s="76">
        <f t="shared" si="122"/>
        <v>28338.181818181816</v>
      </c>
      <c r="S696" s="53">
        <v>7793</v>
      </c>
      <c r="U696" s="76">
        <f t="shared" si="123"/>
        <v>5456.5632000000005</v>
      </c>
      <c r="AH696" s="76">
        <f t="shared" si="124"/>
        <v>397955.81818181818</v>
      </c>
      <c r="AO696" s="53">
        <f t="shared" si="125"/>
        <v>852588</v>
      </c>
      <c r="AP696" s="53">
        <f t="shared" si="125"/>
        <v>0</v>
      </c>
      <c r="AQ696" s="53">
        <f t="shared" si="125"/>
        <v>6820704</v>
      </c>
      <c r="AR696" s="53">
        <f t="shared" si="125"/>
        <v>0</v>
      </c>
      <c r="AS696" s="53">
        <f t="shared" si="125"/>
        <v>0</v>
      </c>
      <c r="AT696" s="53">
        <f t="shared" si="125"/>
        <v>0</v>
      </c>
      <c r="AU696" s="53">
        <f t="shared" si="125"/>
        <v>0</v>
      </c>
      <c r="AV696" s="53">
        <f t="shared" si="125"/>
        <v>0</v>
      </c>
      <c r="AW696" s="53">
        <f t="shared" si="125"/>
        <v>0</v>
      </c>
      <c r="AX696" s="53">
        <f t="shared" si="126"/>
        <v>0</v>
      </c>
      <c r="AY696" s="41" t="s">
        <v>557</v>
      </c>
    </row>
    <row r="697" spans="1:51" x14ac:dyDescent="0.2">
      <c r="A697" s="41" t="s">
        <v>102</v>
      </c>
      <c r="B697" s="41">
        <v>1967</v>
      </c>
      <c r="C697" s="41" t="s">
        <v>91</v>
      </c>
      <c r="D697" s="41" t="s">
        <v>88</v>
      </c>
      <c r="E697" s="41">
        <v>0</v>
      </c>
      <c r="F697" s="41" t="s">
        <v>9</v>
      </c>
      <c r="G697" s="53">
        <v>470239</v>
      </c>
      <c r="H697" s="41">
        <v>1.84</v>
      </c>
      <c r="J697" s="58">
        <v>16</v>
      </c>
      <c r="R697" s="76">
        <f t="shared" si="122"/>
        <v>30025.454545454544</v>
      </c>
      <c r="S697" s="53">
        <v>8257</v>
      </c>
      <c r="U697" s="76">
        <f t="shared" si="123"/>
        <v>6019.0592000000006</v>
      </c>
      <c r="AH697" s="76">
        <f t="shared" si="124"/>
        <v>440213.54545454547</v>
      </c>
      <c r="AO697" s="53">
        <f t="shared" si="125"/>
        <v>865239.76</v>
      </c>
      <c r="AP697" s="53">
        <f t="shared" si="125"/>
        <v>0</v>
      </c>
      <c r="AQ697" s="53">
        <f t="shared" si="125"/>
        <v>7523824</v>
      </c>
      <c r="AR697" s="53">
        <f t="shared" si="125"/>
        <v>0</v>
      </c>
      <c r="AS697" s="53">
        <f t="shared" si="125"/>
        <v>0</v>
      </c>
      <c r="AT697" s="53">
        <f t="shared" si="125"/>
        <v>0</v>
      </c>
      <c r="AU697" s="53">
        <f t="shared" si="125"/>
        <v>0</v>
      </c>
      <c r="AV697" s="53">
        <f t="shared" si="125"/>
        <v>0</v>
      </c>
      <c r="AW697" s="53">
        <f t="shared" si="125"/>
        <v>0</v>
      </c>
      <c r="AX697" s="53">
        <f t="shared" si="126"/>
        <v>0</v>
      </c>
      <c r="AY697" s="41" t="s">
        <v>557</v>
      </c>
    </row>
    <row r="698" spans="1:51" x14ac:dyDescent="0.2">
      <c r="A698" s="41" t="s">
        <v>102</v>
      </c>
      <c r="B698" s="41">
        <v>1968</v>
      </c>
      <c r="C698" s="41" t="s">
        <v>91</v>
      </c>
      <c r="D698" s="41" t="s">
        <v>88</v>
      </c>
      <c r="E698" s="41">
        <v>0</v>
      </c>
      <c r="F698" s="41" t="s">
        <v>9</v>
      </c>
      <c r="G698" s="53">
        <v>634705</v>
      </c>
      <c r="H698" s="41">
        <v>1.81</v>
      </c>
      <c r="J698" s="58">
        <v>16</v>
      </c>
      <c r="R698" s="76">
        <f t="shared" si="122"/>
        <v>39581.818181818177</v>
      </c>
      <c r="S698" s="53">
        <v>10885</v>
      </c>
      <c r="U698" s="76">
        <f t="shared" si="123"/>
        <v>8124.2240000000002</v>
      </c>
      <c r="AH698" s="76">
        <f t="shared" si="124"/>
        <v>595123.18181818188</v>
      </c>
      <c r="AO698" s="53">
        <f t="shared" si="125"/>
        <v>1148816.05</v>
      </c>
      <c r="AP698" s="53">
        <f t="shared" si="125"/>
        <v>0</v>
      </c>
      <c r="AQ698" s="53">
        <f t="shared" si="125"/>
        <v>10155280</v>
      </c>
      <c r="AR698" s="53">
        <f t="shared" si="125"/>
        <v>0</v>
      </c>
      <c r="AS698" s="53">
        <f t="shared" si="125"/>
        <v>0</v>
      </c>
      <c r="AT698" s="53">
        <f t="shared" si="125"/>
        <v>0</v>
      </c>
      <c r="AU698" s="53">
        <f t="shared" si="125"/>
        <v>0</v>
      </c>
      <c r="AV698" s="53">
        <f t="shared" si="125"/>
        <v>0</v>
      </c>
      <c r="AW698" s="53">
        <f t="shared" si="125"/>
        <v>0</v>
      </c>
      <c r="AX698" s="53">
        <f t="shared" si="126"/>
        <v>0</v>
      </c>
      <c r="AY698" s="41" t="s">
        <v>557</v>
      </c>
    </row>
    <row r="699" spans="1:51" x14ac:dyDescent="0.2">
      <c r="A699" s="41" t="s">
        <v>102</v>
      </c>
      <c r="B699" s="41">
        <v>1969</v>
      </c>
      <c r="C699" s="41" t="s">
        <v>91</v>
      </c>
      <c r="D699" s="41" t="s">
        <v>88</v>
      </c>
      <c r="E699" s="41">
        <v>0</v>
      </c>
      <c r="F699" s="41" t="s">
        <v>9</v>
      </c>
      <c r="G699" s="53">
        <v>704528</v>
      </c>
      <c r="H699" s="41">
        <v>1.75</v>
      </c>
      <c r="J699" s="58">
        <v>16</v>
      </c>
      <c r="R699" s="76">
        <f t="shared" si="122"/>
        <v>43349.090909090904</v>
      </c>
      <c r="S699" s="53">
        <v>11921</v>
      </c>
      <c r="U699" s="76">
        <f t="shared" si="123"/>
        <v>9017.9583999999995</v>
      </c>
      <c r="AH699" s="76">
        <f t="shared" si="124"/>
        <v>661178.90909090906</v>
      </c>
      <c r="AO699" s="53">
        <f t="shared" si="125"/>
        <v>1232924</v>
      </c>
      <c r="AP699" s="53">
        <f t="shared" si="125"/>
        <v>0</v>
      </c>
      <c r="AQ699" s="53">
        <f t="shared" si="125"/>
        <v>11272448</v>
      </c>
      <c r="AR699" s="53">
        <f t="shared" si="125"/>
        <v>0</v>
      </c>
      <c r="AS699" s="53">
        <f t="shared" si="125"/>
        <v>0</v>
      </c>
      <c r="AT699" s="53">
        <f t="shared" si="125"/>
        <v>0</v>
      </c>
      <c r="AU699" s="53">
        <f t="shared" si="125"/>
        <v>0</v>
      </c>
      <c r="AV699" s="53">
        <f t="shared" si="125"/>
        <v>0</v>
      </c>
      <c r="AW699" s="53">
        <f t="shared" si="125"/>
        <v>0</v>
      </c>
      <c r="AX699" s="53">
        <f t="shared" si="126"/>
        <v>0</v>
      </c>
      <c r="AY699" s="41" t="s">
        <v>557</v>
      </c>
    </row>
    <row r="700" spans="1:51" x14ac:dyDescent="0.2">
      <c r="A700" s="41" t="s">
        <v>102</v>
      </c>
      <c r="B700" s="41">
        <v>1970</v>
      </c>
      <c r="C700" s="41" t="s">
        <v>91</v>
      </c>
      <c r="D700" s="41" t="s">
        <v>88</v>
      </c>
      <c r="E700" s="41">
        <v>0</v>
      </c>
      <c r="F700" s="41" t="s">
        <v>9</v>
      </c>
      <c r="G700" s="53">
        <v>635325</v>
      </c>
      <c r="H700" s="41">
        <v>1.69</v>
      </c>
      <c r="J700" s="58">
        <v>16</v>
      </c>
      <c r="R700" s="76">
        <f t="shared" si="122"/>
        <v>38603.63636363636</v>
      </c>
      <c r="S700" s="53">
        <v>10616</v>
      </c>
      <c r="U700" s="76">
        <f t="shared" si="123"/>
        <v>8132.16</v>
      </c>
      <c r="AH700" s="76">
        <f t="shared" si="124"/>
        <v>596721.36363636365</v>
      </c>
      <c r="AO700" s="53">
        <f t="shared" si="125"/>
        <v>1073699.25</v>
      </c>
      <c r="AP700" s="53">
        <f t="shared" si="125"/>
        <v>0</v>
      </c>
      <c r="AQ700" s="53">
        <f t="shared" si="125"/>
        <v>10165200</v>
      </c>
      <c r="AR700" s="53">
        <f t="shared" si="125"/>
        <v>0</v>
      </c>
      <c r="AS700" s="53">
        <f t="shared" si="125"/>
        <v>0</v>
      </c>
      <c r="AT700" s="53">
        <f t="shared" si="125"/>
        <v>0</v>
      </c>
      <c r="AU700" s="53">
        <f t="shared" si="125"/>
        <v>0</v>
      </c>
      <c r="AV700" s="53">
        <f t="shared" si="125"/>
        <v>0</v>
      </c>
      <c r="AW700" s="53">
        <f t="shared" si="125"/>
        <v>0</v>
      </c>
      <c r="AX700" s="53">
        <f t="shared" si="126"/>
        <v>0</v>
      </c>
      <c r="AY700" s="41" t="s">
        <v>557</v>
      </c>
    </row>
    <row r="701" spans="1:51" x14ac:dyDescent="0.2">
      <c r="A701" s="41" t="s">
        <v>102</v>
      </c>
      <c r="B701" s="41">
        <v>1971</v>
      </c>
      <c r="C701" s="41" t="s">
        <v>91</v>
      </c>
      <c r="D701" s="41" t="s">
        <v>88</v>
      </c>
      <c r="E701" s="41">
        <v>0</v>
      </c>
      <c r="F701" s="41" t="s">
        <v>9</v>
      </c>
      <c r="G701" s="53">
        <v>431825</v>
      </c>
      <c r="H701" s="41">
        <v>1.58</v>
      </c>
      <c r="J701" s="58">
        <v>16</v>
      </c>
      <c r="R701" s="76">
        <f t="shared" si="122"/>
        <v>25956.363636363636</v>
      </c>
      <c r="S701" s="53">
        <v>7138</v>
      </c>
      <c r="U701" s="76">
        <f t="shared" si="123"/>
        <v>5527.36</v>
      </c>
      <c r="AH701" s="76">
        <f t="shared" si="124"/>
        <v>405868.63636363635</v>
      </c>
      <c r="AO701" s="53">
        <f t="shared" si="125"/>
        <v>682283.5</v>
      </c>
      <c r="AP701" s="53">
        <f t="shared" si="125"/>
        <v>0</v>
      </c>
      <c r="AQ701" s="53">
        <f t="shared" si="125"/>
        <v>6909200</v>
      </c>
      <c r="AR701" s="53">
        <f t="shared" si="125"/>
        <v>0</v>
      </c>
      <c r="AS701" s="53">
        <f t="shared" si="125"/>
        <v>0</v>
      </c>
      <c r="AT701" s="53">
        <f t="shared" si="125"/>
        <v>0</v>
      </c>
      <c r="AU701" s="53">
        <f t="shared" si="125"/>
        <v>0</v>
      </c>
      <c r="AV701" s="53">
        <f t="shared" si="125"/>
        <v>0</v>
      </c>
      <c r="AW701" s="53">
        <f t="shared" si="125"/>
        <v>0</v>
      </c>
      <c r="AX701" s="53">
        <f t="shared" si="126"/>
        <v>0</v>
      </c>
      <c r="AY701" s="41" t="s">
        <v>557</v>
      </c>
    </row>
    <row r="702" spans="1:51" x14ac:dyDescent="0.2">
      <c r="A702" s="41" t="s">
        <v>102</v>
      </c>
      <c r="B702" s="41">
        <v>1972</v>
      </c>
      <c r="C702" s="41" t="s">
        <v>91</v>
      </c>
      <c r="D702" s="41" t="s">
        <v>88</v>
      </c>
      <c r="E702" s="41">
        <v>0</v>
      </c>
      <c r="F702" s="41" t="s">
        <v>9</v>
      </c>
      <c r="G702" s="53">
        <v>681760</v>
      </c>
      <c r="H702" s="41">
        <v>1.77</v>
      </c>
      <c r="J702" s="58">
        <v>16</v>
      </c>
      <c r="R702" s="76">
        <f t="shared" si="122"/>
        <v>41080</v>
      </c>
      <c r="S702" s="53">
        <v>11297</v>
      </c>
      <c r="U702" s="76">
        <f t="shared" si="123"/>
        <v>8726.5280000000002</v>
      </c>
      <c r="AH702" s="76">
        <f t="shared" si="124"/>
        <v>640680</v>
      </c>
      <c r="AO702" s="53">
        <f t="shared" si="125"/>
        <v>1206715.2</v>
      </c>
      <c r="AP702" s="53">
        <f t="shared" si="125"/>
        <v>0</v>
      </c>
      <c r="AQ702" s="53">
        <f t="shared" si="125"/>
        <v>10908160</v>
      </c>
      <c r="AR702" s="53">
        <f t="shared" si="125"/>
        <v>0</v>
      </c>
      <c r="AS702" s="53">
        <f t="shared" si="125"/>
        <v>0</v>
      </c>
      <c r="AT702" s="53">
        <f t="shared" si="125"/>
        <v>0</v>
      </c>
      <c r="AU702" s="53">
        <f t="shared" si="125"/>
        <v>0</v>
      </c>
      <c r="AV702" s="53">
        <f t="shared" si="125"/>
        <v>0</v>
      </c>
      <c r="AW702" s="53">
        <f t="shared" si="125"/>
        <v>0</v>
      </c>
      <c r="AX702" s="53">
        <f t="shared" si="126"/>
        <v>0</v>
      </c>
      <c r="AY702" s="41" t="s">
        <v>557</v>
      </c>
    </row>
    <row r="703" spans="1:51" x14ac:dyDescent="0.2">
      <c r="A703" s="41" t="s">
        <v>102</v>
      </c>
      <c r="B703" s="41">
        <v>1973</v>
      </c>
      <c r="C703" s="41" t="s">
        <v>91</v>
      </c>
      <c r="D703" s="41" t="s">
        <v>88</v>
      </c>
      <c r="E703" s="41">
        <v>0</v>
      </c>
      <c r="F703" s="41" t="s">
        <v>9</v>
      </c>
      <c r="G703" s="53">
        <v>660130</v>
      </c>
      <c r="H703" s="41">
        <v>1.72</v>
      </c>
      <c r="J703" s="58">
        <v>16</v>
      </c>
      <c r="R703" s="76">
        <f t="shared" si="122"/>
        <v>39680</v>
      </c>
      <c r="S703" s="53">
        <v>10912</v>
      </c>
      <c r="U703" s="76">
        <f t="shared" si="123"/>
        <v>8449.6640000000007</v>
      </c>
      <c r="AH703" s="76">
        <f t="shared" si="124"/>
        <v>620450</v>
      </c>
      <c r="AO703" s="53">
        <f t="shared" si="125"/>
        <v>1135423.6000000001</v>
      </c>
      <c r="AP703" s="53">
        <f t="shared" si="125"/>
        <v>0</v>
      </c>
      <c r="AQ703" s="53">
        <f t="shared" si="125"/>
        <v>10562080</v>
      </c>
      <c r="AR703" s="53">
        <f t="shared" si="125"/>
        <v>0</v>
      </c>
      <c r="AS703" s="53">
        <f t="shared" si="125"/>
        <v>0</v>
      </c>
      <c r="AT703" s="53">
        <f t="shared" si="125"/>
        <v>0</v>
      </c>
      <c r="AU703" s="53">
        <f t="shared" si="125"/>
        <v>0</v>
      </c>
      <c r="AV703" s="53">
        <f t="shared" si="125"/>
        <v>0</v>
      </c>
      <c r="AW703" s="53">
        <f t="shared" si="125"/>
        <v>0</v>
      </c>
      <c r="AX703" s="53">
        <f t="shared" si="126"/>
        <v>0</v>
      </c>
      <c r="AY703" s="41" t="s">
        <v>557</v>
      </c>
    </row>
    <row r="704" spans="1:51" x14ac:dyDescent="0.2">
      <c r="A704" s="41" t="s">
        <v>102</v>
      </c>
      <c r="B704" s="41">
        <v>1974</v>
      </c>
      <c r="C704" s="41" t="s">
        <v>91</v>
      </c>
      <c r="D704" s="41" t="s">
        <v>88</v>
      </c>
      <c r="E704" s="41">
        <v>0</v>
      </c>
      <c r="F704" s="41" t="s">
        <v>9</v>
      </c>
      <c r="G704" s="53">
        <v>607430</v>
      </c>
      <c r="H704" s="46">
        <v>1.7</v>
      </c>
      <c r="J704" s="58">
        <v>16</v>
      </c>
      <c r="R704" s="76">
        <f t="shared" si="122"/>
        <v>36378.181818181816</v>
      </c>
      <c r="S704" s="53">
        <v>10004</v>
      </c>
      <c r="U704" s="76">
        <f t="shared" si="123"/>
        <v>7775.1040000000003</v>
      </c>
      <c r="AH704" s="76">
        <f t="shared" si="124"/>
        <v>571051.81818181823</v>
      </c>
      <c r="AO704" s="53">
        <f t="shared" si="125"/>
        <v>1032631</v>
      </c>
      <c r="AP704" s="53">
        <f t="shared" si="125"/>
        <v>0</v>
      </c>
      <c r="AQ704" s="53">
        <f t="shared" si="125"/>
        <v>9718880</v>
      </c>
      <c r="AR704" s="53">
        <f t="shared" si="125"/>
        <v>0</v>
      </c>
      <c r="AS704" s="53">
        <f t="shared" si="125"/>
        <v>0</v>
      </c>
      <c r="AT704" s="53">
        <f t="shared" si="125"/>
        <v>0</v>
      </c>
      <c r="AU704" s="53">
        <f t="shared" si="125"/>
        <v>0</v>
      </c>
      <c r="AV704" s="53">
        <f t="shared" si="125"/>
        <v>0</v>
      </c>
      <c r="AW704" s="53">
        <f t="shared" si="125"/>
        <v>0</v>
      </c>
      <c r="AX704" s="53">
        <f t="shared" si="126"/>
        <v>0</v>
      </c>
      <c r="AY704" s="41" t="s">
        <v>557</v>
      </c>
    </row>
    <row r="705" spans="1:51" x14ac:dyDescent="0.2">
      <c r="A705" s="41" t="s">
        <v>102</v>
      </c>
      <c r="B705" s="41">
        <v>1975</v>
      </c>
      <c r="C705" s="41" t="s">
        <v>91</v>
      </c>
      <c r="D705" s="41" t="s">
        <v>88</v>
      </c>
      <c r="E705" s="41">
        <v>0</v>
      </c>
      <c r="F705" s="41" t="s">
        <v>9</v>
      </c>
      <c r="G705" s="53">
        <v>594430</v>
      </c>
      <c r="H705" s="41">
        <v>1.54</v>
      </c>
      <c r="J705" s="58">
        <v>16</v>
      </c>
      <c r="R705" s="76">
        <f t="shared" si="122"/>
        <v>35145.454545454544</v>
      </c>
      <c r="S705" s="53">
        <v>9665</v>
      </c>
      <c r="U705" s="76">
        <f t="shared" si="123"/>
        <v>7608.7039999999997</v>
      </c>
      <c r="AH705" s="76">
        <f t="shared" si="124"/>
        <v>559284.54545454541</v>
      </c>
      <c r="AO705" s="53">
        <f t="shared" si="125"/>
        <v>915422.20000000007</v>
      </c>
      <c r="AP705" s="53">
        <f t="shared" si="125"/>
        <v>0</v>
      </c>
      <c r="AQ705" s="53">
        <f t="shared" si="125"/>
        <v>9510880</v>
      </c>
      <c r="AR705" s="53">
        <f t="shared" si="125"/>
        <v>0</v>
      </c>
      <c r="AS705" s="53">
        <f t="shared" si="125"/>
        <v>0</v>
      </c>
      <c r="AT705" s="53">
        <f t="shared" si="125"/>
        <v>0</v>
      </c>
      <c r="AU705" s="53">
        <f t="shared" si="125"/>
        <v>0</v>
      </c>
      <c r="AV705" s="53">
        <f t="shared" si="125"/>
        <v>0</v>
      </c>
      <c r="AW705" s="53">
        <f t="shared" si="125"/>
        <v>0</v>
      </c>
      <c r="AX705" s="53">
        <f t="shared" si="126"/>
        <v>0</v>
      </c>
      <c r="AY705" s="41" t="s">
        <v>557</v>
      </c>
    </row>
    <row r="706" spans="1:51" x14ac:dyDescent="0.2">
      <c r="A706" s="41" t="s">
        <v>102</v>
      </c>
      <c r="B706" s="41">
        <v>1976</v>
      </c>
      <c r="C706" s="41" t="s">
        <v>91</v>
      </c>
      <c r="D706" s="41" t="s">
        <v>88</v>
      </c>
      <c r="E706" s="41">
        <v>0</v>
      </c>
      <c r="F706" s="41" t="s">
        <v>9</v>
      </c>
      <c r="G706" s="53">
        <v>557720</v>
      </c>
      <c r="H706" s="41">
        <v>1.35</v>
      </c>
      <c r="J706" s="58">
        <v>16</v>
      </c>
      <c r="R706" s="76">
        <f t="shared" si="122"/>
        <v>32327.272727272724</v>
      </c>
      <c r="S706" s="53">
        <v>8890</v>
      </c>
      <c r="U706" s="76">
        <f t="shared" si="123"/>
        <v>7138.8159999999998</v>
      </c>
      <c r="AH706" s="76">
        <f t="shared" si="124"/>
        <v>525392.72727272729</v>
      </c>
      <c r="AO706" s="53">
        <f t="shared" si="125"/>
        <v>752922</v>
      </c>
      <c r="AP706" s="53">
        <f t="shared" si="125"/>
        <v>0</v>
      </c>
      <c r="AQ706" s="53">
        <f t="shared" si="125"/>
        <v>8923520</v>
      </c>
      <c r="AR706" s="53">
        <f t="shared" si="125"/>
        <v>0</v>
      </c>
      <c r="AS706" s="53">
        <f t="shared" si="125"/>
        <v>0</v>
      </c>
      <c r="AT706" s="53">
        <f t="shared" si="125"/>
        <v>0</v>
      </c>
      <c r="AU706" s="53">
        <f t="shared" si="125"/>
        <v>0</v>
      </c>
      <c r="AV706" s="53">
        <f t="shared" si="125"/>
        <v>0</v>
      </c>
      <c r="AW706" s="53">
        <f t="shared" si="125"/>
        <v>0</v>
      </c>
      <c r="AX706" s="53">
        <f t="shared" si="126"/>
        <v>0</v>
      </c>
      <c r="AY706" s="41" t="s">
        <v>557</v>
      </c>
    </row>
    <row r="707" spans="1:51" x14ac:dyDescent="0.2">
      <c r="A707" s="41" t="s">
        <v>102</v>
      </c>
      <c r="B707" s="41">
        <v>1977</v>
      </c>
      <c r="C707" s="41" t="s">
        <v>91</v>
      </c>
      <c r="D707" s="41" t="s">
        <v>88</v>
      </c>
      <c r="E707" s="41">
        <v>0</v>
      </c>
      <c r="F707" s="41" t="s">
        <v>9</v>
      </c>
      <c r="G707" s="53">
        <v>518650</v>
      </c>
      <c r="H707" s="41">
        <v>1.67</v>
      </c>
      <c r="J707" s="58">
        <v>16</v>
      </c>
      <c r="R707" s="76">
        <f t="shared" si="122"/>
        <v>30043.63636363636</v>
      </c>
      <c r="S707" s="53">
        <v>8262</v>
      </c>
      <c r="U707" s="76">
        <f t="shared" si="123"/>
        <v>6638.72</v>
      </c>
      <c r="AH707" s="76">
        <f t="shared" si="124"/>
        <v>488606.36363636365</v>
      </c>
      <c r="AO707" s="53">
        <f t="shared" si="125"/>
        <v>866145.5</v>
      </c>
      <c r="AP707" s="53">
        <f t="shared" si="125"/>
        <v>0</v>
      </c>
      <c r="AQ707" s="53">
        <f t="shared" si="125"/>
        <v>8298400</v>
      </c>
      <c r="AR707" s="53">
        <f t="shared" si="125"/>
        <v>0</v>
      </c>
      <c r="AS707" s="53">
        <f t="shared" si="125"/>
        <v>0</v>
      </c>
      <c r="AT707" s="53">
        <f t="shared" si="125"/>
        <v>0</v>
      </c>
      <c r="AU707" s="53">
        <f t="shared" si="125"/>
        <v>0</v>
      </c>
      <c r="AV707" s="53">
        <f t="shared" si="125"/>
        <v>0</v>
      </c>
      <c r="AW707" s="53">
        <f t="shared" si="125"/>
        <v>0</v>
      </c>
      <c r="AX707" s="53">
        <f t="shared" si="126"/>
        <v>0</v>
      </c>
      <c r="AY707" s="41" t="s">
        <v>557</v>
      </c>
    </row>
    <row r="708" spans="1:51" x14ac:dyDescent="0.2">
      <c r="A708" s="41" t="s">
        <v>102</v>
      </c>
      <c r="B708" s="41">
        <v>1978</v>
      </c>
      <c r="C708" s="41" t="s">
        <v>91</v>
      </c>
      <c r="D708" s="41" t="s">
        <v>88</v>
      </c>
      <c r="E708" s="41">
        <v>0</v>
      </c>
      <c r="F708" s="41" t="s">
        <v>9</v>
      </c>
      <c r="G708" s="53">
        <v>446630</v>
      </c>
      <c r="H708" s="41">
        <v>1.42</v>
      </c>
      <c r="J708" s="58">
        <v>16</v>
      </c>
      <c r="R708" s="76">
        <f t="shared" si="122"/>
        <v>25545.454545454544</v>
      </c>
      <c r="S708" s="53">
        <v>7025</v>
      </c>
      <c r="U708" s="76">
        <f t="shared" si="123"/>
        <v>5716.8639999999996</v>
      </c>
      <c r="AH708" s="76">
        <f t="shared" si="124"/>
        <v>421084.54545454547</v>
      </c>
      <c r="AO708" s="53">
        <f t="shared" si="125"/>
        <v>634214.6</v>
      </c>
      <c r="AP708" s="53">
        <f t="shared" si="125"/>
        <v>0</v>
      </c>
      <c r="AQ708" s="53">
        <f t="shared" si="125"/>
        <v>7146080</v>
      </c>
      <c r="AR708" s="53">
        <f t="shared" si="125"/>
        <v>0</v>
      </c>
      <c r="AS708" s="53">
        <f t="shared" si="125"/>
        <v>0</v>
      </c>
      <c r="AT708" s="53">
        <f t="shared" si="125"/>
        <v>0</v>
      </c>
      <c r="AU708" s="53">
        <f t="shared" si="125"/>
        <v>0</v>
      </c>
      <c r="AV708" s="53">
        <f t="shared" si="125"/>
        <v>0</v>
      </c>
      <c r="AW708" s="53">
        <f t="shared" si="125"/>
        <v>0</v>
      </c>
      <c r="AX708" s="53">
        <f t="shared" si="126"/>
        <v>0</v>
      </c>
      <c r="AY708" s="41" t="s">
        <v>557</v>
      </c>
    </row>
    <row r="709" spans="1:51" x14ac:dyDescent="0.2">
      <c r="A709" s="41" t="s">
        <v>102</v>
      </c>
      <c r="B709" s="41">
        <v>1979</v>
      </c>
      <c r="C709" s="41" t="s">
        <v>91</v>
      </c>
      <c r="D709" s="41" t="s">
        <v>88</v>
      </c>
      <c r="E709" s="41">
        <v>0</v>
      </c>
      <c r="F709" s="41" t="s">
        <v>9</v>
      </c>
      <c r="G709" s="53">
        <v>512150</v>
      </c>
      <c r="H709" s="41">
        <v>1.34</v>
      </c>
      <c r="J709" s="58">
        <v>16</v>
      </c>
      <c r="R709" s="76">
        <f t="shared" si="122"/>
        <v>28883.63636363636</v>
      </c>
      <c r="S709" s="53">
        <v>7943</v>
      </c>
      <c r="U709" s="76">
        <f t="shared" si="123"/>
        <v>6555.52</v>
      </c>
      <c r="AH709" s="76">
        <f t="shared" si="124"/>
        <v>483266.36363636365</v>
      </c>
      <c r="AO709" s="53">
        <f t="shared" si="125"/>
        <v>686281</v>
      </c>
      <c r="AP709" s="53">
        <f t="shared" si="125"/>
        <v>0</v>
      </c>
      <c r="AQ709" s="53">
        <f t="shared" si="125"/>
        <v>8194400</v>
      </c>
      <c r="AR709" s="53">
        <f t="shared" si="125"/>
        <v>0</v>
      </c>
      <c r="AS709" s="53">
        <f t="shared" si="125"/>
        <v>0</v>
      </c>
      <c r="AT709" s="53">
        <f t="shared" si="125"/>
        <v>0</v>
      </c>
      <c r="AU709" s="53">
        <f t="shared" si="125"/>
        <v>0</v>
      </c>
      <c r="AV709" s="53">
        <f t="shared" si="125"/>
        <v>0</v>
      </c>
      <c r="AW709" s="53">
        <f t="shared" si="125"/>
        <v>0</v>
      </c>
      <c r="AX709" s="53">
        <f t="shared" si="126"/>
        <v>0</v>
      </c>
      <c r="AY709" s="41" t="s">
        <v>557</v>
      </c>
    </row>
    <row r="710" spans="1:51" x14ac:dyDescent="0.2">
      <c r="A710" s="41" t="s">
        <v>102</v>
      </c>
      <c r="B710" s="41">
        <v>1980</v>
      </c>
      <c r="C710" s="41" t="s">
        <v>91</v>
      </c>
      <c r="D710" s="41" t="s">
        <v>88</v>
      </c>
      <c r="E710" s="41">
        <v>0</v>
      </c>
      <c r="F710" s="41" t="s">
        <v>9</v>
      </c>
      <c r="G710" s="53">
        <v>616710</v>
      </c>
      <c r="H710" s="46">
        <v>1.3786758768302767</v>
      </c>
      <c r="J710" s="58">
        <v>16</v>
      </c>
      <c r="R710" s="76">
        <f t="shared" si="122"/>
        <v>34400</v>
      </c>
      <c r="S710" s="53">
        <v>9460</v>
      </c>
      <c r="U710" s="76">
        <f t="shared" si="123"/>
        <v>7893.8879999999999</v>
      </c>
      <c r="AH710" s="76">
        <f t="shared" si="124"/>
        <v>582310</v>
      </c>
      <c r="AO710" s="53">
        <f t="shared" si="125"/>
        <v>850243.2</v>
      </c>
      <c r="AP710" s="53">
        <f t="shared" si="125"/>
        <v>0</v>
      </c>
      <c r="AQ710" s="53">
        <f t="shared" si="125"/>
        <v>9867360</v>
      </c>
      <c r="AR710" s="53">
        <f t="shared" si="125"/>
        <v>0</v>
      </c>
      <c r="AS710" s="53">
        <f t="shared" si="125"/>
        <v>0</v>
      </c>
      <c r="AT710" s="53">
        <f t="shared" si="125"/>
        <v>0</v>
      </c>
      <c r="AU710" s="53">
        <f t="shared" si="125"/>
        <v>0</v>
      </c>
      <c r="AV710" s="53">
        <f t="shared" si="125"/>
        <v>0</v>
      </c>
      <c r="AW710" s="53">
        <f t="shared" si="125"/>
        <v>0</v>
      </c>
      <c r="AX710" s="53">
        <f t="shared" si="126"/>
        <v>0</v>
      </c>
      <c r="AY710" s="41" t="s">
        <v>557</v>
      </c>
    </row>
    <row r="711" spans="1:51" x14ac:dyDescent="0.2">
      <c r="A711" s="41" t="s">
        <v>102</v>
      </c>
      <c r="B711" s="41">
        <v>1981</v>
      </c>
      <c r="C711" s="41" t="s">
        <v>91</v>
      </c>
      <c r="D711" s="41" t="s">
        <v>88</v>
      </c>
      <c r="E711" s="41">
        <v>0</v>
      </c>
      <c r="F711" s="41" t="s">
        <v>9</v>
      </c>
      <c r="G711" s="53">
        <v>422340</v>
      </c>
      <c r="H711" s="41">
        <v>1.24</v>
      </c>
      <c r="J711" s="58">
        <v>16</v>
      </c>
      <c r="R711" s="76">
        <f t="shared" si="122"/>
        <v>23483.63636363636</v>
      </c>
      <c r="S711" s="53">
        <v>6458</v>
      </c>
      <c r="U711" s="76">
        <f t="shared" si="123"/>
        <v>5405.9520000000002</v>
      </c>
      <c r="AH711" s="76">
        <f t="shared" si="124"/>
        <v>398856.36363636365</v>
      </c>
      <c r="AO711" s="53">
        <f t="shared" si="125"/>
        <v>523701.6</v>
      </c>
      <c r="AP711" s="53">
        <f t="shared" si="125"/>
        <v>0</v>
      </c>
      <c r="AQ711" s="53">
        <f t="shared" si="125"/>
        <v>6757440</v>
      </c>
      <c r="AR711" s="53">
        <f t="shared" si="125"/>
        <v>0</v>
      </c>
      <c r="AS711" s="53">
        <f t="shared" si="125"/>
        <v>0</v>
      </c>
      <c r="AT711" s="53">
        <f t="shared" si="125"/>
        <v>0</v>
      </c>
      <c r="AU711" s="53">
        <f t="shared" si="125"/>
        <v>0</v>
      </c>
      <c r="AV711" s="53">
        <f t="shared" si="125"/>
        <v>0</v>
      </c>
      <c r="AW711" s="53">
        <f t="shared" si="125"/>
        <v>0</v>
      </c>
      <c r="AX711" s="53">
        <f t="shared" si="126"/>
        <v>0</v>
      </c>
      <c r="AY711" s="41" t="s">
        <v>557</v>
      </c>
    </row>
    <row r="712" spans="1:51" x14ac:dyDescent="0.2">
      <c r="A712" s="41" t="s">
        <v>102</v>
      </c>
      <c r="B712" s="41">
        <v>1982</v>
      </c>
      <c r="C712" s="41" t="s">
        <v>91</v>
      </c>
      <c r="D712" s="41" t="s">
        <v>88</v>
      </c>
      <c r="E712" s="41">
        <v>0</v>
      </c>
      <c r="F712" s="41" t="s">
        <v>9</v>
      </c>
      <c r="G712" s="53">
        <v>540420</v>
      </c>
      <c r="H712" s="41">
        <v>1.65</v>
      </c>
      <c r="J712" s="58">
        <v>16</v>
      </c>
      <c r="R712" s="76">
        <f t="shared" si="122"/>
        <v>30047.272727272724</v>
      </c>
      <c r="S712" s="53">
        <v>8263</v>
      </c>
      <c r="U712" s="76">
        <f t="shared" si="123"/>
        <v>6917.3760000000002</v>
      </c>
      <c r="AH712" s="76">
        <f t="shared" si="124"/>
        <v>510372.72727272729</v>
      </c>
      <c r="AO712" s="53">
        <f t="shared" si="125"/>
        <v>891693</v>
      </c>
      <c r="AP712" s="53">
        <f t="shared" si="125"/>
        <v>0</v>
      </c>
      <c r="AQ712" s="53">
        <f t="shared" si="125"/>
        <v>8646720</v>
      </c>
      <c r="AR712" s="53">
        <f t="shared" ref="AR712:AW743" si="127">$G712*K712</f>
        <v>0</v>
      </c>
      <c r="AS712" s="53">
        <f t="shared" si="127"/>
        <v>0</v>
      </c>
      <c r="AT712" s="53">
        <f t="shared" si="127"/>
        <v>0</v>
      </c>
      <c r="AU712" s="53">
        <f t="shared" si="127"/>
        <v>0</v>
      </c>
      <c r="AV712" s="53">
        <f t="shared" si="127"/>
        <v>0</v>
      </c>
      <c r="AW712" s="53">
        <f t="shared" si="127"/>
        <v>0</v>
      </c>
      <c r="AX712" s="53">
        <f t="shared" si="126"/>
        <v>0</v>
      </c>
      <c r="AY712" s="41" t="s">
        <v>557</v>
      </c>
    </row>
    <row r="713" spans="1:51" x14ac:dyDescent="0.2">
      <c r="A713" s="41" t="s">
        <v>102</v>
      </c>
      <c r="B713" s="41">
        <v>1983</v>
      </c>
      <c r="C713" s="41" t="s">
        <v>91</v>
      </c>
      <c r="D713" s="41" t="s">
        <v>88</v>
      </c>
      <c r="E713" s="41">
        <v>0</v>
      </c>
      <c r="F713" s="41" t="s">
        <v>9</v>
      </c>
      <c r="G713" s="53">
        <v>625200</v>
      </c>
      <c r="H713" s="46">
        <v>1.7</v>
      </c>
      <c r="J713" s="58">
        <v>16</v>
      </c>
      <c r="R713" s="76">
        <f t="shared" si="122"/>
        <v>34807.272727272728</v>
      </c>
      <c r="S713" s="53">
        <v>9572</v>
      </c>
      <c r="U713" s="76">
        <f t="shared" si="123"/>
        <v>8002.56</v>
      </c>
      <c r="AH713" s="76">
        <f t="shared" si="124"/>
        <v>590392.72727272729</v>
      </c>
      <c r="AO713" s="53">
        <f t="shared" ref="AO713:AW744" si="128">$G713*H713</f>
        <v>1062840</v>
      </c>
      <c r="AP713" s="53">
        <f t="shared" si="128"/>
        <v>0</v>
      </c>
      <c r="AQ713" s="53">
        <f t="shared" si="128"/>
        <v>10003200</v>
      </c>
      <c r="AR713" s="53">
        <f t="shared" si="127"/>
        <v>0</v>
      </c>
      <c r="AS713" s="53">
        <f t="shared" si="127"/>
        <v>0</v>
      </c>
      <c r="AT713" s="53">
        <f t="shared" si="127"/>
        <v>0</v>
      </c>
      <c r="AU713" s="53">
        <f t="shared" si="127"/>
        <v>0</v>
      </c>
      <c r="AV713" s="53">
        <f t="shared" si="127"/>
        <v>0</v>
      </c>
      <c r="AW713" s="53">
        <f t="shared" si="127"/>
        <v>0</v>
      </c>
      <c r="AX713" s="53">
        <f t="shared" si="126"/>
        <v>0</v>
      </c>
      <c r="AY713" s="41" t="s">
        <v>557</v>
      </c>
    </row>
    <row r="714" spans="1:51" x14ac:dyDescent="0.2">
      <c r="A714" s="41" t="s">
        <v>102</v>
      </c>
      <c r="B714" s="41">
        <v>1984</v>
      </c>
      <c r="C714" s="41" t="s">
        <v>91</v>
      </c>
      <c r="D714" s="41" t="s">
        <v>88</v>
      </c>
      <c r="E714" s="41">
        <v>0</v>
      </c>
      <c r="F714" s="41" t="s">
        <v>9</v>
      </c>
      <c r="G714" s="53">
        <v>543910</v>
      </c>
      <c r="H714" s="41">
        <v>1.55</v>
      </c>
      <c r="J714" s="58">
        <v>16</v>
      </c>
      <c r="R714" s="76">
        <f t="shared" si="122"/>
        <v>30123.63636363636</v>
      </c>
      <c r="S714" s="53">
        <v>8284</v>
      </c>
      <c r="U714" s="76">
        <f t="shared" si="123"/>
        <v>6962.0479999999998</v>
      </c>
      <c r="AH714" s="76">
        <f t="shared" si="124"/>
        <v>513786.36363636365</v>
      </c>
      <c r="AO714" s="53">
        <f t="shared" si="128"/>
        <v>843060.5</v>
      </c>
      <c r="AP714" s="53">
        <f t="shared" si="128"/>
        <v>0</v>
      </c>
      <c r="AQ714" s="53">
        <f t="shared" si="128"/>
        <v>8702560</v>
      </c>
      <c r="AR714" s="53">
        <f t="shared" si="127"/>
        <v>0</v>
      </c>
      <c r="AS714" s="53">
        <f t="shared" si="127"/>
        <v>0</v>
      </c>
      <c r="AT714" s="53">
        <f t="shared" si="127"/>
        <v>0</v>
      </c>
      <c r="AU714" s="53">
        <f t="shared" si="127"/>
        <v>0</v>
      </c>
      <c r="AV714" s="53">
        <f t="shared" si="127"/>
        <v>0</v>
      </c>
      <c r="AW714" s="53">
        <f t="shared" si="127"/>
        <v>0</v>
      </c>
      <c r="AX714" s="53">
        <f t="shared" si="126"/>
        <v>0</v>
      </c>
      <c r="AY714" s="41" t="s">
        <v>557</v>
      </c>
    </row>
    <row r="715" spans="1:51" x14ac:dyDescent="0.2">
      <c r="A715" s="41" t="s">
        <v>102</v>
      </c>
      <c r="B715" s="41">
        <v>1985</v>
      </c>
      <c r="C715" s="41" t="s">
        <v>91</v>
      </c>
      <c r="D715" s="41" t="s">
        <v>88</v>
      </c>
      <c r="E715" s="41">
        <v>0</v>
      </c>
      <c r="F715" s="41" t="s">
        <v>9</v>
      </c>
      <c r="G715" s="53">
        <v>349120</v>
      </c>
      <c r="H715" s="41">
        <v>2.23</v>
      </c>
      <c r="J715" s="58">
        <v>16</v>
      </c>
      <c r="R715" s="76">
        <f t="shared" si="122"/>
        <v>27349.090909090908</v>
      </c>
      <c r="S715" s="53">
        <v>7521</v>
      </c>
      <c r="U715" s="76">
        <f t="shared" si="123"/>
        <v>4468.7359999999999</v>
      </c>
      <c r="AH715" s="76">
        <f t="shared" si="124"/>
        <v>321770.90909090912</v>
      </c>
      <c r="AO715" s="53">
        <f t="shared" si="128"/>
        <v>778537.6</v>
      </c>
      <c r="AP715" s="53">
        <f t="shared" si="128"/>
        <v>0</v>
      </c>
      <c r="AQ715" s="53">
        <f t="shared" si="128"/>
        <v>5585920</v>
      </c>
      <c r="AR715" s="53">
        <f t="shared" si="127"/>
        <v>0</v>
      </c>
      <c r="AS715" s="53">
        <f t="shared" si="127"/>
        <v>0</v>
      </c>
      <c r="AT715" s="53">
        <f t="shared" si="127"/>
        <v>0</v>
      </c>
      <c r="AU715" s="53">
        <f t="shared" si="127"/>
        <v>0</v>
      </c>
      <c r="AV715" s="53">
        <f t="shared" si="127"/>
        <v>0</v>
      </c>
      <c r="AW715" s="53">
        <f t="shared" si="127"/>
        <v>0</v>
      </c>
      <c r="AX715" s="53">
        <f t="shared" si="126"/>
        <v>0</v>
      </c>
      <c r="AY715" s="41" t="s">
        <v>557</v>
      </c>
    </row>
    <row r="716" spans="1:51" x14ac:dyDescent="0.2">
      <c r="A716" s="41" t="s">
        <v>102</v>
      </c>
      <c r="B716" s="41">
        <v>1986</v>
      </c>
      <c r="C716" s="41" t="s">
        <v>91</v>
      </c>
      <c r="D716" s="41" t="s">
        <v>88</v>
      </c>
      <c r="E716" s="41">
        <v>0</v>
      </c>
      <c r="F716" s="41" t="s">
        <v>9</v>
      </c>
      <c r="G716" s="53">
        <v>825020</v>
      </c>
      <c r="H716" s="41">
        <v>1.68</v>
      </c>
      <c r="J716" s="58">
        <v>16</v>
      </c>
      <c r="R716" s="76">
        <f t="shared" si="122"/>
        <v>48687.272727272721</v>
      </c>
      <c r="S716" s="53">
        <v>13389</v>
      </c>
      <c r="U716" s="76">
        <f t="shared" si="123"/>
        <v>10560.255999999999</v>
      </c>
      <c r="AH716" s="76">
        <f>G716-R716</f>
        <v>776332.72727272729</v>
      </c>
      <c r="AO716" s="53">
        <f t="shared" si="128"/>
        <v>1386033.5999999999</v>
      </c>
      <c r="AP716" s="53">
        <f t="shared" si="128"/>
        <v>0</v>
      </c>
      <c r="AQ716" s="53">
        <f t="shared" si="128"/>
        <v>13200320</v>
      </c>
      <c r="AR716" s="53">
        <f t="shared" si="127"/>
        <v>0</v>
      </c>
      <c r="AS716" s="53">
        <f t="shared" si="127"/>
        <v>0</v>
      </c>
      <c r="AT716" s="53">
        <f t="shared" si="127"/>
        <v>0</v>
      </c>
      <c r="AU716" s="53">
        <f t="shared" si="127"/>
        <v>0</v>
      </c>
      <c r="AV716" s="53">
        <f t="shared" si="127"/>
        <v>0</v>
      </c>
      <c r="AW716" s="53">
        <f t="shared" si="127"/>
        <v>0</v>
      </c>
      <c r="AX716" s="53">
        <f t="shared" si="126"/>
        <v>0</v>
      </c>
      <c r="AY716" s="41" t="s">
        <v>557</v>
      </c>
    </row>
    <row r="717" spans="1:51" x14ac:dyDescent="0.2">
      <c r="A717" s="41" t="s">
        <v>102</v>
      </c>
      <c r="B717" s="41">
        <v>1987</v>
      </c>
      <c r="C717" s="41" t="s">
        <v>91</v>
      </c>
      <c r="D717" s="41" t="s">
        <v>88</v>
      </c>
      <c r="E717" s="41">
        <v>0</v>
      </c>
      <c r="F717" s="41" t="s">
        <v>9</v>
      </c>
      <c r="G717" s="53">
        <v>887250</v>
      </c>
      <c r="H717" s="41">
        <v>1.84</v>
      </c>
      <c r="J717" s="58">
        <v>16</v>
      </c>
      <c r="R717" s="76">
        <f t="shared" si="122"/>
        <v>57345.454545454544</v>
      </c>
      <c r="S717" s="53">
        <v>15770</v>
      </c>
      <c r="U717" s="76">
        <f t="shared" si="123"/>
        <v>11356.8</v>
      </c>
      <c r="AH717" s="76">
        <f t="shared" ref="AH717:AH740" si="129">0.48*G717</f>
        <v>425880</v>
      </c>
      <c r="AO717" s="53">
        <f t="shared" si="128"/>
        <v>1632540</v>
      </c>
      <c r="AP717" s="53">
        <f t="shared" si="128"/>
        <v>0</v>
      </c>
      <c r="AQ717" s="53">
        <f t="shared" si="128"/>
        <v>14196000</v>
      </c>
      <c r="AR717" s="53">
        <f t="shared" si="127"/>
        <v>0</v>
      </c>
      <c r="AS717" s="53">
        <f t="shared" si="127"/>
        <v>0</v>
      </c>
      <c r="AT717" s="53">
        <f t="shared" si="127"/>
        <v>0</v>
      </c>
      <c r="AU717" s="53">
        <f t="shared" si="127"/>
        <v>0</v>
      </c>
      <c r="AV717" s="53">
        <f t="shared" si="127"/>
        <v>0</v>
      </c>
      <c r="AW717" s="53">
        <f t="shared" si="127"/>
        <v>0</v>
      </c>
      <c r="AX717" s="53">
        <f t="shared" si="126"/>
        <v>0</v>
      </c>
      <c r="AY717" s="41" t="s">
        <v>557</v>
      </c>
    </row>
    <row r="718" spans="1:51" x14ac:dyDescent="0.2">
      <c r="A718" s="41" t="s">
        <v>102</v>
      </c>
      <c r="B718" s="41">
        <v>1988</v>
      </c>
      <c r="C718" s="41" t="s">
        <v>91</v>
      </c>
      <c r="D718" s="41" t="s">
        <v>88</v>
      </c>
      <c r="E718" s="41">
        <v>0</v>
      </c>
      <c r="F718" s="41" t="s">
        <v>9</v>
      </c>
      <c r="G718" s="53">
        <v>908920</v>
      </c>
      <c r="H718" s="41">
        <v>2.33</v>
      </c>
      <c r="J718" s="58">
        <v>16</v>
      </c>
      <c r="R718" s="76">
        <f t="shared" si="122"/>
        <v>74392.727272727265</v>
      </c>
      <c r="S718" s="53">
        <v>20458</v>
      </c>
      <c r="U718" s="76">
        <f t="shared" si="123"/>
        <v>11634.175999999999</v>
      </c>
      <c r="AH718" s="76">
        <f t="shared" si="129"/>
        <v>436281.59999999998</v>
      </c>
      <c r="AO718" s="53">
        <f t="shared" si="128"/>
        <v>2117783.6</v>
      </c>
      <c r="AP718" s="53">
        <f t="shared" si="128"/>
        <v>0</v>
      </c>
      <c r="AQ718" s="53">
        <f t="shared" si="128"/>
        <v>14542720</v>
      </c>
      <c r="AR718" s="53">
        <f t="shared" si="127"/>
        <v>0</v>
      </c>
      <c r="AS718" s="53">
        <f t="shared" si="127"/>
        <v>0</v>
      </c>
      <c r="AT718" s="53">
        <f t="shared" si="127"/>
        <v>0</v>
      </c>
      <c r="AU718" s="53">
        <f t="shared" si="127"/>
        <v>0</v>
      </c>
      <c r="AV718" s="53">
        <f t="shared" si="127"/>
        <v>0</v>
      </c>
      <c r="AW718" s="53">
        <f t="shared" si="127"/>
        <v>0</v>
      </c>
      <c r="AX718" s="53">
        <f t="shared" si="126"/>
        <v>0</v>
      </c>
      <c r="AY718" s="41" t="s">
        <v>557</v>
      </c>
    </row>
    <row r="719" spans="1:51" x14ac:dyDescent="0.2">
      <c r="A719" s="41" t="s">
        <v>102</v>
      </c>
      <c r="B719" s="41">
        <v>1989</v>
      </c>
      <c r="C719" s="41" t="s">
        <v>91</v>
      </c>
      <c r="D719" s="41" t="s">
        <v>88</v>
      </c>
      <c r="E719" s="41">
        <v>0</v>
      </c>
      <c r="F719" s="41" t="s">
        <v>9</v>
      </c>
      <c r="G719" s="53">
        <v>902320</v>
      </c>
      <c r="H719" s="41">
        <v>1.77</v>
      </c>
      <c r="J719" s="58">
        <v>16</v>
      </c>
      <c r="R719" s="76">
        <f t="shared" si="122"/>
        <v>56101.818181818177</v>
      </c>
      <c r="S719" s="53">
        <v>15428</v>
      </c>
      <c r="U719" s="76">
        <f t="shared" si="123"/>
        <v>11549.696</v>
      </c>
      <c r="AH719" s="76">
        <f t="shared" si="129"/>
        <v>433113.59999999998</v>
      </c>
      <c r="AO719" s="53">
        <f t="shared" si="128"/>
        <v>1597106.4</v>
      </c>
      <c r="AP719" s="53">
        <f t="shared" si="128"/>
        <v>0</v>
      </c>
      <c r="AQ719" s="53">
        <f t="shared" si="128"/>
        <v>14437120</v>
      </c>
      <c r="AR719" s="53">
        <f t="shared" si="127"/>
        <v>0</v>
      </c>
      <c r="AS719" s="53">
        <f t="shared" si="127"/>
        <v>0</v>
      </c>
      <c r="AT719" s="53">
        <f t="shared" si="127"/>
        <v>0</v>
      </c>
      <c r="AU719" s="53">
        <f t="shared" si="127"/>
        <v>0</v>
      </c>
      <c r="AV719" s="53">
        <f t="shared" si="127"/>
        <v>0</v>
      </c>
      <c r="AW719" s="53">
        <f t="shared" si="127"/>
        <v>0</v>
      </c>
      <c r="AX719" s="53">
        <f t="shared" si="126"/>
        <v>0</v>
      </c>
      <c r="AY719" s="41" t="s">
        <v>557</v>
      </c>
    </row>
    <row r="720" spans="1:51" x14ac:dyDescent="0.2">
      <c r="A720" s="41" t="s">
        <v>102</v>
      </c>
      <c r="B720" s="41">
        <v>1990</v>
      </c>
      <c r="C720" s="41" t="s">
        <v>91</v>
      </c>
      <c r="D720" s="41" t="s">
        <v>88</v>
      </c>
      <c r="E720" s="41">
        <v>0</v>
      </c>
      <c r="F720" s="41" t="s">
        <v>9</v>
      </c>
      <c r="G720" s="53">
        <v>910820</v>
      </c>
      <c r="H720" s="41">
        <v>2.0499999999999998</v>
      </c>
      <c r="J720" s="58">
        <v>16</v>
      </c>
      <c r="R720" s="76">
        <f t="shared" si="122"/>
        <v>65589.090909090897</v>
      </c>
      <c r="S720" s="53">
        <v>18037</v>
      </c>
      <c r="U720" s="76">
        <f t="shared" si="123"/>
        <v>11658.495999999999</v>
      </c>
      <c r="AH720" s="76">
        <f t="shared" si="129"/>
        <v>437193.6</v>
      </c>
      <c r="AO720" s="53">
        <f t="shared" si="128"/>
        <v>1867180.9999999998</v>
      </c>
      <c r="AP720" s="53">
        <f t="shared" si="128"/>
        <v>0</v>
      </c>
      <c r="AQ720" s="53">
        <f t="shared" si="128"/>
        <v>14573120</v>
      </c>
      <c r="AR720" s="53">
        <f t="shared" si="127"/>
        <v>0</v>
      </c>
      <c r="AS720" s="53">
        <f t="shared" si="127"/>
        <v>0</v>
      </c>
      <c r="AT720" s="53">
        <f t="shared" si="127"/>
        <v>0</v>
      </c>
      <c r="AU720" s="53">
        <f t="shared" si="127"/>
        <v>0</v>
      </c>
      <c r="AV720" s="53">
        <f t="shared" si="127"/>
        <v>0</v>
      </c>
      <c r="AW720" s="53">
        <f t="shared" si="127"/>
        <v>0</v>
      </c>
      <c r="AX720" s="53">
        <f t="shared" si="126"/>
        <v>0</v>
      </c>
      <c r="AY720" s="41" t="s">
        <v>557</v>
      </c>
    </row>
    <row r="721" spans="1:51" x14ac:dyDescent="0.2">
      <c r="A721" s="41" t="s">
        <v>102</v>
      </c>
      <c r="B721" s="41">
        <v>1991</v>
      </c>
      <c r="C721" s="41" t="s">
        <v>91</v>
      </c>
      <c r="D721" s="41" t="s">
        <v>88</v>
      </c>
      <c r="E721" s="41">
        <v>0</v>
      </c>
      <c r="F721" s="41" t="s">
        <v>9</v>
      </c>
      <c r="G721" s="53">
        <v>915215</v>
      </c>
      <c r="H721" s="41">
        <v>2.71</v>
      </c>
      <c r="J721" s="58">
        <v>16</v>
      </c>
      <c r="R721" s="76">
        <f t="shared" si="122"/>
        <v>87123.636363636353</v>
      </c>
      <c r="S721" s="53">
        <v>23959</v>
      </c>
      <c r="U721" s="76">
        <f t="shared" si="123"/>
        <v>11714.752</v>
      </c>
      <c r="AH721" s="76">
        <f t="shared" si="129"/>
        <v>439303.2</v>
      </c>
      <c r="AO721" s="53">
        <f t="shared" si="128"/>
        <v>2480232.65</v>
      </c>
      <c r="AP721" s="53">
        <f t="shared" si="128"/>
        <v>0</v>
      </c>
      <c r="AQ721" s="53">
        <f t="shared" si="128"/>
        <v>14643440</v>
      </c>
      <c r="AR721" s="53">
        <f t="shared" si="127"/>
        <v>0</v>
      </c>
      <c r="AS721" s="53">
        <f t="shared" si="127"/>
        <v>0</v>
      </c>
      <c r="AT721" s="53">
        <f t="shared" si="127"/>
        <v>0</v>
      </c>
      <c r="AU721" s="53">
        <f t="shared" si="127"/>
        <v>0</v>
      </c>
      <c r="AV721" s="53">
        <f t="shared" si="127"/>
        <v>0</v>
      </c>
      <c r="AW721" s="53">
        <f t="shared" si="127"/>
        <v>0</v>
      </c>
      <c r="AX721" s="53">
        <f t="shared" si="126"/>
        <v>0</v>
      </c>
      <c r="AY721" s="41" t="s">
        <v>557</v>
      </c>
    </row>
    <row r="722" spans="1:51" x14ac:dyDescent="0.2">
      <c r="A722" s="41" t="s">
        <v>102</v>
      </c>
      <c r="B722" s="41">
        <v>1992</v>
      </c>
      <c r="C722" s="41" t="s">
        <v>91</v>
      </c>
      <c r="D722" s="41" t="s">
        <v>88</v>
      </c>
      <c r="E722" s="41">
        <v>0</v>
      </c>
      <c r="F722" s="41" t="s">
        <v>9</v>
      </c>
      <c r="G722" s="53">
        <v>896246</v>
      </c>
      <c r="H722" s="41">
        <v>3.46</v>
      </c>
      <c r="J722" s="58">
        <v>16</v>
      </c>
      <c r="R722" s="76">
        <f t="shared" si="122"/>
        <v>108930.90909090909</v>
      </c>
      <c r="S722" s="53">
        <v>29956</v>
      </c>
      <c r="U722" s="76">
        <f t="shared" si="123"/>
        <v>11471.9488</v>
      </c>
      <c r="AH722" s="76">
        <f t="shared" si="129"/>
        <v>430198.07999999996</v>
      </c>
      <c r="AO722" s="53">
        <f t="shared" si="128"/>
        <v>3101011.16</v>
      </c>
      <c r="AP722" s="53">
        <f t="shared" si="128"/>
        <v>0</v>
      </c>
      <c r="AQ722" s="53">
        <f t="shared" si="128"/>
        <v>14339936</v>
      </c>
      <c r="AR722" s="53">
        <f t="shared" si="127"/>
        <v>0</v>
      </c>
      <c r="AS722" s="53">
        <f t="shared" si="127"/>
        <v>0</v>
      </c>
      <c r="AT722" s="53">
        <f t="shared" si="127"/>
        <v>0</v>
      </c>
      <c r="AU722" s="53">
        <f t="shared" si="127"/>
        <v>0</v>
      </c>
      <c r="AV722" s="53">
        <f t="shared" si="127"/>
        <v>0</v>
      </c>
      <c r="AW722" s="53">
        <f t="shared" si="127"/>
        <v>0</v>
      </c>
      <c r="AX722" s="53">
        <f t="shared" si="126"/>
        <v>0</v>
      </c>
      <c r="AY722" s="41" t="s">
        <v>557</v>
      </c>
    </row>
    <row r="723" spans="1:51" x14ac:dyDescent="0.2">
      <c r="A723" s="41" t="s">
        <v>102</v>
      </c>
      <c r="B723" s="41">
        <v>1993</v>
      </c>
      <c r="C723" s="41" t="s">
        <v>91</v>
      </c>
      <c r="D723" s="41" t="s">
        <v>88</v>
      </c>
      <c r="E723" s="41">
        <v>0</v>
      </c>
      <c r="F723" s="41" t="s">
        <v>9</v>
      </c>
      <c r="G723" s="53">
        <v>452647</v>
      </c>
      <c r="H723" s="41">
        <v>3.93</v>
      </c>
      <c r="J723" s="58">
        <v>16</v>
      </c>
      <c r="R723" s="76">
        <f t="shared" si="122"/>
        <v>62487.272727272721</v>
      </c>
      <c r="S723" s="53">
        <v>17184</v>
      </c>
      <c r="U723" s="76">
        <f t="shared" si="123"/>
        <v>5793.8816000000006</v>
      </c>
      <c r="AH723" s="76">
        <f t="shared" si="129"/>
        <v>217270.56</v>
      </c>
      <c r="AO723" s="53">
        <f t="shared" si="128"/>
        <v>1778902.71</v>
      </c>
      <c r="AP723" s="53">
        <f t="shared" si="128"/>
        <v>0</v>
      </c>
      <c r="AQ723" s="53">
        <f t="shared" si="128"/>
        <v>7242352</v>
      </c>
      <c r="AR723" s="53">
        <f t="shared" si="127"/>
        <v>0</v>
      </c>
      <c r="AS723" s="53">
        <f t="shared" si="127"/>
        <v>0</v>
      </c>
      <c r="AT723" s="53">
        <f t="shared" si="127"/>
        <v>0</v>
      </c>
      <c r="AU723" s="53">
        <f t="shared" si="127"/>
        <v>0</v>
      </c>
      <c r="AV723" s="53">
        <f t="shared" si="127"/>
        <v>0</v>
      </c>
      <c r="AW723" s="53">
        <f t="shared" si="127"/>
        <v>0</v>
      </c>
      <c r="AX723" s="53">
        <f t="shared" si="126"/>
        <v>0</v>
      </c>
      <c r="AY723" s="41" t="s">
        <v>557</v>
      </c>
    </row>
    <row r="724" spans="1:51" x14ac:dyDescent="0.2">
      <c r="A724" s="41" t="s">
        <v>102</v>
      </c>
      <c r="B724" s="41">
        <v>1994</v>
      </c>
      <c r="C724" s="41" t="s">
        <v>91</v>
      </c>
      <c r="D724" s="41" t="s">
        <v>88</v>
      </c>
      <c r="E724" s="41">
        <v>0</v>
      </c>
      <c r="F724" s="41" t="s">
        <v>9</v>
      </c>
      <c r="G724" s="53">
        <v>1044237</v>
      </c>
      <c r="H724" s="41">
        <v>2.97</v>
      </c>
      <c r="J724" s="58">
        <v>16</v>
      </c>
      <c r="R724" s="76">
        <f t="shared" si="122"/>
        <v>108221.81818181818</v>
      </c>
      <c r="S724" s="53">
        <v>29761</v>
      </c>
      <c r="U724" s="76">
        <f t="shared" si="123"/>
        <v>13366.233600000001</v>
      </c>
      <c r="AH724" s="76">
        <f t="shared" si="129"/>
        <v>501233.76</v>
      </c>
      <c r="AO724" s="53">
        <f t="shared" si="128"/>
        <v>3101383.89</v>
      </c>
      <c r="AP724" s="53">
        <f t="shared" si="128"/>
        <v>0</v>
      </c>
      <c r="AQ724" s="53">
        <f t="shared" si="128"/>
        <v>16707792</v>
      </c>
      <c r="AR724" s="53">
        <f t="shared" si="127"/>
        <v>0</v>
      </c>
      <c r="AS724" s="53">
        <f t="shared" si="127"/>
        <v>0</v>
      </c>
      <c r="AT724" s="53">
        <f t="shared" si="127"/>
        <v>0</v>
      </c>
      <c r="AU724" s="53">
        <f t="shared" si="127"/>
        <v>0</v>
      </c>
      <c r="AV724" s="53">
        <f t="shared" si="127"/>
        <v>0</v>
      </c>
      <c r="AW724" s="53">
        <f t="shared" si="127"/>
        <v>0</v>
      </c>
      <c r="AX724" s="53">
        <f t="shared" si="126"/>
        <v>0</v>
      </c>
      <c r="AY724" s="41" t="s">
        <v>557</v>
      </c>
    </row>
    <row r="725" spans="1:51" x14ac:dyDescent="0.2">
      <c r="A725" s="41" t="s">
        <v>102</v>
      </c>
      <c r="B725" s="41">
        <v>1995</v>
      </c>
      <c r="C725" s="41" t="s">
        <v>91</v>
      </c>
      <c r="D725" s="41" t="s">
        <v>88</v>
      </c>
      <c r="E725" s="41">
        <v>0</v>
      </c>
      <c r="F725" s="41" t="s">
        <v>9</v>
      </c>
      <c r="G725" s="53">
        <v>1020387</v>
      </c>
      <c r="H725" s="41">
        <v>3.43</v>
      </c>
      <c r="J725" s="58">
        <v>16</v>
      </c>
      <c r="R725" s="76">
        <f t="shared" si="122"/>
        <v>123338.18181818181</v>
      </c>
      <c r="S725" s="53">
        <v>33918</v>
      </c>
      <c r="U725" s="76">
        <f t="shared" si="123"/>
        <v>13060.953600000001</v>
      </c>
      <c r="AH725" s="76">
        <f t="shared" si="129"/>
        <v>489785.76</v>
      </c>
      <c r="AO725" s="53">
        <f t="shared" si="128"/>
        <v>3499927.41</v>
      </c>
      <c r="AP725" s="53">
        <f t="shared" si="128"/>
        <v>0</v>
      </c>
      <c r="AQ725" s="53">
        <f t="shared" si="128"/>
        <v>16326192</v>
      </c>
      <c r="AR725" s="53">
        <f t="shared" si="127"/>
        <v>0</v>
      </c>
      <c r="AS725" s="53">
        <f t="shared" si="127"/>
        <v>0</v>
      </c>
      <c r="AT725" s="53">
        <f t="shared" si="127"/>
        <v>0</v>
      </c>
      <c r="AU725" s="53">
        <f t="shared" si="127"/>
        <v>0</v>
      </c>
      <c r="AV725" s="53">
        <f t="shared" si="127"/>
        <v>0</v>
      </c>
      <c r="AW725" s="53">
        <f t="shared" si="127"/>
        <v>0</v>
      </c>
      <c r="AX725" s="53">
        <f t="shared" si="126"/>
        <v>0</v>
      </c>
      <c r="AY725" s="41" t="s">
        <v>557</v>
      </c>
    </row>
    <row r="726" spans="1:51" x14ac:dyDescent="0.2">
      <c r="A726" s="41" t="s">
        <v>102</v>
      </c>
      <c r="B726" s="41">
        <v>1996</v>
      </c>
      <c r="C726" s="41" t="s">
        <v>91</v>
      </c>
      <c r="D726" s="41" t="s">
        <v>88</v>
      </c>
      <c r="E726" s="41">
        <v>0</v>
      </c>
      <c r="F726" s="41" t="s">
        <v>9</v>
      </c>
      <c r="G726" s="53">
        <v>961274</v>
      </c>
      <c r="H726" s="41">
        <v>3.39</v>
      </c>
      <c r="J726" s="58">
        <v>16</v>
      </c>
      <c r="R726" s="76">
        <f t="shared" si="122"/>
        <v>115632.72727272726</v>
      </c>
      <c r="S726" s="53">
        <v>31799</v>
      </c>
      <c r="U726" s="76">
        <f t="shared" si="123"/>
        <v>12304.307200000001</v>
      </c>
      <c r="AH726" s="76">
        <f t="shared" si="129"/>
        <v>461411.51999999996</v>
      </c>
      <c r="AO726" s="53">
        <f t="shared" si="128"/>
        <v>3258718.8600000003</v>
      </c>
      <c r="AP726" s="53">
        <f t="shared" si="128"/>
        <v>0</v>
      </c>
      <c r="AQ726" s="53">
        <f t="shared" si="128"/>
        <v>15380384</v>
      </c>
      <c r="AR726" s="53">
        <f t="shared" si="127"/>
        <v>0</v>
      </c>
      <c r="AS726" s="53">
        <f t="shared" si="127"/>
        <v>0</v>
      </c>
      <c r="AT726" s="53">
        <f t="shared" si="127"/>
        <v>0</v>
      </c>
      <c r="AU726" s="53">
        <f t="shared" si="127"/>
        <v>0</v>
      </c>
      <c r="AV726" s="53">
        <f t="shared" si="127"/>
        <v>0</v>
      </c>
      <c r="AW726" s="53">
        <f t="shared" si="127"/>
        <v>0</v>
      </c>
      <c r="AX726" s="53">
        <f t="shared" si="126"/>
        <v>0</v>
      </c>
      <c r="AY726" s="41" t="s">
        <v>557</v>
      </c>
    </row>
    <row r="727" spans="1:51" x14ac:dyDescent="0.2">
      <c r="A727" s="41" t="s">
        <v>102</v>
      </c>
      <c r="B727" s="41">
        <v>1997</v>
      </c>
      <c r="C727" s="41" t="s">
        <v>91</v>
      </c>
      <c r="D727" s="41" t="s">
        <v>88</v>
      </c>
      <c r="E727" s="41">
        <v>0</v>
      </c>
      <c r="F727" s="41" t="s">
        <v>9</v>
      </c>
      <c r="G727" s="53">
        <v>1114519</v>
      </c>
      <c r="H727" s="41">
        <v>3.16</v>
      </c>
      <c r="J727" s="58">
        <v>16</v>
      </c>
      <c r="R727" s="76">
        <f t="shared" si="122"/>
        <v>124218.18181818181</v>
      </c>
      <c r="S727" s="53">
        <v>34160</v>
      </c>
      <c r="U727" s="76">
        <f t="shared" si="123"/>
        <v>14265.843200000001</v>
      </c>
      <c r="AH727" s="76">
        <f t="shared" si="129"/>
        <v>534969.12</v>
      </c>
      <c r="AO727" s="53">
        <f t="shared" si="128"/>
        <v>3521880.04</v>
      </c>
      <c r="AP727" s="53">
        <f t="shared" si="128"/>
        <v>0</v>
      </c>
      <c r="AQ727" s="53">
        <f t="shared" si="128"/>
        <v>17832304</v>
      </c>
      <c r="AR727" s="53">
        <f t="shared" si="127"/>
        <v>0</v>
      </c>
      <c r="AS727" s="53">
        <f t="shared" si="127"/>
        <v>0</v>
      </c>
      <c r="AT727" s="53">
        <f t="shared" si="127"/>
        <v>0</v>
      </c>
      <c r="AU727" s="53">
        <f t="shared" si="127"/>
        <v>0</v>
      </c>
      <c r="AV727" s="53">
        <f t="shared" si="127"/>
        <v>0</v>
      </c>
      <c r="AW727" s="53">
        <f t="shared" si="127"/>
        <v>0</v>
      </c>
      <c r="AX727" s="53">
        <f t="shared" si="126"/>
        <v>0</v>
      </c>
      <c r="AY727" s="41" t="s">
        <v>557</v>
      </c>
    </row>
    <row r="728" spans="1:51" x14ac:dyDescent="0.2">
      <c r="A728" s="41" t="s">
        <v>102</v>
      </c>
      <c r="B728" s="41">
        <v>1999</v>
      </c>
      <c r="C728" s="41" t="s">
        <v>91</v>
      </c>
      <c r="D728" s="41" t="s">
        <v>88</v>
      </c>
      <c r="E728" s="41">
        <v>0</v>
      </c>
      <c r="F728" s="41" t="s">
        <v>9</v>
      </c>
      <c r="G728" s="53">
        <v>239317</v>
      </c>
      <c r="H728" s="41">
        <v>4.6500000000000004</v>
      </c>
      <c r="J728" s="58">
        <v>16</v>
      </c>
      <c r="R728" s="76">
        <f t="shared" si="122"/>
        <v>37378.181818181816</v>
      </c>
      <c r="S728" s="53">
        <v>10279</v>
      </c>
      <c r="U728" s="76">
        <f t="shared" si="123"/>
        <v>3063.2575999999999</v>
      </c>
      <c r="AH728" s="76">
        <f t="shared" si="129"/>
        <v>114872.15999999999</v>
      </c>
      <c r="AO728" s="53">
        <f t="shared" si="128"/>
        <v>1112824.05</v>
      </c>
      <c r="AP728" s="53">
        <f t="shared" si="128"/>
        <v>0</v>
      </c>
      <c r="AQ728" s="53">
        <f t="shared" si="128"/>
        <v>3829072</v>
      </c>
      <c r="AR728" s="53">
        <f t="shared" si="127"/>
        <v>0</v>
      </c>
      <c r="AS728" s="53">
        <f t="shared" si="127"/>
        <v>0</v>
      </c>
      <c r="AT728" s="53">
        <f t="shared" si="127"/>
        <v>0</v>
      </c>
      <c r="AU728" s="53">
        <f t="shared" si="127"/>
        <v>0</v>
      </c>
      <c r="AV728" s="53">
        <f t="shared" si="127"/>
        <v>0</v>
      </c>
      <c r="AW728" s="53">
        <f t="shared" si="127"/>
        <v>0</v>
      </c>
      <c r="AX728" s="53">
        <f t="shared" si="126"/>
        <v>0</v>
      </c>
      <c r="AY728" s="41" t="s">
        <v>557</v>
      </c>
    </row>
    <row r="729" spans="1:51" x14ac:dyDescent="0.2">
      <c r="A729" s="41" t="s">
        <v>102</v>
      </c>
      <c r="B729" s="41">
        <v>2000</v>
      </c>
      <c r="C729" s="41" t="s">
        <v>91</v>
      </c>
      <c r="D729" s="41" t="s">
        <v>88</v>
      </c>
      <c r="E729" s="41">
        <v>0</v>
      </c>
      <c r="F729" s="41" t="s">
        <v>9</v>
      </c>
      <c r="G729" s="53">
        <v>440753</v>
      </c>
      <c r="H729" s="41">
        <v>6.75</v>
      </c>
      <c r="J729" s="58">
        <v>16</v>
      </c>
      <c r="R729" s="76">
        <f t="shared" si="122"/>
        <v>105490.90909090909</v>
      </c>
      <c r="S729" s="53">
        <v>29010</v>
      </c>
      <c r="U729" s="76">
        <f t="shared" si="123"/>
        <v>5641.6384000000007</v>
      </c>
      <c r="AH729" s="76">
        <f t="shared" si="129"/>
        <v>211561.44</v>
      </c>
      <c r="AO729" s="53">
        <f t="shared" si="128"/>
        <v>2975082.75</v>
      </c>
      <c r="AP729" s="53">
        <f t="shared" si="128"/>
        <v>0</v>
      </c>
      <c r="AQ729" s="53">
        <f t="shared" si="128"/>
        <v>7052048</v>
      </c>
      <c r="AR729" s="53">
        <f t="shared" si="127"/>
        <v>0</v>
      </c>
      <c r="AS729" s="53">
        <f t="shared" si="127"/>
        <v>0</v>
      </c>
      <c r="AT729" s="53">
        <f t="shared" si="127"/>
        <v>0</v>
      </c>
      <c r="AU729" s="53">
        <f t="shared" si="127"/>
        <v>0</v>
      </c>
      <c r="AV729" s="53">
        <f t="shared" si="127"/>
        <v>0</v>
      </c>
      <c r="AW729" s="53">
        <f t="shared" si="127"/>
        <v>0</v>
      </c>
      <c r="AX729" s="53">
        <f t="shared" si="126"/>
        <v>0</v>
      </c>
      <c r="AY729" s="41" t="s">
        <v>557</v>
      </c>
    </row>
    <row r="730" spans="1:51" x14ac:dyDescent="0.2">
      <c r="A730" s="41" t="s">
        <v>102</v>
      </c>
      <c r="B730" s="41">
        <v>2001</v>
      </c>
      <c r="C730" s="41" t="s">
        <v>91</v>
      </c>
      <c r="D730" s="41" t="s">
        <v>88</v>
      </c>
      <c r="E730" s="41">
        <v>0</v>
      </c>
      <c r="F730" s="41" t="s">
        <v>9</v>
      </c>
      <c r="G730" s="53">
        <v>627774</v>
      </c>
      <c r="H730" s="41">
        <v>4.7699999999999996</v>
      </c>
      <c r="J730" s="58">
        <v>16</v>
      </c>
      <c r="R730" s="76">
        <f t="shared" si="122"/>
        <v>104323.63636363635</v>
      </c>
      <c r="S730" s="53">
        <v>28689</v>
      </c>
      <c r="U730" s="76">
        <f t="shared" si="123"/>
        <v>8035.5072</v>
      </c>
      <c r="AH730" s="76">
        <f t="shared" si="129"/>
        <v>301331.51999999996</v>
      </c>
      <c r="AO730" s="53">
        <f t="shared" si="128"/>
        <v>2994481.9799999995</v>
      </c>
      <c r="AP730" s="53">
        <f t="shared" si="128"/>
        <v>0</v>
      </c>
      <c r="AQ730" s="53">
        <f t="shared" si="128"/>
        <v>10044384</v>
      </c>
      <c r="AR730" s="53">
        <f t="shared" si="127"/>
        <v>0</v>
      </c>
      <c r="AS730" s="53">
        <f t="shared" si="127"/>
        <v>0</v>
      </c>
      <c r="AT730" s="53">
        <f t="shared" si="127"/>
        <v>0</v>
      </c>
      <c r="AU730" s="53">
        <f t="shared" si="127"/>
        <v>0</v>
      </c>
      <c r="AV730" s="53">
        <f t="shared" si="127"/>
        <v>0</v>
      </c>
      <c r="AW730" s="53">
        <f t="shared" si="127"/>
        <v>0</v>
      </c>
      <c r="AX730" s="53">
        <f t="shared" si="126"/>
        <v>0</v>
      </c>
      <c r="AY730" s="41" t="s">
        <v>557</v>
      </c>
    </row>
    <row r="731" spans="1:51" x14ac:dyDescent="0.2">
      <c r="A731" s="41" t="s">
        <v>102</v>
      </c>
      <c r="B731" s="41">
        <v>2002</v>
      </c>
      <c r="C731" s="41" t="s">
        <v>91</v>
      </c>
      <c r="D731" s="41" t="s">
        <v>88</v>
      </c>
      <c r="E731" s="41">
        <v>0</v>
      </c>
      <c r="F731" s="41" t="s">
        <v>9</v>
      </c>
      <c r="G731" s="53">
        <v>637915</v>
      </c>
      <c r="H731" s="41">
        <v>4.49</v>
      </c>
      <c r="J731" s="58">
        <v>16</v>
      </c>
      <c r="R731" s="76">
        <f t="shared" si="122"/>
        <v>101832.72727272726</v>
      </c>
      <c r="S731" s="53">
        <v>28004</v>
      </c>
      <c r="U731" s="76">
        <f t="shared" si="123"/>
        <v>8165.3119999999999</v>
      </c>
      <c r="AH731" s="76">
        <f t="shared" si="129"/>
        <v>306199.2</v>
      </c>
      <c r="AO731" s="53">
        <f t="shared" si="128"/>
        <v>2864238.35</v>
      </c>
      <c r="AP731" s="53">
        <f t="shared" si="128"/>
        <v>0</v>
      </c>
      <c r="AQ731" s="53">
        <f t="shared" si="128"/>
        <v>10206640</v>
      </c>
      <c r="AR731" s="53">
        <f t="shared" si="127"/>
        <v>0</v>
      </c>
      <c r="AS731" s="53">
        <f t="shared" si="127"/>
        <v>0</v>
      </c>
      <c r="AT731" s="53">
        <f t="shared" si="127"/>
        <v>0</v>
      </c>
      <c r="AU731" s="53">
        <f t="shared" si="127"/>
        <v>0</v>
      </c>
      <c r="AV731" s="53">
        <f t="shared" si="127"/>
        <v>0</v>
      </c>
      <c r="AW731" s="53">
        <f t="shared" si="127"/>
        <v>0</v>
      </c>
      <c r="AX731" s="53">
        <f t="shared" si="126"/>
        <v>0</v>
      </c>
      <c r="AY731" s="41" t="s">
        <v>557</v>
      </c>
    </row>
    <row r="732" spans="1:51" x14ac:dyDescent="0.2">
      <c r="A732" s="41" t="s">
        <v>102</v>
      </c>
      <c r="B732" s="41">
        <v>2003</v>
      </c>
      <c r="C732" s="41" t="s">
        <v>91</v>
      </c>
      <c r="D732" s="41" t="s">
        <v>88</v>
      </c>
      <c r="E732" s="41">
        <v>0</v>
      </c>
      <c r="F732" s="41" t="s">
        <v>9</v>
      </c>
      <c r="G732" s="53">
        <v>641633</v>
      </c>
      <c r="H732" s="41">
        <v>6.06</v>
      </c>
      <c r="J732" s="58">
        <v>16</v>
      </c>
      <c r="R732" s="76">
        <f t="shared" si="122"/>
        <v>135581.81818181818</v>
      </c>
      <c r="S732" s="53">
        <v>37285</v>
      </c>
      <c r="U732" s="76">
        <f t="shared" si="123"/>
        <v>8212.9024000000009</v>
      </c>
      <c r="AH732" s="76">
        <f t="shared" si="129"/>
        <v>307983.83999999997</v>
      </c>
      <c r="AO732" s="53">
        <f t="shared" si="128"/>
        <v>3888295.98</v>
      </c>
      <c r="AP732" s="53">
        <f t="shared" si="128"/>
        <v>0</v>
      </c>
      <c r="AQ732" s="53">
        <f t="shared" si="128"/>
        <v>10266128</v>
      </c>
      <c r="AR732" s="53">
        <f t="shared" si="127"/>
        <v>0</v>
      </c>
      <c r="AS732" s="53">
        <f t="shared" si="127"/>
        <v>0</v>
      </c>
      <c r="AT732" s="53">
        <f t="shared" si="127"/>
        <v>0</v>
      </c>
      <c r="AU732" s="53">
        <f t="shared" si="127"/>
        <v>0</v>
      </c>
      <c r="AV732" s="53">
        <f t="shared" si="127"/>
        <v>0</v>
      </c>
      <c r="AW732" s="53">
        <f t="shared" si="127"/>
        <v>0</v>
      </c>
      <c r="AX732" s="53">
        <f t="shared" si="126"/>
        <v>0</v>
      </c>
      <c r="AY732" s="41" t="s">
        <v>557</v>
      </c>
    </row>
    <row r="733" spans="1:51" x14ac:dyDescent="0.2">
      <c r="A733" s="41" t="s">
        <v>102</v>
      </c>
      <c r="B733" s="41">
        <v>2004</v>
      </c>
      <c r="C733" s="41" t="s">
        <v>91</v>
      </c>
      <c r="D733" s="41" t="s">
        <v>88</v>
      </c>
      <c r="E733" s="41">
        <v>0</v>
      </c>
      <c r="F733" s="41" t="s">
        <v>9</v>
      </c>
      <c r="G733" s="53">
        <v>629280</v>
      </c>
      <c r="H733" s="41">
        <v>6.48</v>
      </c>
      <c r="J733" s="58">
        <v>16</v>
      </c>
      <c r="R733" s="76">
        <f t="shared" si="122"/>
        <v>144192.72727272726</v>
      </c>
      <c r="S733" s="53">
        <v>39653</v>
      </c>
      <c r="U733" s="76">
        <f t="shared" si="123"/>
        <v>8054.7839999999997</v>
      </c>
      <c r="AH733" s="76">
        <f t="shared" si="129"/>
        <v>302054.39999999997</v>
      </c>
      <c r="AO733" s="53">
        <f t="shared" si="128"/>
        <v>4077734.4000000004</v>
      </c>
      <c r="AP733" s="53">
        <f t="shared" si="128"/>
        <v>0</v>
      </c>
      <c r="AQ733" s="53">
        <f t="shared" si="128"/>
        <v>10068480</v>
      </c>
      <c r="AR733" s="53">
        <f t="shared" si="127"/>
        <v>0</v>
      </c>
      <c r="AS733" s="53">
        <f t="shared" si="127"/>
        <v>0</v>
      </c>
      <c r="AT733" s="53">
        <f t="shared" si="127"/>
        <v>0</v>
      </c>
      <c r="AU733" s="53">
        <f t="shared" si="127"/>
        <v>0</v>
      </c>
      <c r="AV733" s="53">
        <f t="shared" si="127"/>
        <v>0</v>
      </c>
      <c r="AW733" s="53">
        <f t="shared" si="127"/>
        <v>0</v>
      </c>
      <c r="AX733" s="53">
        <f t="shared" si="126"/>
        <v>0</v>
      </c>
      <c r="AY733" s="41" t="s">
        <v>557</v>
      </c>
    </row>
    <row r="734" spans="1:51" x14ac:dyDescent="0.2">
      <c r="A734" s="41" t="s">
        <v>102</v>
      </c>
      <c r="B734" s="41">
        <v>2005</v>
      </c>
      <c r="C734" s="41" t="s">
        <v>91</v>
      </c>
      <c r="D734" s="41" t="s">
        <v>88</v>
      </c>
      <c r="E734" s="41">
        <v>0</v>
      </c>
      <c r="F734" s="41" t="s">
        <v>9</v>
      </c>
      <c r="G734" s="53">
        <v>621249</v>
      </c>
      <c r="H734" s="46">
        <v>6</v>
      </c>
      <c r="J734" s="58">
        <v>16</v>
      </c>
      <c r="R734" s="76">
        <f t="shared" si="122"/>
        <v>131254.54545454544</v>
      </c>
      <c r="S734" s="53">
        <v>36095</v>
      </c>
      <c r="U734" s="76">
        <f t="shared" si="123"/>
        <v>7951.9872000000005</v>
      </c>
      <c r="AH734" s="76">
        <f t="shared" si="129"/>
        <v>298199.51999999996</v>
      </c>
      <c r="AO734" s="53">
        <f t="shared" si="128"/>
        <v>3727494</v>
      </c>
      <c r="AP734" s="53">
        <f t="shared" si="128"/>
        <v>0</v>
      </c>
      <c r="AQ734" s="53">
        <f t="shared" si="128"/>
        <v>9939984</v>
      </c>
      <c r="AR734" s="53">
        <f t="shared" si="127"/>
        <v>0</v>
      </c>
      <c r="AS734" s="53">
        <f t="shared" si="127"/>
        <v>0</v>
      </c>
      <c r="AT734" s="53">
        <f t="shared" si="127"/>
        <v>0</v>
      </c>
      <c r="AU734" s="53">
        <f t="shared" si="127"/>
        <v>0</v>
      </c>
      <c r="AV734" s="53">
        <f t="shared" si="127"/>
        <v>0</v>
      </c>
      <c r="AW734" s="53">
        <f t="shared" si="127"/>
        <v>0</v>
      </c>
      <c r="AX734" s="53">
        <f t="shared" si="126"/>
        <v>0</v>
      </c>
      <c r="AY734" s="41" t="s">
        <v>557</v>
      </c>
    </row>
    <row r="735" spans="1:51" x14ac:dyDescent="0.2">
      <c r="A735" s="41" t="s">
        <v>102</v>
      </c>
      <c r="B735" s="41">
        <v>2006</v>
      </c>
      <c r="C735" s="41" t="s">
        <v>91</v>
      </c>
      <c r="D735" s="41" t="s">
        <v>88</v>
      </c>
      <c r="E735" s="41">
        <v>0</v>
      </c>
      <c r="F735" s="41" t="s">
        <v>9</v>
      </c>
      <c r="G735" s="53">
        <v>754709</v>
      </c>
      <c r="H735" s="41">
        <v>5.58</v>
      </c>
      <c r="J735" s="58">
        <v>16</v>
      </c>
      <c r="R735" s="76">
        <f t="shared" si="122"/>
        <v>148745.45454545453</v>
      </c>
      <c r="S735" s="53">
        <v>40905</v>
      </c>
      <c r="U735" s="76">
        <f t="shared" si="123"/>
        <v>9660.2752000000019</v>
      </c>
      <c r="AH735" s="76">
        <f t="shared" si="129"/>
        <v>362260.32</v>
      </c>
      <c r="AO735" s="53">
        <f t="shared" si="128"/>
        <v>4211276.22</v>
      </c>
      <c r="AP735" s="53">
        <f t="shared" si="128"/>
        <v>0</v>
      </c>
      <c r="AQ735" s="53">
        <f t="shared" si="128"/>
        <v>12075344</v>
      </c>
      <c r="AR735" s="53">
        <f t="shared" si="127"/>
        <v>0</v>
      </c>
      <c r="AS735" s="53">
        <f t="shared" si="127"/>
        <v>0</v>
      </c>
      <c r="AT735" s="53">
        <f t="shared" si="127"/>
        <v>0</v>
      </c>
      <c r="AU735" s="53">
        <f t="shared" si="127"/>
        <v>0</v>
      </c>
      <c r="AV735" s="53">
        <f t="shared" si="127"/>
        <v>0</v>
      </c>
      <c r="AW735" s="53">
        <f t="shared" si="127"/>
        <v>0</v>
      </c>
      <c r="AX735" s="53">
        <f t="shared" si="126"/>
        <v>0</v>
      </c>
      <c r="AY735" s="41" t="s">
        <v>557</v>
      </c>
    </row>
    <row r="736" spans="1:51" x14ac:dyDescent="0.2">
      <c r="A736" s="41" t="s">
        <v>102</v>
      </c>
      <c r="B736" s="41">
        <v>2007</v>
      </c>
      <c r="C736" s="41" t="s">
        <v>91</v>
      </c>
      <c r="D736" s="41" t="s">
        <v>88</v>
      </c>
      <c r="E736" s="41">
        <v>0</v>
      </c>
      <c r="F736" s="41" t="s">
        <v>9</v>
      </c>
      <c r="G736" s="53">
        <v>700906</v>
      </c>
      <c r="H736" s="41">
        <v>5.55</v>
      </c>
      <c r="J736" s="58">
        <v>16</v>
      </c>
      <c r="R736" s="76">
        <f t="shared" si="122"/>
        <v>137123.63636363635</v>
      </c>
      <c r="S736" s="53">
        <v>37709</v>
      </c>
      <c r="U736" s="76">
        <f t="shared" si="123"/>
        <v>8971.5968000000012</v>
      </c>
      <c r="AH736" s="76">
        <f t="shared" si="129"/>
        <v>336434.88</v>
      </c>
      <c r="AO736" s="53">
        <f t="shared" si="128"/>
        <v>3890028.3</v>
      </c>
      <c r="AP736" s="53">
        <f t="shared" si="128"/>
        <v>0</v>
      </c>
      <c r="AQ736" s="53">
        <f t="shared" si="128"/>
        <v>11214496</v>
      </c>
      <c r="AR736" s="53">
        <f t="shared" si="127"/>
        <v>0</v>
      </c>
      <c r="AS736" s="53">
        <f t="shared" si="127"/>
        <v>0</v>
      </c>
      <c r="AT736" s="53">
        <f t="shared" si="127"/>
        <v>0</v>
      </c>
      <c r="AU736" s="53">
        <f t="shared" si="127"/>
        <v>0</v>
      </c>
      <c r="AV736" s="53">
        <f t="shared" si="127"/>
        <v>0</v>
      </c>
      <c r="AW736" s="53">
        <f t="shared" si="127"/>
        <v>0</v>
      </c>
      <c r="AX736" s="53">
        <f t="shared" si="126"/>
        <v>0</v>
      </c>
      <c r="AY736" s="41" t="s">
        <v>557</v>
      </c>
    </row>
    <row r="737" spans="1:51" x14ac:dyDescent="0.2">
      <c r="A737" s="41" t="s">
        <v>102</v>
      </c>
      <c r="B737" s="41">
        <v>2008</v>
      </c>
      <c r="C737" s="41" t="s">
        <v>91</v>
      </c>
      <c r="D737" s="41" t="s">
        <v>88</v>
      </c>
      <c r="E737" s="41">
        <v>0</v>
      </c>
      <c r="F737" s="41" t="s">
        <v>9</v>
      </c>
      <c r="G737" s="104">
        <v>877239.67466709018</v>
      </c>
      <c r="H737" s="105">
        <v>5.2394635959083704</v>
      </c>
      <c r="J737" s="58">
        <v>16</v>
      </c>
      <c r="R737" s="76">
        <f t="shared" si="122"/>
        <v>160483.11872727273</v>
      </c>
      <c r="S737" s="104">
        <v>44132.857650000005</v>
      </c>
      <c r="U737" s="76">
        <f t="shared" si="123"/>
        <v>11228.667835738755</v>
      </c>
      <c r="AH737" s="76">
        <f t="shared" si="129"/>
        <v>421075.04384020326</v>
      </c>
      <c r="AO737" s="53">
        <f t="shared" si="128"/>
        <v>4596265.3403047211</v>
      </c>
      <c r="AP737" s="53">
        <f t="shared" si="128"/>
        <v>0</v>
      </c>
      <c r="AQ737" s="53">
        <f t="shared" si="128"/>
        <v>14035834.794673443</v>
      </c>
      <c r="AR737" s="53">
        <f t="shared" si="127"/>
        <v>0</v>
      </c>
      <c r="AS737" s="53">
        <f t="shared" si="127"/>
        <v>0</v>
      </c>
      <c r="AT737" s="53">
        <f t="shared" si="127"/>
        <v>0</v>
      </c>
      <c r="AU737" s="53">
        <f t="shared" si="127"/>
        <v>0</v>
      </c>
      <c r="AV737" s="53">
        <f t="shared" si="127"/>
        <v>0</v>
      </c>
      <c r="AW737" s="53">
        <f t="shared" si="127"/>
        <v>0</v>
      </c>
      <c r="AX737" s="53">
        <f t="shared" si="126"/>
        <v>0</v>
      </c>
      <c r="AY737" s="41" t="s">
        <v>557</v>
      </c>
    </row>
    <row r="738" spans="1:51" x14ac:dyDescent="0.2">
      <c r="A738" s="41" t="s">
        <v>102</v>
      </c>
      <c r="B738" s="41">
        <v>2009</v>
      </c>
      <c r="C738" s="41" t="s">
        <v>91</v>
      </c>
      <c r="D738" s="41" t="s">
        <v>88</v>
      </c>
      <c r="E738" s="41">
        <v>0</v>
      </c>
      <c r="F738" s="41" t="s">
        <v>9</v>
      </c>
      <c r="G738" s="104">
        <v>1064284.0981566501</v>
      </c>
      <c r="H738" s="105">
        <v>5.0224824153526173</v>
      </c>
      <c r="J738" s="58">
        <v>16</v>
      </c>
      <c r="R738" s="76">
        <f t="shared" si="122"/>
        <v>187368.00554023447</v>
      </c>
      <c r="S738" s="104">
        <v>51526.201523564487</v>
      </c>
      <c r="U738" s="76">
        <f t="shared" si="123"/>
        <v>13622.836456405123</v>
      </c>
      <c r="AH738" s="76">
        <f t="shared" si="129"/>
        <v>510856.367115192</v>
      </c>
      <c r="AO738" s="53">
        <f t="shared" si="128"/>
        <v>5345348.1679311944</v>
      </c>
      <c r="AP738" s="53">
        <f t="shared" si="128"/>
        <v>0</v>
      </c>
      <c r="AQ738" s="53">
        <f t="shared" si="128"/>
        <v>17028545.570506401</v>
      </c>
      <c r="AR738" s="53">
        <f t="shared" si="127"/>
        <v>0</v>
      </c>
      <c r="AS738" s="53">
        <f t="shared" si="127"/>
        <v>0</v>
      </c>
      <c r="AT738" s="53">
        <f t="shared" si="127"/>
        <v>0</v>
      </c>
      <c r="AU738" s="53">
        <f t="shared" si="127"/>
        <v>0</v>
      </c>
      <c r="AV738" s="53">
        <f t="shared" si="127"/>
        <v>0</v>
      </c>
      <c r="AW738" s="53">
        <f t="shared" si="127"/>
        <v>0</v>
      </c>
      <c r="AX738" s="53">
        <f t="shared" si="126"/>
        <v>0</v>
      </c>
      <c r="AY738" s="41" t="s">
        <v>557</v>
      </c>
    </row>
    <row r="739" spans="1:51" x14ac:dyDescent="0.2">
      <c r="A739" s="41" t="s">
        <v>102</v>
      </c>
      <c r="B739" s="41">
        <v>2010</v>
      </c>
      <c r="C739" s="41" t="s">
        <v>91</v>
      </c>
      <c r="D739" s="41" t="s">
        <v>88</v>
      </c>
      <c r="E739" s="41">
        <v>0</v>
      </c>
      <c r="F739" s="41" t="s">
        <v>9</v>
      </c>
      <c r="G739" s="104">
        <v>1067459</v>
      </c>
      <c r="H739" s="41">
        <v>4.88</v>
      </c>
      <c r="J739" s="58">
        <v>16</v>
      </c>
      <c r="R739" s="76">
        <f t="shared" si="122"/>
        <v>182032.72727272726</v>
      </c>
      <c r="S739" s="53">
        <v>50059</v>
      </c>
      <c r="U739" s="76">
        <f t="shared" si="123"/>
        <v>13663.475200000001</v>
      </c>
      <c r="AH739" s="76">
        <f t="shared" si="129"/>
        <v>512380.32</v>
      </c>
      <c r="AO739" s="53">
        <f t="shared" si="128"/>
        <v>5209199.92</v>
      </c>
      <c r="AP739" s="53">
        <f t="shared" si="128"/>
        <v>0</v>
      </c>
      <c r="AQ739" s="53">
        <f t="shared" si="128"/>
        <v>17079344</v>
      </c>
      <c r="AR739" s="53">
        <f t="shared" si="127"/>
        <v>0</v>
      </c>
      <c r="AS739" s="53">
        <f t="shared" si="127"/>
        <v>0</v>
      </c>
      <c r="AT739" s="53">
        <f t="shared" si="127"/>
        <v>0</v>
      </c>
      <c r="AU739" s="53">
        <f t="shared" si="127"/>
        <v>0</v>
      </c>
      <c r="AV739" s="53">
        <f t="shared" si="127"/>
        <v>0</v>
      </c>
      <c r="AW739" s="53">
        <f t="shared" si="127"/>
        <v>0</v>
      </c>
      <c r="AX739" s="53">
        <f t="shared" si="126"/>
        <v>0</v>
      </c>
      <c r="AY739" s="41" t="s">
        <v>557</v>
      </c>
    </row>
    <row r="740" spans="1:51" x14ac:dyDescent="0.2">
      <c r="A740" s="41" t="s">
        <v>102</v>
      </c>
      <c r="B740" s="41">
        <v>2011</v>
      </c>
      <c r="C740" s="41" t="s">
        <v>91</v>
      </c>
      <c r="D740" s="41" t="s">
        <v>88</v>
      </c>
      <c r="E740" s="41">
        <v>0</v>
      </c>
      <c r="F740" s="41" t="s">
        <v>9</v>
      </c>
      <c r="G740" s="104">
        <v>1035000</v>
      </c>
      <c r="H740" s="41">
        <v>4.33</v>
      </c>
      <c r="J740" s="58">
        <v>16</v>
      </c>
      <c r="R740" s="76">
        <f t="shared" si="122"/>
        <v>162545.45454545453</v>
      </c>
      <c r="S740" s="53">
        <v>44700</v>
      </c>
      <c r="U740" s="76">
        <f t="shared" si="123"/>
        <v>13248</v>
      </c>
      <c r="AH740" s="76">
        <f t="shared" si="129"/>
        <v>496800</v>
      </c>
      <c r="AO740" s="53">
        <f t="shared" si="128"/>
        <v>4481550</v>
      </c>
      <c r="AP740" s="53">
        <f t="shared" si="128"/>
        <v>0</v>
      </c>
      <c r="AQ740" s="53">
        <f t="shared" si="128"/>
        <v>16560000</v>
      </c>
      <c r="AR740" s="53">
        <f t="shared" si="127"/>
        <v>0</v>
      </c>
      <c r="AS740" s="53">
        <f t="shared" si="127"/>
        <v>0</v>
      </c>
      <c r="AT740" s="53">
        <f t="shared" si="127"/>
        <v>0</v>
      </c>
      <c r="AU740" s="53">
        <f t="shared" si="127"/>
        <v>0</v>
      </c>
      <c r="AV740" s="53">
        <f t="shared" si="127"/>
        <v>0</v>
      </c>
      <c r="AW740" s="53">
        <f t="shared" si="127"/>
        <v>0</v>
      </c>
      <c r="AX740" s="53">
        <f t="shared" si="126"/>
        <v>0</v>
      </c>
      <c r="AY740" s="41" t="s">
        <v>557</v>
      </c>
    </row>
    <row r="741" spans="1:51" x14ac:dyDescent="0.2">
      <c r="A741" s="41" t="s">
        <v>102</v>
      </c>
      <c r="B741" s="41">
        <v>2012</v>
      </c>
      <c r="C741" s="41" t="s">
        <v>91</v>
      </c>
      <c r="D741" s="41" t="s">
        <v>88</v>
      </c>
      <c r="E741" s="41">
        <v>0</v>
      </c>
      <c r="F741" s="41" t="s">
        <v>9</v>
      </c>
      <c r="G741" s="104">
        <v>938325</v>
      </c>
      <c r="H741" s="41">
        <v>3.83</v>
      </c>
      <c r="J741" s="41">
        <v>14.51</v>
      </c>
      <c r="R741" s="53">
        <v>127644</v>
      </c>
      <c r="S741" s="53">
        <v>34529</v>
      </c>
      <c r="U741" s="53">
        <f>92.71*R741/1000</f>
        <v>11833.875239999998</v>
      </c>
      <c r="AH741" s="53">
        <v>443308</v>
      </c>
      <c r="AO741" s="53">
        <f t="shared" si="128"/>
        <v>3593784.75</v>
      </c>
      <c r="AP741" s="53">
        <f t="shared" si="128"/>
        <v>0</v>
      </c>
      <c r="AQ741" s="53">
        <f t="shared" si="128"/>
        <v>13615095.75</v>
      </c>
      <c r="AR741" s="53">
        <f t="shared" si="127"/>
        <v>0</v>
      </c>
      <c r="AS741" s="53">
        <f t="shared" si="127"/>
        <v>0</v>
      </c>
      <c r="AT741" s="53">
        <f t="shared" si="127"/>
        <v>0</v>
      </c>
      <c r="AU741" s="53">
        <f t="shared" si="127"/>
        <v>0</v>
      </c>
      <c r="AV741" s="53">
        <f t="shared" si="127"/>
        <v>0</v>
      </c>
      <c r="AW741" s="53">
        <f t="shared" si="127"/>
        <v>0</v>
      </c>
      <c r="AX741" s="53">
        <f t="shared" si="126"/>
        <v>0</v>
      </c>
      <c r="AY741" s="41" t="s">
        <v>557</v>
      </c>
    </row>
    <row r="742" spans="1:51" x14ac:dyDescent="0.2">
      <c r="A742" s="41" t="s">
        <v>102</v>
      </c>
      <c r="B742" s="41">
        <v>2013</v>
      </c>
      <c r="C742" s="41" t="s">
        <v>91</v>
      </c>
      <c r="D742" s="41" t="s">
        <v>88</v>
      </c>
      <c r="E742" s="41">
        <v>0</v>
      </c>
      <c r="F742" s="41" t="s">
        <v>9</v>
      </c>
      <c r="G742" s="104">
        <v>1074074</v>
      </c>
      <c r="H742" s="41">
        <v>4.3899999999999997</v>
      </c>
      <c r="J742" s="41">
        <v>15.94</v>
      </c>
      <c r="R742" s="53">
        <v>164602</v>
      </c>
      <c r="S742" s="53">
        <v>45602</v>
      </c>
      <c r="U742" s="53">
        <f>80.49*R742/1000</f>
        <v>13248.814979999999</v>
      </c>
      <c r="AH742" s="53">
        <v>561514</v>
      </c>
      <c r="AO742" s="53">
        <f t="shared" si="128"/>
        <v>4715184.8599999994</v>
      </c>
      <c r="AP742" s="53">
        <f t="shared" si="128"/>
        <v>0</v>
      </c>
      <c r="AQ742" s="53">
        <f t="shared" si="128"/>
        <v>17120739.559999999</v>
      </c>
      <c r="AR742" s="53">
        <f t="shared" si="127"/>
        <v>0</v>
      </c>
      <c r="AS742" s="53">
        <f t="shared" si="127"/>
        <v>0</v>
      </c>
      <c r="AT742" s="53">
        <f t="shared" si="127"/>
        <v>0</v>
      </c>
      <c r="AU742" s="53">
        <f t="shared" si="127"/>
        <v>0</v>
      </c>
      <c r="AV742" s="53">
        <f t="shared" si="127"/>
        <v>0</v>
      </c>
      <c r="AW742" s="53">
        <f t="shared" si="127"/>
        <v>0</v>
      </c>
      <c r="AX742" s="53">
        <f t="shared" si="126"/>
        <v>0</v>
      </c>
      <c r="AY742" s="41" t="s">
        <v>557</v>
      </c>
    </row>
    <row r="743" spans="1:51" x14ac:dyDescent="0.2">
      <c r="A743" s="41" t="s">
        <v>102</v>
      </c>
      <c r="B743" s="41">
        <v>2014</v>
      </c>
      <c r="C743" s="41" t="s">
        <v>91</v>
      </c>
      <c r="D743" s="41" t="s">
        <v>88</v>
      </c>
      <c r="E743" s="41">
        <v>0</v>
      </c>
      <c r="F743" s="41" t="s">
        <v>9</v>
      </c>
      <c r="G743" s="104">
        <v>1093320</v>
      </c>
      <c r="H743" s="41">
        <v>4.62</v>
      </c>
      <c r="J743" s="58">
        <v>16</v>
      </c>
      <c r="R743" s="76">
        <f>S743/0.275</f>
        <v>178429.09090909088</v>
      </c>
      <c r="S743" s="53">
        <v>49068</v>
      </c>
      <c r="U743" s="76">
        <f>0.8*G743*J743/1000</f>
        <v>13994.495999999999</v>
      </c>
      <c r="AH743" s="76">
        <f>0.48*G743</f>
        <v>524793.59999999998</v>
      </c>
      <c r="AO743" s="53">
        <f t="shared" si="128"/>
        <v>5051138.4000000004</v>
      </c>
      <c r="AP743" s="53">
        <f t="shared" si="128"/>
        <v>0</v>
      </c>
      <c r="AQ743" s="53">
        <f t="shared" si="128"/>
        <v>17493120</v>
      </c>
      <c r="AR743" s="53">
        <f t="shared" si="127"/>
        <v>0</v>
      </c>
      <c r="AS743" s="53">
        <f t="shared" si="127"/>
        <v>0</v>
      </c>
      <c r="AT743" s="53">
        <f t="shared" si="127"/>
        <v>0</v>
      </c>
      <c r="AU743" s="53">
        <f t="shared" si="127"/>
        <v>0</v>
      </c>
      <c r="AV743" s="53">
        <f t="shared" si="127"/>
        <v>0</v>
      </c>
      <c r="AW743" s="53">
        <f t="shared" si="127"/>
        <v>0</v>
      </c>
      <c r="AX743" s="53">
        <f t="shared" si="126"/>
        <v>0</v>
      </c>
      <c r="AY743" s="41" t="s">
        <v>557</v>
      </c>
    </row>
    <row r="744" spans="1:51" x14ac:dyDescent="0.2">
      <c r="A744" s="41" t="s">
        <v>102</v>
      </c>
      <c r="B744" s="41">
        <v>2015</v>
      </c>
      <c r="C744" s="41" t="s">
        <v>91</v>
      </c>
      <c r="D744" s="41" t="s">
        <v>88</v>
      </c>
      <c r="E744" s="41">
        <v>0</v>
      </c>
      <c r="F744" s="41" t="s">
        <v>9</v>
      </c>
      <c r="G744" s="104">
        <v>1095323</v>
      </c>
      <c r="H744" s="41">
        <v>4.5599999999999996</v>
      </c>
      <c r="J744" s="41">
        <v>16.18</v>
      </c>
      <c r="R744" s="53">
        <v>181553</v>
      </c>
      <c r="S744" s="53">
        <v>48660</v>
      </c>
      <c r="U744" s="53">
        <f>81.64*R744/1000</f>
        <v>14821.986919999999</v>
      </c>
      <c r="AH744" s="53">
        <v>544859</v>
      </c>
      <c r="AO744" s="53">
        <f t="shared" si="128"/>
        <v>4994672.88</v>
      </c>
      <c r="AP744" s="53">
        <f t="shared" si="128"/>
        <v>0</v>
      </c>
      <c r="AQ744" s="53">
        <f t="shared" si="128"/>
        <v>17722326.140000001</v>
      </c>
      <c r="AR744" s="53">
        <f t="shared" si="128"/>
        <v>0</v>
      </c>
      <c r="AS744" s="53">
        <f t="shared" si="128"/>
        <v>0</v>
      </c>
      <c r="AT744" s="53">
        <f t="shared" si="128"/>
        <v>0</v>
      </c>
      <c r="AU744" s="53">
        <f t="shared" si="128"/>
        <v>0</v>
      </c>
      <c r="AV744" s="53">
        <f t="shared" si="128"/>
        <v>0</v>
      </c>
      <c r="AW744" s="53">
        <f t="shared" si="128"/>
        <v>0</v>
      </c>
      <c r="AX744" s="53">
        <f t="shared" si="126"/>
        <v>0</v>
      </c>
      <c r="AY744" s="41" t="s">
        <v>557</v>
      </c>
    </row>
    <row r="745" spans="1:51" x14ac:dyDescent="0.2">
      <c r="A745" s="41" t="s">
        <v>102</v>
      </c>
      <c r="B745" s="41">
        <v>2016</v>
      </c>
      <c r="C745" s="41" t="s">
        <v>91</v>
      </c>
      <c r="D745" s="41" t="s">
        <v>88</v>
      </c>
      <c r="E745" s="41">
        <v>0</v>
      </c>
      <c r="F745" s="41" t="s">
        <v>9</v>
      </c>
      <c r="G745" s="104">
        <v>1156326</v>
      </c>
      <c r="H745" s="41">
        <v>4.78</v>
      </c>
      <c r="J745" s="41">
        <v>18.68</v>
      </c>
      <c r="R745" s="53">
        <v>164602</v>
      </c>
      <c r="S745" s="53">
        <v>53907</v>
      </c>
      <c r="U745" s="53">
        <f>81.72*R745/1000</f>
        <v>13451.275439999999</v>
      </c>
      <c r="AH745" s="53">
        <v>509033</v>
      </c>
      <c r="AO745" s="53">
        <f t="shared" ref="AO745:AW745" si="130">$G745*H745</f>
        <v>5527238.2800000003</v>
      </c>
      <c r="AP745" s="53">
        <f t="shared" si="130"/>
        <v>0</v>
      </c>
      <c r="AQ745" s="53">
        <f t="shared" si="130"/>
        <v>21600169.68</v>
      </c>
      <c r="AR745" s="53">
        <f t="shared" si="130"/>
        <v>0</v>
      </c>
      <c r="AS745" s="53">
        <f t="shared" si="130"/>
        <v>0</v>
      </c>
      <c r="AT745" s="53">
        <f t="shared" si="130"/>
        <v>0</v>
      </c>
      <c r="AU745" s="53">
        <f t="shared" si="130"/>
        <v>0</v>
      </c>
      <c r="AV745" s="53">
        <f t="shared" si="130"/>
        <v>0</v>
      </c>
      <c r="AW745" s="53">
        <f t="shared" si="130"/>
        <v>0</v>
      </c>
      <c r="AX745" s="53">
        <f t="shared" si="126"/>
        <v>0</v>
      </c>
      <c r="AY745" s="41" t="s">
        <v>557</v>
      </c>
    </row>
    <row r="746" spans="1:51" x14ac:dyDescent="0.2">
      <c r="A746" s="41" t="s">
        <v>102</v>
      </c>
      <c r="B746" s="60" t="s">
        <v>559</v>
      </c>
      <c r="C746" s="60" t="s">
        <v>91</v>
      </c>
      <c r="D746" s="60" t="s">
        <v>88</v>
      </c>
      <c r="E746" s="60">
        <v>0</v>
      </c>
      <c r="F746" s="60" t="s">
        <v>9</v>
      </c>
      <c r="G746" s="79">
        <f>SUM(G684:G745)</f>
        <v>36840550.284823745</v>
      </c>
      <c r="H746" s="80">
        <f>AO746/$G746</f>
        <v>3.2994772609001348</v>
      </c>
      <c r="J746" s="78">
        <f>AQ746/$G746</f>
        <v>16.049770242730474</v>
      </c>
      <c r="R746" s="79">
        <f>SUM(R684:R745)</f>
        <v>4274075.3182888897</v>
      </c>
      <c r="S746" s="79">
        <f>SUM(S684:S745)</f>
        <v>1182508.4375294447</v>
      </c>
      <c r="U746" s="79">
        <f>SUM(U684:U745)</f>
        <v>470335.18182574387</v>
      </c>
      <c r="AH746" s="79">
        <f>SUM(AH684:AH745)</f>
        <v>23268475.456206731</v>
      </c>
      <c r="AO746" s="79">
        <f t="shared" ref="AO746:AX746" si="131">SUM(AO684:AO745)</f>
        <v>121554557.94382393</v>
      </c>
      <c r="AP746" s="79">
        <f t="shared" si="131"/>
        <v>0</v>
      </c>
      <c r="AQ746" s="79">
        <f t="shared" si="131"/>
        <v>591282367.6871798</v>
      </c>
      <c r="AR746" s="79">
        <f t="shared" si="131"/>
        <v>0</v>
      </c>
      <c r="AS746" s="79">
        <f t="shared" si="131"/>
        <v>0</v>
      </c>
      <c r="AT746" s="79">
        <f t="shared" si="131"/>
        <v>0</v>
      </c>
      <c r="AU746" s="79">
        <f t="shared" si="131"/>
        <v>0</v>
      </c>
      <c r="AV746" s="79">
        <f t="shared" si="131"/>
        <v>0</v>
      </c>
      <c r="AW746" s="79">
        <f t="shared" si="131"/>
        <v>0</v>
      </c>
      <c r="AX746" s="79">
        <f t="shared" si="131"/>
        <v>0</v>
      </c>
      <c r="AY746" s="41" t="s">
        <v>557</v>
      </c>
    </row>
    <row r="747" spans="1:51" x14ac:dyDescent="0.2">
      <c r="A747" s="41" t="s">
        <v>102</v>
      </c>
      <c r="B747" s="43" t="s">
        <v>560</v>
      </c>
      <c r="G747" s="53">
        <f>STDEV(G684:G745)</f>
        <v>353850.82980641996</v>
      </c>
      <c r="H747" s="46">
        <f>STDEV(H684:H745)</f>
        <v>2.4186783007299741</v>
      </c>
      <c r="J747" s="46">
        <f>STDEV(J684:J745)</f>
        <v>0.39277952284906592</v>
      </c>
      <c r="R747" s="53">
        <f>STDEV(R684:R745)</f>
        <v>58988.151505781636</v>
      </c>
      <c r="S747" s="53">
        <f>STDEV(S684:S745)</f>
        <v>16448.196568213167</v>
      </c>
      <c r="U747" s="53">
        <f>STDEV(U684:U745)</f>
        <v>4503.6912780964649</v>
      </c>
      <c r="AH747" s="53">
        <f>STDEV(AH684:AH745)</f>
        <v>207477.63565206589</v>
      </c>
      <c r="AY747" s="41" t="s">
        <v>557</v>
      </c>
    </row>
    <row r="748" spans="1:51" x14ac:dyDescent="0.2">
      <c r="A748" s="41" t="s">
        <v>102</v>
      </c>
      <c r="B748" s="81" t="s">
        <v>249</v>
      </c>
      <c r="G748" s="41">
        <f>COUNT(G684:G745)</f>
        <v>62</v>
      </c>
      <c r="H748" s="41">
        <f>COUNT(H684:H745)</f>
        <v>62</v>
      </c>
      <c r="J748" s="41">
        <f>COUNT(J684:J745)</f>
        <v>62</v>
      </c>
      <c r="R748" s="41">
        <f>COUNT(R684:R745)</f>
        <v>62</v>
      </c>
      <c r="S748" s="41">
        <f>COUNT(S684:S745)</f>
        <v>62</v>
      </c>
      <c r="U748" s="41">
        <f>COUNT(U684:U745)</f>
        <v>62</v>
      </c>
      <c r="AH748" s="41">
        <f>COUNT(AH684:AH745)</f>
        <v>62</v>
      </c>
      <c r="AY748" s="41" t="s">
        <v>557</v>
      </c>
    </row>
    <row r="749" spans="1:51" x14ac:dyDescent="0.2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  <c r="AA749" s="82"/>
      <c r="AB749" s="82"/>
      <c r="AC749" s="82"/>
      <c r="AD749" s="82"/>
      <c r="AE749" s="82"/>
      <c r="AF749" s="82"/>
      <c r="AG749" s="82"/>
      <c r="AH749" s="82"/>
      <c r="AI749" s="82"/>
      <c r="AJ749" s="82"/>
      <c r="AK749" s="82"/>
      <c r="AL749" s="82"/>
      <c r="AM749" s="82"/>
      <c r="AN749" s="82"/>
      <c r="AO749" s="82"/>
      <c r="AP749" s="82"/>
      <c r="AQ749" s="82"/>
      <c r="AR749" s="82"/>
      <c r="AS749" s="82"/>
      <c r="AT749" s="82"/>
      <c r="AU749" s="82"/>
      <c r="AV749" s="82"/>
      <c r="AW749" s="82"/>
      <c r="AX749" s="82"/>
      <c r="AY749" s="41" t="s">
        <v>557</v>
      </c>
    </row>
    <row r="750" spans="1:51" x14ac:dyDescent="0.2">
      <c r="A750" s="86" t="s">
        <v>607</v>
      </c>
      <c r="B750" s="41">
        <v>2002</v>
      </c>
      <c r="C750" s="41" t="s">
        <v>87</v>
      </c>
      <c r="D750" s="41" t="s">
        <v>606</v>
      </c>
      <c r="E750" s="41">
        <v>100</v>
      </c>
      <c r="F750" s="41" t="s">
        <v>563</v>
      </c>
      <c r="G750" s="53">
        <v>123716737.71380043</v>
      </c>
      <c r="H750" s="46">
        <v>0.86163817516572316</v>
      </c>
      <c r="I750" s="77">
        <v>2.5000000000000001E-2</v>
      </c>
      <c r="J750" s="77">
        <v>2.5</v>
      </c>
      <c r="K750" s="42">
        <v>1.3879016682761513E-2</v>
      </c>
      <c r="S750" s="53">
        <v>893862</v>
      </c>
      <c r="T750" s="76">
        <f t="shared" ref="T750:T756" si="132">0.5*G750*I750/1000</f>
        <v>1546.4592214225056</v>
      </c>
      <c r="U750" s="76">
        <f t="shared" ref="U750:U756" si="133">0.5*G750*J750/1000</f>
        <v>154645.92214225055</v>
      </c>
      <c r="W750" s="53">
        <v>12878</v>
      </c>
      <c r="AM750" s="53"/>
      <c r="AO750" s="53">
        <f t="shared" ref="AO750:AW759" si="134">$G750*H750</f>
        <v>106599064.12117541</v>
      </c>
      <c r="AP750" s="53">
        <f t="shared" si="134"/>
        <v>3092918.4428450111</v>
      </c>
      <c r="AQ750" s="53">
        <f t="shared" si="134"/>
        <v>309291844.28450108</v>
      </c>
      <c r="AR750" s="53">
        <f t="shared" si="134"/>
        <v>1717066.6666666667</v>
      </c>
      <c r="AS750" s="53">
        <f t="shared" si="134"/>
        <v>0</v>
      </c>
      <c r="AT750" s="53">
        <f t="shared" si="134"/>
        <v>0</v>
      </c>
      <c r="AU750" s="53">
        <f t="shared" si="134"/>
        <v>0</v>
      </c>
      <c r="AV750" s="53">
        <f t="shared" si="134"/>
        <v>0</v>
      </c>
      <c r="AW750" s="53">
        <f t="shared" si="134"/>
        <v>0</v>
      </c>
      <c r="AX750" s="53">
        <f t="shared" ref="AX750:AX758" si="135">$G750*E750</f>
        <v>12371673771.380043</v>
      </c>
      <c r="AY750" s="41" t="s">
        <v>557</v>
      </c>
    </row>
    <row r="751" spans="1:51" x14ac:dyDescent="0.2">
      <c r="A751" s="86" t="s">
        <v>607</v>
      </c>
      <c r="B751" s="41">
        <v>2003</v>
      </c>
      <c r="C751" s="41" t="s">
        <v>87</v>
      </c>
      <c r="D751" s="41" t="s">
        <v>606</v>
      </c>
      <c r="E751" s="41">
        <v>100</v>
      </c>
      <c r="F751" s="41" t="s">
        <v>563</v>
      </c>
      <c r="G751" s="53">
        <v>121517397.04011318</v>
      </c>
      <c r="H751" s="46">
        <v>0.84737953913439834</v>
      </c>
      <c r="I751" s="77">
        <v>2.5000000000000001E-2</v>
      </c>
      <c r="J751" s="77">
        <v>2.5</v>
      </c>
      <c r="K751" s="42">
        <v>1.8029791508866019E-2</v>
      </c>
      <c r="S751" s="53">
        <v>907169</v>
      </c>
      <c r="T751" s="76">
        <f t="shared" si="132"/>
        <v>1518.9674630014149</v>
      </c>
      <c r="U751" s="76">
        <f t="shared" si="133"/>
        <v>151896.74630014147</v>
      </c>
      <c r="W751" s="53">
        <v>16432</v>
      </c>
      <c r="AM751" s="53"/>
      <c r="AO751" s="53">
        <f t="shared" si="134"/>
        <v>102971355.90066281</v>
      </c>
      <c r="AP751" s="53">
        <f t="shared" si="134"/>
        <v>3037934.9260028298</v>
      </c>
      <c r="AQ751" s="53">
        <f t="shared" si="134"/>
        <v>303793492.60028297</v>
      </c>
      <c r="AR751" s="53">
        <f t="shared" si="134"/>
        <v>2190933.3333333335</v>
      </c>
      <c r="AS751" s="53">
        <f t="shared" si="134"/>
        <v>0</v>
      </c>
      <c r="AT751" s="53">
        <f t="shared" si="134"/>
        <v>0</v>
      </c>
      <c r="AU751" s="53">
        <f t="shared" si="134"/>
        <v>0</v>
      </c>
      <c r="AV751" s="53">
        <f t="shared" si="134"/>
        <v>0</v>
      </c>
      <c r="AW751" s="53">
        <f t="shared" si="134"/>
        <v>0</v>
      </c>
      <c r="AX751" s="53">
        <f t="shared" si="135"/>
        <v>12151739704.011318</v>
      </c>
      <c r="AY751" s="41" t="s">
        <v>557</v>
      </c>
    </row>
    <row r="752" spans="1:51" x14ac:dyDescent="0.2">
      <c r="A752" s="86" t="s">
        <v>607</v>
      </c>
      <c r="B752" s="41">
        <v>2004</v>
      </c>
      <c r="C752" s="41" t="s">
        <v>87</v>
      </c>
      <c r="D752" s="41" t="s">
        <v>606</v>
      </c>
      <c r="E752" s="41">
        <v>100</v>
      </c>
      <c r="F752" s="41" t="s">
        <v>563</v>
      </c>
      <c r="G752" s="53">
        <v>126500000</v>
      </c>
      <c r="H752" s="46">
        <v>0.88902766798418964</v>
      </c>
      <c r="I752" s="77">
        <v>2.5000000000000001E-2</v>
      </c>
      <c r="J752" s="77">
        <v>2.5</v>
      </c>
      <c r="K752" s="42">
        <v>2.5582081686429513E-2</v>
      </c>
      <c r="S752" s="53">
        <v>982817</v>
      </c>
      <c r="T752" s="76">
        <f t="shared" si="132"/>
        <v>1581.25</v>
      </c>
      <c r="U752" s="76">
        <f t="shared" si="133"/>
        <v>158125</v>
      </c>
      <c r="W752" s="53">
        <v>24271</v>
      </c>
      <c r="AM752" s="53"/>
      <c r="AO752" s="53">
        <f t="shared" si="134"/>
        <v>112461999.99999999</v>
      </c>
      <c r="AP752" s="53">
        <f t="shared" si="134"/>
        <v>3162500</v>
      </c>
      <c r="AQ752" s="53">
        <f t="shared" si="134"/>
        <v>316250000</v>
      </c>
      <c r="AR752" s="53">
        <f t="shared" si="134"/>
        <v>3236133.3333333335</v>
      </c>
      <c r="AS752" s="53">
        <f t="shared" si="134"/>
        <v>0</v>
      </c>
      <c r="AT752" s="53">
        <f t="shared" si="134"/>
        <v>0</v>
      </c>
      <c r="AU752" s="53">
        <f t="shared" si="134"/>
        <v>0</v>
      </c>
      <c r="AV752" s="53">
        <f t="shared" si="134"/>
        <v>0</v>
      </c>
      <c r="AW752" s="53">
        <f t="shared" si="134"/>
        <v>0</v>
      </c>
      <c r="AX752" s="53">
        <f t="shared" si="135"/>
        <v>12650000000</v>
      </c>
      <c r="AY752" s="41" t="s">
        <v>557</v>
      </c>
    </row>
    <row r="753" spans="1:51" x14ac:dyDescent="0.2">
      <c r="A753" s="86" t="s">
        <v>607</v>
      </c>
      <c r="B753" s="41">
        <v>2005</v>
      </c>
      <c r="C753" s="41" t="s">
        <v>87</v>
      </c>
      <c r="D753" s="41" t="s">
        <v>606</v>
      </c>
      <c r="E753" s="41">
        <v>100</v>
      </c>
      <c r="F753" s="41" t="s">
        <v>563</v>
      </c>
      <c r="G753" s="53">
        <v>127100000</v>
      </c>
      <c r="H753" s="46">
        <v>0.86970102281667983</v>
      </c>
      <c r="I753" s="77">
        <v>2.5000000000000001E-2</v>
      </c>
      <c r="J753" s="77">
        <v>2.5</v>
      </c>
      <c r="K753" s="42">
        <v>2.8141620771046417E-2</v>
      </c>
      <c r="S753" s="53">
        <v>964930</v>
      </c>
      <c r="T753" s="76">
        <f t="shared" si="132"/>
        <v>1588.75</v>
      </c>
      <c r="U753" s="76">
        <f t="shared" si="133"/>
        <v>158875</v>
      </c>
      <c r="W753" s="53">
        <v>26826</v>
      </c>
      <c r="AM753" s="53">
        <v>193991000</v>
      </c>
      <c r="AO753" s="53">
        <f t="shared" si="134"/>
        <v>110539000</v>
      </c>
      <c r="AP753" s="53">
        <f t="shared" si="134"/>
        <v>3177500</v>
      </c>
      <c r="AQ753" s="53">
        <f t="shared" si="134"/>
        <v>317750000</v>
      </c>
      <c r="AR753" s="53">
        <f t="shared" si="134"/>
        <v>3576799.9999999995</v>
      </c>
      <c r="AS753" s="53">
        <f t="shared" si="134"/>
        <v>0</v>
      </c>
      <c r="AT753" s="53">
        <f t="shared" si="134"/>
        <v>0</v>
      </c>
      <c r="AU753" s="53">
        <f t="shared" si="134"/>
        <v>0</v>
      </c>
      <c r="AV753" s="53">
        <f t="shared" si="134"/>
        <v>0</v>
      </c>
      <c r="AW753" s="53">
        <f t="shared" si="134"/>
        <v>0</v>
      </c>
      <c r="AX753" s="53">
        <f t="shared" si="135"/>
        <v>12710000000</v>
      </c>
      <c r="AY753" s="41" t="s">
        <v>557</v>
      </c>
    </row>
    <row r="754" spans="1:51" x14ac:dyDescent="0.2">
      <c r="A754" s="86" t="s">
        <v>607</v>
      </c>
      <c r="B754" s="41">
        <v>2006</v>
      </c>
      <c r="C754" s="41" t="s">
        <v>87</v>
      </c>
      <c r="D754" s="41" t="s">
        <v>606</v>
      </c>
      <c r="E754" s="41">
        <v>100</v>
      </c>
      <c r="F754" s="41" t="s">
        <v>563</v>
      </c>
      <c r="G754" s="53">
        <v>128660000</v>
      </c>
      <c r="H754" s="46">
        <v>0.94626612777864139</v>
      </c>
      <c r="I754" s="77">
        <v>2.5000000000000001E-2</v>
      </c>
      <c r="J754" s="77">
        <v>2.5</v>
      </c>
      <c r="K754" s="42">
        <v>1.8426861495414271E-2</v>
      </c>
      <c r="S754" s="53">
        <v>940613</v>
      </c>
      <c r="T754" s="76">
        <f t="shared" si="132"/>
        <v>1608.25</v>
      </c>
      <c r="U754" s="76">
        <f t="shared" si="133"/>
        <v>160825</v>
      </c>
      <c r="W754" s="53">
        <v>17781</v>
      </c>
      <c r="AM754" s="53">
        <v>299719000</v>
      </c>
      <c r="AO754" s="53">
        <f t="shared" si="134"/>
        <v>121746600</v>
      </c>
      <c r="AP754" s="53">
        <f t="shared" si="134"/>
        <v>3216500</v>
      </c>
      <c r="AQ754" s="53">
        <f t="shared" si="134"/>
        <v>321650000</v>
      </c>
      <c r="AR754" s="53">
        <f t="shared" si="134"/>
        <v>2370800</v>
      </c>
      <c r="AS754" s="53">
        <f t="shared" si="134"/>
        <v>0</v>
      </c>
      <c r="AT754" s="53">
        <f t="shared" si="134"/>
        <v>0</v>
      </c>
      <c r="AU754" s="53">
        <f t="shared" si="134"/>
        <v>0</v>
      </c>
      <c r="AV754" s="53">
        <f t="shared" si="134"/>
        <v>0</v>
      </c>
      <c r="AW754" s="53">
        <f t="shared" si="134"/>
        <v>0</v>
      </c>
      <c r="AX754" s="53">
        <f t="shared" si="135"/>
        <v>12866000000</v>
      </c>
      <c r="AY754" s="41" t="s">
        <v>557</v>
      </c>
    </row>
    <row r="755" spans="1:51" x14ac:dyDescent="0.2">
      <c r="A755" s="86" t="s">
        <v>607</v>
      </c>
      <c r="B755" s="41">
        <v>2007</v>
      </c>
      <c r="C755" s="41" t="s">
        <v>87</v>
      </c>
      <c r="D755" s="41" t="s">
        <v>606</v>
      </c>
      <c r="E755" s="41">
        <v>100</v>
      </c>
      <c r="F755" s="41" t="s">
        <v>563</v>
      </c>
      <c r="G755" s="53">
        <v>125330000</v>
      </c>
      <c r="H755" s="42">
        <v>0.84925277268012445</v>
      </c>
      <c r="I755" s="77">
        <v>2.5000000000000001E-2</v>
      </c>
      <c r="J755" s="77">
        <v>2.5</v>
      </c>
      <c r="K755" s="42">
        <v>2.0282454320593633E-2</v>
      </c>
      <c r="S755" s="53">
        <v>896308</v>
      </c>
      <c r="T755" s="76">
        <f t="shared" si="132"/>
        <v>1566.625</v>
      </c>
      <c r="U755" s="76">
        <f t="shared" si="133"/>
        <v>156662.5</v>
      </c>
      <c r="W755" s="53">
        <v>19065</v>
      </c>
      <c r="AM755" s="53">
        <v>306221000</v>
      </c>
      <c r="AO755" s="53">
        <f t="shared" si="134"/>
        <v>106436850</v>
      </c>
      <c r="AP755" s="53">
        <f t="shared" si="134"/>
        <v>3133250</v>
      </c>
      <c r="AQ755" s="53">
        <f t="shared" si="134"/>
        <v>313325000</v>
      </c>
      <c r="AR755" s="53">
        <f t="shared" si="134"/>
        <v>2542000</v>
      </c>
      <c r="AS755" s="53">
        <f t="shared" si="134"/>
        <v>0</v>
      </c>
      <c r="AT755" s="53">
        <f t="shared" si="134"/>
        <v>0</v>
      </c>
      <c r="AU755" s="53">
        <f t="shared" si="134"/>
        <v>0</v>
      </c>
      <c r="AV755" s="53">
        <f t="shared" si="134"/>
        <v>0</v>
      </c>
      <c r="AW755" s="53">
        <f t="shared" si="134"/>
        <v>0</v>
      </c>
      <c r="AX755" s="53">
        <f t="shared" si="135"/>
        <v>12533000000</v>
      </c>
      <c r="AY755" s="41" t="s">
        <v>557</v>
      </c>
    </row>
    <row r="756" spans="1:51" x14ac:dyDescent="0.2">
      <c r="A756" s="86" t="s">
        <v>607</v>
      </c>
      <c r="B756" s="41">
        <v>2008</v>
      </c>
      <c r="C756" s="41" t="s">
        <v>87</v>
      </c>
      <c r="D756" s="41" t="s">
        <v>606</v>
      </c>
      <c r="E756" s="41">
        <v>100</v>
      </c>
      <c r="F756" s="41" t="s">
        <v>563</v>
      </c>
      <c r="G756" s="53">
        <v>126130000</v>
      </c>
      <c r="H756" s="46">
        <v>0.69557995718702925</v>
      </c>
      <c r="I756" s="77">
        <v>2.5000000000000001E-2</v>
      </c>
      <c r="J756" s="77">
        <v>2.5</v>
      </c>
      <c r="K756" s="42">
        <v>1.3679008430455351E-2</v>
      </c>
      <c r="S756" s="53">
        <v>755258</v>
      </c>
      <c r="T756" s="76">
        <f t="shared" si="132"/>
        <v>1576.625</v>
      </c>
      <c r="U756" s="76">
        <f t="shared" si="133"/>
        <v>157662.5</v>
      </c>
      <c r="W756" s="53">
        <v>12940</v>
      </c>
      <c r="AM756" s="53">
        <v>361321000</v>
      </c>
      <c r="AO756" s="53">
        <f t="shared" si="134"/>
        <v>87733500</v>
      </c>
      <c r="AP756" s="53">
        <f t="shared" si="134"/>
        <v>3153250</v>
      </c>
      <c r="AQ756" s="53">
        <f t="shared" si="134"/>
        <v>315325000</v>
      </c>
      <c r="AR756" s="53">
        <f t="shared" si="134"/>
        <v>1725333.3333333335</v>
      </c>
      <c r="AS756" s="53">
        <f t="shared" si="134"/>
        <v>0</v>
      </c>
      <c r="AT756" s="53">
        <f t="shared" si="134"/>
        <v>0</v>
      </c>
      <c r="AU756" s="53">
        <f t="shared" si="134"/>
        <v>0</v>
      </c>
      <c r="AV756" s="53">
        <f t="shared" si="134"/>
        <v>0</v>
      </c>
      <c r="AW756" s="53">
        <f t="shared" si="134"/>
        <v>0</v>
      </c>
      <c r="AX756" s="53">
        <f t="shared" si="135"/>
        <v>12613000000</v>
      </c>
      <c r="AY756" s="41" t="s">
        <v>557</v>
      </c>
    </row>
    <row r="757" spans="1:51" x14ac:dyDescent="0.2">
      <c r="A757" s="86" t="s">
        <v>607</v>
      </c>
      <c r="B757" s="41">
        <v>2009</v>
      </c>
      <c r="C757" s="41" t="s">
        <v>87</v>
      </c>
      <c r="D757" s="41" t="s">
        <v>606</v>
      </c>
      <c r="E757" s="41">
        <v>100</v>
      </c>
      <c r="F757" s="41" t="s">
        <v>563</v>
      </c>
      <c r="G757" s="53">
        <v>128020000</v>
      </c>
      <c r="H757" s="46">
        <v>0.7765560068739259</v>
      </c>
      <c r="I757" s="77">
        <v>2.5000000000000001E-2</v>
      </c>
      <c r="J757" s="77">
        <v>2.5</v>
      </c>
      <c r="K757" s="42">
        <v>1.360933187522783E-2</v>
      </c>
      <c r="S757" s="53">
        <v>874748</v>
      </c>
      <c r="T757" s="76">
        <f>0.5*G757*I757/1000</f>
        <v>1600.25</v>
      </c>
      <c r="U757" s="76">
        <f>0.5*G757*J757/1000</f>
        <v>160025</v>
      </c>
      <c r="W757" s="53">
        <v>13067</v>
      </c>
      <c r="AM757" s="53">
        <v>349326000</v>
      </c>
      <c r="AO757" s="53">
        <f t="shared" si="134"/>
        <v>99414700</v>
      </c>
      <c r="AP757" s="53">
        <f t="shared" si="134"/>
        <v>3200500</v>
      </c>
      <c r="AQ757" s="53">
        <f t="shared" si="134"/>
        <v>320050000</v>
      </c>
      <c r="AR757" s="53">
        <f t="shared" si="134"/>
        <v>1742266.6666666667</v>
      </c>
      <c r="AS757" s="53">
        <f t="shared" si="134"/>
        <v>0</v>
      </c>
      <c r="AT757" s="53">
        <f t="shared" si="134"/>
        <v>0</v>
      </c>
      <c r="AU757" s="53">
        <f t="shared" si="134"/>
        <v>0</v>
      </c>
      <c r="AV757" s="53">
        <f t="shared" si="134"/>
        <v>0</v>
      </c>
      <c r="AW757" s="53">
        <f t="shared" si="134"/>
        <v>0</v>
      </c>
      <c r="AX757" s="53">
        <f t="shared" si="135"/>
        <v>12802000000</v>
      </c>
      <c r="AY757" s="41" t="s">
        <v>557</v>
      </c>
    </row>
    <row r="758" spans="1:51" x14ac:dyDescent="0.2">
      <c r="A758" s="86" t="s">
        <v>607</v>
      </c>
      <c r="B758" s="41">
        <v>2010</v>
      </c>
      <c r="C758" s="41" t="s">
        <v>87</v>
      </c>
      <c r="D758" s="41" t="s">
        <v>606</v>
      </c>
      <c r="E758" s="41">
        <v>100</v>
      </c>
      <c r="F758" s="41" t="s">
        <v>563</v>
      </c>
      <c r="G758" s="53">
        <v>123220000</v>
      </c>
      <c r="H758" s="46">
        <v>0.80509332900503161</v>
      </c>
      <c r="I758" s="56">
        <f>1000*T758/G758/0.5</f>
        <v>2.5515338419087812E-2</v>
      </c>
      <c r="J758" s="54">
        <f>1000*U758/G758/0.5</f>
        <v>3.6938159389709462</v>
      </c>
      <c r="K758" s="42">
        <v>1.3109343721257371E-2</v>
      </c>
      <c r="S758" s="53">
        <v>903721</v>
      </c>
      <c r="T758" s="53">
        <v>1572</v>
      </c>
      <c r="U758" s="53">
        <v>227576</v>
      </c>
      <c r="W758" s="53">
        <v>12115</v>
      </c>
      <c r="AM758" s="53">
        <v>373909000</v>
      </c>
      <c r="AO758" s="53">
        <f t="shared" si="134"/>
        <v>99203600</v>
      </c>
      <c r="AP758" s="53">
        <f t="shared" si="134"/>
        <v>3144000</v>
      </c>
      <c r="AQ758" s="53">
        <f t="shared" si="134"/>
        <v>455152000</v>
      </c>
      <c r="AR758" s="53">
        <f t="shared" si="134"/>
        <v>1615333.3333333333</v>
      </c>
      <c r="AS758" s="53">
        <f t="shared" si="134"/>
        <v>0</v>
      </c>
      <c r="AT758" s="53">
        <f t="shared" si="134"/>
        <v>0</v>
      </c>
      <c r="AU758" s="53">
        <f t="shared" si="134"/>
        <v>0</v>
      </c>
      <c r="AV758" s="53">
        <f t="shared" si="134"/>
        <v>0</v>
      </c>
      <c r="AW758" s="53">
        <f t="shared" si="134"/>
        <v>0</v>
      </c>
      <c r="AX758" s="53">
        <f t="shared" si="135"/>
        <v>12322000000</v>
      </c>
      <c r="AY758" s="41" t="s">
        <v>557</v>
      </c>
    </row>
    <row r="759" spans="1:51" x14ac:dyDescent="0.2">
      <c r="A759" s="86" t="s">
        <v>607</v>
      </c>
      <c r="B759" s="41">
        <v>2016</v>
      </c>
      <c r="C759" s="41" t="s">
        <v>87</v>
      </c>
      <c r="D759" s="41" t="s">
        <v>606</v>
      </c>
      <c r="E759" s="41">
        <v>100</v>
      </c>
      <c r="F759" s="41" t="s">
        <v>563</v>
      </c>
      <c r="G759" s="53">
        <v>154088681.81737199</v>
      </c>
      <c r="H759" s="46">
        <v>0.67815835196319796</v>
      </c>
      <c r="I759" s="56">
        <f>1000*T759/G759/0.5</f>
        <v>1.2630354364475103E-2</v>
      </c>
      <c r="J759" s="54">
        <f>1000*U759/G759/0.5</f>
        <v>2.0524325842272044</v>
      </c>
      <c r="K759" s="42">
        <v>1.6580927964335985E-2</v>
      </c>
      <c r="S759" s="53">
        <v>857285</v>
      </c>
      <c r="T759" s="53">
        <v>973.09732745412998</v>
      </c>
      <c r="U759" s="53">
        <v>158128.31571129611</v>
      </c>
      <c r="W759" s="53">
        <v>19162</v>
      </c>
      <c r="AM759" s="53">
        <v>283242000</v>
      </c>
      <c r="AO759" s="53">
        <f t="shared" si="134"/>
        <v>104496526.51745059</v>
      </c>
      <c r="AP759" s="53">
        <f t="shared" si="134"/>
        <v>1946194.6549082599</v>
      </c>
      <c r="AQ759" s="53">
        <f t="shared" si="134"/>
        <v>316256631.42259222</v>
      </c>
      <c r="AR759" s="53">
        <f t="shared" si="134"/>
        <v>2554933.333333333</v>
      </c>
      <c r="AS759" s="53">
        <f t="shared" si="134"/>
        <v>0</v>
      </c>
      <c r="AT759" s="53">
        <f t="shared" si="134"/>
        <v>0</v>
      </c>
      <c r="AU759" s="53">
        <f t="shared" si="134"/>
        <v>0</v>
      </c>
      <c r="AV759" s="53">
        <f t="shared" si="134"/>
        <v>0</v>
      </c>
      <c r="AW759" s="53">
        <f t="shared" si="134"/>
        <v>0</v>
      </c>
      <c r="AX759" s="53">
        <f>$G759*E759</f>
        <v>15408868181.7372</v>
      </c>
      <c r="AY759" s="41" t="s">
        <v>557</v>
      </c>
    </row>
    <row r="760" spans="1:51" x14ac:dyDescent="0.2">
      <c r="A760" s="86" t="s">
        <v>607</v>
      </c>
      <c r="B760" s="60" t="s">
        <v>248</v>
      </c>
      <c r="C760" s="60" t="s">
        <v>87</v>
      </c>
      <c r="D760" s="60" t="s">
        <v>606</v>
      </c>
      <c r="E760" s="60">
        <v>100</v>
      </c>
      <c r="F760" s="60" t="s">
        <v>563</v>
      </c>
      <c r="G760" s="79">
        <f>AVERAGE(G750:G759)</f>
        <v>128428281.65712857</v>
      </c>
      <c r="H760" s="80">
        <f>AO760/SUM($G750:$G759)</f>
        <v>0.81882524859034289</v>
      </c>
      <c r="I760" s="80">
        <f>AP760/SUM($G750:$G759)</f>
        <v>2.3565329718071664E-2</v>
      </c>
      <c r="J760" s="80">
        <f>AQ760/SUM($G750:$G759)</f>
        <v>2.5608409034762043</v>
      </c>
      <c r="K760" s="89">
        <f>AR760/SUM($G750:$G759)</f>
        <v>1.812030784786902E-2</v>
      </c>
      <c r="S760" s="79">
        <f>AVERAGE(S750:S759)</f>
        <v>897671.1</v>
      </c>
      <c r="T760" s="79">
        <f>AVERAGE(T750:T759)</f>
        <v>1513.2274011878051</v>
      </c>
      <c r="U760" s="79">
        <f>AVERAGE(U750:U759)</f>
        <v>164442.19841536882</v>
      </c>
      <c r="W760" s="79">
        <f>AVERAGE(W750:W759)</f>
        <v>17453.7</v>
      </c>
      <c r="AM760" s="79">
        <f>AVERAGE(AM750:AM759)</f>
        <v>309675571.4285714</v>
      </c>
      <c r="AO760" s="79">
        <f>SUM(AO750:AO759)</f>
        <v>1051603196.5392888</v>
      </c>
      <c r="AP760" s="79">
        <f t="shared" ref="AP760:AX760" si="136">SUM(AP750:AP759)</f>
        <v>30264548.023756098</v>
      </c>
      <c r="AQ760" s="79">
        <f t="shared" si="136"/>
        <v>3288843968.3073759</v>
      </c>
      <c r="AR760" s="79">
        <f t="shared" si="136"/>
        <v>23271600</v>
      </c>
      <c r="AS760" s="79">
        <f t="shared" si="136"/>
        <v>0</v>
      </c>
      <c r="AT760" s="79">
        <f t="shared" si="136"/>
        <v>0</v>
      </c>
      <c r="AU760" s="79">
        <f t="shared" si="136"/>
        <v>0</v>
      </c>
      <c r="AV760" s="79">
        <f t="shared" si="136"/>
        <v>0</v>
      </c>
      <c r="AW760" s="79">
        <f t="shared" si="136"/>
        <v>0</v>
      </c>
      <c r="AX760" s="79">
        <f t="shared" si="136"/>
        <v>128428281657.12856</v>
      </c>
      <c r="AY760" s="41" t="s">
        <v>557</v>
      </c>
    </row>
    <row r="761" spans="1:51" x14ac:dyDescent="0.2">
      <c r="A761" s="86" t="s">
        <v>607</v>
      </c>
      <c r="B761" s="43" t="s">
        <v>560</v>
      </c>
      <c r="G761" s="53">
        <f>STDEV(G750:G759)</f>
        <v>9286344.4795610216</v>
      </c>
      <c r="H761" s="46">
        <f>STDEV(H750:H759)</f>
        <v>8.4453434531890692E-2</v>
      </c>
      <c r="I761" s="46">
        <f>STDEV(I750:I759)</f>
        <v>3.9330684497882939E-3</v>
      </c>
      <c r="J761" s="46">
        <f>STDEV(J750:J759)</f>
        <v>0.41764211180348587</v>
      </c>
      <c r="K761" s="42">
        <f>STDEV(K750:K759)</f>
        <v>5.2326166950271901E-3</v>
      </c>
      <c r="S761" s="53">
        <f>STDEV(S750:S759)</f>
        <v>63419.911006717761</v>
      </c>
      <c r="T761" s="53">
        <f>STDEV(T750:T759)</f>
        <v>191.52474167759993</v>
      </c>
      <c r="U761" s="53">
        <f>STDEV(U750:U759)</f>
        <v>22333.537046813843</v>
      </c>
      <c r="W761" s="53">
        <f>STDEV(W750:W759)</f>
        <v>5055.6517559833737</v>
      </c>
      <c r="AM761" s="53">
        <f>STDEV(AM750:AM759)</f>
        <v>61316204.040631562</v>
      </c>
      <c r="AY761" s="41" t="s">
        <v>557</v>
      </c>
    </row>
    <row r="762" spans="1:51" x14ac:dyDescent="0.2">
      <c r="A762" s="86" t="s">
        <v>607</v>
      </c>
      <c r="B762" s="81" t="s">
        <v>249</v>
      </c>
      <c r="G762" s="41">
        <f>COUNT(G750:G759)</f>
        <v>10</v>
      </c>
      <c r="H762" s="41">
        <f>COUNT(H750:H759)</f>
        <v>10</v>
      </c>
      <c r="I762" s="41">
        <f>COUNT(I750:I759)</f>
        <v>10</v>
      </c>
      <c r="J762" s="41">
        <f>COUNT(J750:J759)</f>
        <v>10</v>
      </c>
      <c r="K762" s="41">
        <f>COUNT(K750:K759)</f>
        <v>10</v>
      </c>
      <c r="S762" s="41">
        <f>COUNT(S750:S759)</f>
        <v>10</v>
      </c>
      <c r="T762" s="41">
        <f>COUNT(T750:T759)</f>
        <v>10</v>
      </c>
      <c r="U762" s="41">
        <f>COUNT(U750:U759)</f>
        <v>10</v>
      </c>
      <c r="W762" s="41">
        <f>COUNT(W750:W759)</f>
        <v>10</v>
      </c>
      <c r="AM762" s="41">
        <f>COUNT(AM750:AM759)</f>
        <v>7</v>
      </c>
      <c r="AY762" s="41" t="s">
        <v>557</v>
      </c>
    </row>
    <row r="763" spans="1:51" x14ac:dyDescent="0.2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  <c r="AA763" s="82"/>
      <c r="AB763" s="82"/>
      <c r="AC763" s="82"/>
      <c r="AD763" s="82"/>
      <c r="AE763" s="82"/>
      <c r="AF763" s="82"/>
      <c r="AG763" s="82"/>
      <c r="AH763" s="82"/>
      <c r="AI763" s="82"/>
      <c r="AJ763" s="82"/>
      <c r="AK763" s="82"/>
      <c r="AL763" s="82"/>
      <c r="AM763" s="82"/>
      <c r="AN763" s="82"/>
      <c r="AO763" s="82"/>
      <c r="AP763" s="82"/>
      <c r="AQ763" s="82"/>
      <c r="AR763" s="82"/>
      <c r="AS763" s="82"/>
      <c r="AT763" s="82"/>
      <c r="AU763" s="82"/>
      <c r="AV763" s="82"/>
      <c r="AW763" s="82"/>
      <c r="AX763" s="82"/>
      <c r="AY763" s="41" t="s">
        <v>557</v>
      </c>
    </row>
    <row r="764" spans="1:51" x14ac:dyDescent="0.2">
      <c r="A764" s="41" t="s">
        <v>138</v>
      </c>
      <c r="B764" s="41">
        <v>1998</v>
      </c>
      <c r="C764" s="41" t="s">
        <v>87</v>
      </c>
      <c r="D764" s="41" t="s">
        <v>110</v>
      </c>
      <c r="E764" s="41">
        <v>100</v>
      </c>
      <c r="F764" s="41" t="s">
        <v>608</v>
      </c>
      <c r="AM764" s="53">
        <v>167000000</v>
      </c>
      <c r="AO764" s="53">
        <f t="shared" ref="AO764:AW782" si="137">$G764*H764</f>
        <v>0</v>
      </c>
      <c r="AP764" s="53">
        <f t="shared" si="137"/>
        <v>0</v>
      </c>
      <c r="AQ764" s="53">
        <f t="shared" si="137"/>
        <v>0</v>
      </c>
      <c r="AR764" s="53">
        <f t="shared" si="137"/>
        <v>0</v>
      </c>
      <c r="AS764" s="53">
        <f t="shared" si="137"/>
        <v>0</v>
      </c>
      <c r="AT764" s="53">
        <f t="shared" si="137"/>
        <v>0</v>
      </c>
      <c r="AU764" s="53">
        <f t="shared" si="137"/>
        <v>0</v>
      </c>
      <c r="AV764" s="53">
        <f t="shared" si="137"/>
        <v>0</v>
      </c>
      <c r="AW764" s="53">
        <f t="shared" si="137"/>
        <v>0</v>
      </c>
      <c r="AX764" s="53">
        <f t="shared" ref="AX764:AX782" si="138">$G764*E764</f>
        <v>0</v>
      </c>
      <c r="AY764" s="41" t="s">
        <v>557</v>
      </c>
    </row>
    <row r="765" spans="1:51" x14ac:dyDescent="0.2">
      <c r="A765" s="41" t="s">
        <v>138</v>
      </c>
      <c r="B765" s="41">
        <v>1999</v>
      </c>
      <c r="C765" s="41" t="s">
        <v>87</v>
      </c>
      <c r="D765" s="41" t="s">
        <v>110</v>
      </c>
      <c r="E765" s="41">
        <v>100</v>
      </c>
      <c r="F765" s="41" t="s">
        <v>608</v>
      </c>
      <c r="G765" s="53">
        <v>20000000</v>
      </c>
      <c r="H765" s="46">
        <v>2.3963068181818179</v>
      </c>
      <c r="J765" s="58">
        <v>2</v>
      </c>
      <c r="R765" s="53">
        <v>1008971.2918660287</v>
      </c>
      <c r="S765" s="53">
        <v>383409.09090909088</v>
      </c>
      <c r="U765" s="76">
        <f t="shared" ref="U765:U776" si="139">0.5*J765*G765/1000</f>
        <v>20000</v>
      </c>
      <c r="W765" s="53"/>
      <c r="AI765" s="53">
        <v>5000000</v>
      </c>
      <c r="AJ765" s="46">
        <v>1.2784090909090908</v>
      </c>
      <c r="AL765" s="53">
        <v>51136.36363636364</v>
      </c>
      <c r="AM765" s="53">
        <v>95000000</v>
      </c>
      <c r="AO765" s="53">
        <f t="shared" si="137"/>
        <v>47926136.36363636</v>
      </c>
      <c r="AP765" s="53">
        <f t="shared" si="137"/>
        <v>0</v>
      </c>
      <c r="AQ765" s="53">
        <f t="shared" si="137"/>
        <v>40000000</v>
      </c>
      <c r="AR765" s="53">
        <f t="shared" si="137"/>
        <v>0</v>
      </c>
      <c r="AS765" s="53">
        <f t="shared" si="137"/>
        <v>0</v>
      </c>
      <c r="AT765" s="53">
        <f t="shared" si="137"/>
        <v>0</v>
      </c>
      <c r="AU765" s="53">
        <f t="shared" si="137"/>
        <v>0</v>
      </c>
      <c r="AV765" s="53">
        <f t="shared" si="137"/>
        <v>0</v>
      </c>
      <c r="AW765" s="53">
        <f t="shared" si="137"/>
        <v>0</v>
      </c>
      <c r="AX765" s="53">
        <f t="shared" si="138"/>
        <v>2000000000</v>
      </c>
      <c r="AY765" s="41" t="s">
        <v>557</v>
      </c>
    </row>
    <row r="766" spans="1:51" x14ac:dyDescent="0.2">
      <c r="A766" s="41" t="s">
        <v>138</v>
      </c>
      <c r="B766" s="41">
        <v>2000</v>
      </c>
      <c r="C766" s="41" t="s">
        <v>87</v>
      </c>
      <c r="D766" s="41" t="s">
        <v>110</v>
      </c>
      <c r="E766" s="41">
        <v>100</v>
      </c>
      <c r="F766" s="41" t="s">
        <v>608</v>
      </c>
      <c r="G766" s="53">
        <v>24000000</v>
      </c>
      <c r="H766" s="46">
        <v>1.8998579545454548</v>
      </c>
      <c r="J766" s="58">
        <v>2</v>
      </c>
      <c r="R766" s="53">
        <v>959928.22966507182</v>
      </c>
      <c r="S766" s="53">
        <v>364772.72727272729</v>
      </c>
      <c r="U766" s="76">
        <f t="shared" si="139"/>
        <v>24000</v>
      </c>
      <c r="W766" s="53"/>
      <c r="AI766" s="53">
        <v>5450000</v>
      </c>
      <c r="AJ766" s="46">
        <v>1.3344453711426187</v>
      </c>
      <c r="AL766" s="53">
        <v>58181.818181818184</v>
      </c>
      <c r="AM766" s="53">
        <v>106150000</v>
      </c>
      <c r="AO766" s="53">
        <f t="shared" si="137"/>
        <v>45596590.909090914</v>
      </c>
      <c r="AP766" s="53">
        <f t="shared" si="137"/>
        <v>0</v>
      </c>
      <c r="AQ766" s="53">
        <f t="shared" si="137"/>
        <v>48000000</v>
      </c>
      <c r="AR766" s="53">
        <f t="shared" si="137"/>
        <v>0</v>
      </c>
      <c r="AS766" s="53">
        <f t="shared" si="137"/>
        <v>0</v>
      </c>
      <c r="AT766" s="53">
        <f t="shared" si="137"/>
        <v>0</v>
      </c>
      <c r="AU766" s="53">
        <f t="shared" si="137"/>
        <v>0</v>
      </c>
      <c r="AV766" s="53">
        <f t="shared" si="137"/>
        <v>0</v>
      </c>
      <c r="AW766" s="53">
        <f t="shared" si="137"/>
        <v>0</v>
      </c>
      <c r="AX766" s="53">
        <f t="shared" si="138"/>
        <v>2400000000</v>
      </c>
      <c r="AY766" s="41" t="s">
        <v>557</v>
      </c>
    </row>
    <row r="767" spans="1:51" x14ac:dyDescent="0.2">
      <c r="A767" s="41" t="s">
        <v>138</v>
      </c>
      <c r="B767" s="41">
        <v>2001</v>
      </c>
      <c r="C767" s="41" t="s">
        <v>87</v>
      </c>
      <c r="D767" s="41" t="s">
        <v>110</v>
      </c>
      <c r="E767" s="41">
        <v>100</v>
      </c>
      <c r="F767" s="41" t="s">
        <v>608</v>
      </c>
      <c r="G767" s="53">
        <v>24734400</v>
      </c>
      <c r="H767" s="41">
        <v>1.8</v>
      </c>
      <c r="J767" s="58">
        <v>2</v>
      </c>
      <c r="R767" s="53">
        <v>999700</v>
      </c>
      <c r="S767" s="53">
        <v>393200</v>
      </c>
      <c r="U767" s="76">
        <f t="shared" si="139"/>
        <v>24734.400000000001</v>
      </c>
      <c r="W767" s="53"/>
      <c r="AI767" s="53">
        <v>4658700</v>
      </c>
      <c r="AJ767" s="41">
        <v>1.5</v>
      </c>
      <c r="AL767" s="53">
        <v>59500</v>
      </c>
      <c r="AM767" s="53">
        <v>109300000</v>
      </c>
      <c r="AO767" s="53">
        <f t="shared" si="137"/>
        <v>44521920</v>
      </c>
      <c r="AP767" s="53">
        <f t="shared" si="137"/>
        <v>0</v>
      </c>
      <c r="AQ767" s="53">
        <f t="shared" si="137"/>
        <v>49468800</v>
      </c>
      <c r="AR767" s="53">
        <f t="shared" si="137"/>
        <v>0</v>
      </c>
      <c r="AS767" s="53">
        <f t="shared" si="137"/>
        <v>0</v>
      </c>
      <c r="AT767" s="53">
        <f t="shared" si="137"/>
        <v>0</v>
      </c>
      <c r="AU767" s="53">
        <f t="shared" si="137"/>
        <v>0</v>
      </c>
      <c r="AV767" s="53">
        <f t="shared" si="137"/>
        <v>0</v>
      </c>
      <c r="AW767" s="53">
        <f t="shared" si="137"/>
        <v>0</v>
      </c>
      <c r="AX767" s="53">
        <f t="shared" si="138"/>
        <v>2473440000</v>
      </c>
      <c r="AY767" s="41" t="s">
        <v>557</v>
      </c>
    </row>
    <row r="768" spans="1:51" x14ac:dyDescent="0.2">
      <c r="A768" s="41" t="s">
        <v>138</v>
      </c>
      <c r="B768" s="41">
        <v>2002</v>
      </c>
      <c r="C768" s="41" t="s">
        <v>87</v>
      </c>
      <c r="D768" s="41" t="s">
        <v>110</v>
      </c>
      <c r="E768" s="41">
        <v>100</v>
      </c>
      <c r="F768" s="41" t="s">
        <v>608</v>
      </c>
      <c r="G768" s="53">
        <v>25231000</v>
      </c>
      <c r="H768" s="41">
        <v>1.7</v>
      </c>
      <c r="J768" s="58">
        <v>2</v>
      </c>
      <c r="R768" s="53">
        <v>1019400</v>
      </c>
      <c r="S768" s="53">
        <v>372900</v>
      </c>
      <c r="U768" s="76">
        <f t="shared" si="139"/>
        <v>25231</v>
      </c>
      <c r="W768" s="53"/>
      <c r="AI768" s="53">
        <v>5357500</v>
      </c>
      <c r="AJ768" s="41">
        <v>1.4</v>
      </c>
      <c r="AL768" s="53">
        <v>60600</v>
      </c>
      <c r="AM768" s="53">
        <v>99600000</v>
      </c>
      <c r="AO768" s="53">
        <f t="shared" si="137"/>
        <v>42892700</v>
      </c>
      <c r="AP768" s="53">
        <f t="shared" si="137"/>
        <v>0</v>
      </c>
      <c r="AQ768" s="53">
        <f t="shared" si="137"/>
        <v>50462000</v>
      </c>
      <c r="AR768" s="53">
        <f t="shared" si="137"/>
        <v>0</v>
      </c>
      <c r="AS768" s="53">
        <f t="shared" si="137"/>
        <v>0</v>
      </c>
      <c r="AT768" s="53">
        <f t="shared" si="137"/>
        <v>0</v>
      </c>
      <c r="AU768" s="53">
        <f t="shared" si="137"/>
        <v>0</v>
      </c>
      <c r="AV768" s="53">
        <f t="shared" si="137"/>
        <v>0</v>
      </c>
      <c r="AW768" s="53">
        <f t="shared" si="137"/>
        <v>0</v>
      </c>
      <c r="AX768" s="53">
        <f t="shared" si="138"/>
        <v>2523100000</v>
      </c>
      <c r="AY768" s="41" t="s">
        <v>557</v>
      </c>
    </row>
    <row r="769" spans="1:51" x14ac:dyDescent="0.2">
      <c r="A769" s="41" t="s">
        <v>138</v>
      </c>
      <c r="B769" s="41">
        <v>2003</v>
      </c>
      <c r="C769" s="41" t="s">
        <v>87</v>
      </c>
      <c r="D769" s="41" t="s">
        <v>110</v>
      </c>
      <c r="E769" s="41">
        <v>100</v>
      </c>
      <c r="F769" s="41" t="s">
        <v>608</v>
      </c>
      <c r="G769" s="53">
        <v>24415000</v>
      </c>
      <c r="H769" s="41">
        <v>1.5</v>
      </c>
      <c r="J769" s="58">
        <v>2</v>
      </c>
      <c r="R769" s="53">
        <v>861600</v>
      </c>
      <c r="S769" s="53">
        <v>331300</v>
      </c>
      <c r="U769" s="76">
        <f t="shared" si="139"/>
        <v>24415</v>
      </c>
      <c r="W769" s="53"/>
      <c r="AI769" s="53">
        <v>6355000</v>
      </c>
      <c r="AJ769" s="41">
        <v>0.8</v>
      </c>
      <c r="AL769" s="53">
        <v>63400</v>
      </c>
      <c r="AM769" s="53">
        <v>115100000</v>
      </c>
      <c r="AO769" s="53">
        <f t="shared" si="137"/>
        <v>36622500</v>
      </c>
      <c r="AP769" s="53">
        <f t="shared" si="137"/>
        <v>0</v>
      </c>
      <c r="AQ769" s="53">
        <f t="shared" si="137"/>
        <v>48830000</v>
      </c>
      <c r="AR769" s="53">
        <f t="shared" si="137"/>
        <v>0</v>
      </c>
      <c r="AS769" s="53">
        <f t="shared" si="137"/>
        <v>0</v>
      </c>
      <c r="AT769" s="53">
        <f t="shared" si="137"/>
        <v>0</v>
      </c>
      <c r="AU769" s="53">
        <f t="shared" si="137"/>
        <v>0</v>
      </c>
      <c r="AV769" s="53">
        <f t="shared" si="137"/>
        <v>0</v>
      </c>
      <c r="AW769" s="53">
        <f t="shared" si="137"/>
        <v>0</v>
      </c>
      <c r="AX769" s="53">
        <f t="shared" si="138"/>
        <v>2441500000</v>
      </c>
      <c r="AY769" s="41" t="s">
        <v>557</v>
      </c>
    </row>
    <row r="770" spans="1:51" x14ac:dyDescent="0.2">
      <c r="A770" s="41" t="s">
        <v>138</v>
      </c>
      <c r="B770" s="41">
        <v>2004</v>
      </c>
      <c r="C770" s="41" t="s">
        <v>87</v>
      </c>
      <c r="D770" s="41" t="s">
        <v>110</v>
      </c>
      <c r="E770" s="41">
        <v>100</v>
      </c>
      <c r="F770" s="41" t="s">
        <v>608</v>
      </c>
      <c r="G770" s="53">
        <v>34844000</v>
      </c>
      <c r="H770" s="41">
        <v>1.3</v>
      </c>
      <c r="J770" s="58">
        <v>2</v>
      </c>
      <c r="R770" s="53">
        <v>1280400</v>
      </c>
      <c r="S770" s="53">
        <v>422800</v>
      </c>
      <c r="U770" s="76">
        <f t="shared" si="139"/>
        <v>34844</v>
      </c>
      <c r="W770" s="53"/>
      <c r="AI770" s="53">
        <v>6610000</v>
      </c>
      <c r="AJ770" s="41">
        <v>0.9</v>
      </c>
      <c r="AL770" s="53">
        <v>58200</v>
      </c>
      <c r="AM770" s="53">
        <v>124200000</v>
      </c>
      <c r="AO770" s="53">
        <f t="shared" si="137"/>
        <v>45297200</v>
      </c>
      <c r="AP770" s="53">
        <f t="shared" si="137"/>
        <v>0</v>
      </c>
      <c r="AQ770" s="53">
        <f t="shared" si="137"/>
        <v>69688000</v>
      </c>
      <c r="AR770" s="53">
        <f t="shared" si="137"/>
        <v>0</v>
      </c>
      <c r="AS770" s="53">
        <f t="shared" si="137"/>
        <v>0</v>
      </c>
      <c r="AT770" s="53">
        <f t="shared" si="137"/>
        <v>0</v>
      </c>
      <c r="AU770" s="53">
        <f t="shared" si="137"/>
        <v>0</v>
      </c>
      <c r="AV770" s="53">
        <f t="shared" si="137"/>
        <v>0</v>
      </c>
      <c r="AW770" s="53">
        <f t="shared" si="137"/>
        <v>0</v>
      </c>
      <c r="AX770" s="53">
        <f t="shared" si="138"/>
        <v>3484400000</v>
      </c>
      <c r="AY770" s="41" t="s">
        <v>557</v>
      </c>
    </row>
    <row r="771" spans="1:51" x14ac:dyDescent="0.2">
      <c r="A771" s="41" t="s">
        <v>138</v>
      </c>
      <c r="B771" s="41">
        <v>2005</v>
      </c>
      <c r="C771" s="41" t="s">
        <v>87</v>
      </c>
      <c r="D771" s="41" t="s">
        <v>110</v>
      </c>
      <c r="E771" s="41">
        <v>100</v>
      </c>
      <c r="F771" s="41" t="s">
        <v>608</v>
      </c>
      <c r="G771" s="53">
        <v>36659000</v>
      </c>
      <c r="H771" s="47">
        <v>1</v>
      </c>
      <c r="J771" s="58">
        <v>2</v>
      </c>
      <c r="K771" s="55">
        <f t="shared" ref="K771:K782" si="140">100*W771/G771/0.75</f>
        <v>1.2693563199578093E-3</v>
      </c>
      <c r="R771" s="53">
        <v>1234000</v>
      </c>
      <c r="S771" s="53">
        <v>366400</v>
      </c>
      <c r="U771" s="76">
        <f t="shared" si="139"/>
        <v>36659</v>
      </c>
      <c r="V771" s="76">
        <f>W771*2</f>
        <v>698</v>
      </c>
      <c r="W771" s="41">
        <v>349</v>
      </c>
      <c r="AI771" s="53">
        <v>6461000</v>
      </c>
      <c r="AJ771" s="41">
        <v>0.9</v>
      </c>
      <c r="AL771" s="53">
        <v>60700</v>
      </c>
      <c r="AM771" s="53">
        <v>120575800</v>
      </c>
      <c r="AO771" s="53">
        <f t="shared" si="137"/>
        <v>36659000</v>
      </c>
      <c r="AP771" s="53">
        <f t="shared" si="137"/>
        <v>0</v>
      </c>
      <c r="AQ771" s="53">
        <f t="shared" si="137"/>
        <v>73318000</v>
      </c>
      <c r="AR771" s="53">
        <f t="shared" si="137"/>
        <v>46533.333333333328</v>
      </c>
      <c r="AS771" s="53">
        <f t="shared" si="137"/>
        <v>0</v>
      </c>
      <c r="AT771" s="53">
        <f t="shared" si="137"/>
        <v>0</v>
      </c>
      <c r="AU771" s="53">
        <f t="shared" si="137"/>
        <v>0</v>
      </c>
      <c r="AV771" s="53">
        <f t="shared" si="137"/>
        <v>0</v>
      </c>
      <c r="AW771" s="53">
        <f t="shared" si="137"/>
        <v>0</v>
      </c>
      <c r="AX771" s="53">
        <f t="shared" si="138"/>
        <v>3665900000</v>
      </c>
      <c r="AY771" s="41" t="s">
        <v>557</v>
      </c>
    </row>
    <row r="772" spans="1:51" x14ac:dyDescent="0.2">
      <c r="A772" s="41" t="s">
        <v>138</v>
      </c>
      <c r="B772" s="41">
        <v>2006</v>
      </c>
      <c r="C772" s="41" t="s">
        <v>87</v>
      </c>
      <c r="D772" s="41" t="s">
        <v>110</v>
      </c>
      <c r="E772" s="41">
        <v>100</v>
      </c>
      <c r="F772" s="41" t="s">
        <v>608</v>
      </c>
      <c r="G772" s="53">
        <v>41347700</v>
      </c>
      <c r="H772" s="47">
        <v>1</v>
      </c>
      <c r="J772" s="58">
        <v>2</v>
      </c>
      <c r="K772" s="55">
        <f t="shared" si="140"/>
        <v>1.0841393031938094E-2</v>
      </c>
      <c r="R772" s="53">
        <v>1312400</v>
      </c>
      <c r="S772" s="53">
        <v>380200</v>
      </c>
      <c r="U772" s="76">
        <f t="shared" si="139"/>
        <v>41347.699999999997</v>
      </c>
      <c r="V772" s="76">
        <f t="shared" ref="V772:V782" si="141">W772*2</f>
        <v>6724</v>
      </c>
      <c r="W772" s="53">
        <v>3362</v>
      </c>
      <c r="AI772" s="53">
        <v>6390300</v>
      </c>
      <c r="AJ772" s="47">
        <v>1</v>
      </c>
      <c r="AL772" s="53">
        <v>59800</v>
      </c>
      <c r="AM772" s="53">
        <v>118205365.90909091</v>
      </c>
      <c r="AO772" s="53">
        <f t="shared" si="137"/>
        <v>41347700</v>
      </c>
      <c r="AP772" s="53">
        <f t="shared" si="137"/>
        <v>0</v>
      </c>
      <c r="AQ772" s="53">
        <f t="shared" si="137"/>
        <v>82695400</v>
      </c>
      <c r="AR772" s="53">
        <f t="shared" si="137"/>
        <v>448266.66666666674</v>
      </c>
      <c r="AS772" s="53">
        <f t="shared" si="137"/>
        <v>0</v>
      </c>
      <c r="AT772" s="53">
        <f t="shared" si="137"/>
        <v>0</v>
      </c>
      <c r="AU772" s="53">
        <f t="shared" si="137"/>
        <v>0</v>
      </c>
      <c r="AV772" s="53">
        <f t="shared" si="137"/>
        <v>0</v>
      </c>
      <c r="AW772" s="53">
        <f t="shared" si="137"/>
        <v>0</v>
      </c>
      <c r="AX772" s="53">
        <f t="shared" si="138"/>
        <v>4134770000</v>
      </c>
      <c r="AY772" s="41" t="s">
        <v>557</v>
      </c>
    </row>
    <row r="773" spans="1:51" x14ac:dyDescent="0.2">
      <c r="A773" s="41" t="s">
        <v>138</v>
      </c>
      <c r="B773" s="41">
        <v>2007</v>
      </c>
      <c r="C773" s="41" t="s">
        <v>87</v>
      </c>
      <c r="D773" s="41" t="s">
        <v>110</v>
      </c>
      <c r="E773" s="41">
        <v>100</v>
      </c>
      <c r="F773" s="41" t="s">
        <v>608</v>
      </c>
      <c r="G773" s="53">
        <v>43679900</v>
      </c>
      <c r="H773" s="47">
        <v>1</v>
      </c>
      <c r="J773" s="58">
        <v>2</v>
      </c>
      <c r="K773" s="55">
        <f t="shared" si="140"/>
        <v>1.232603554495317E-2</v>
      </c>
      <c r="R773" s="53">
        <v>1346000</v>
      </c>
      <c r="S773" s="53">
        <v>393900</v>
      </c>
      <c r="U773" s="76">
        <f t="shared" si="139"/>
        <v>43679.9</v>
      </c>
      <c r="V773" s="76">
        <f t="shared" si="141"/>
        <v>8076</v>
      </c>
      <c r="W773" s="53">
        <v>4038</v>
      </c>
      <c r="AI773" s="53">
        <v>7129200</v>
      </c>
      <c r="AJ773" s="41">
        <v>0.8</v>
      </c>
      <c r="AL773" s="53">
        <v>58100</v>
      </c>
      <c r="AM773" s="53">
        <v>119809000</v>
      </c>
      <c r="AO773" s="53">
        <f t="shared" si="137"/>
        <v>43679900</v>
      </c>
      <c r="AP773" s="53">
        <f t="shared" si="137"/>
        <v>0</v>
      </c>
      <c r="AQ773" s="53">
        <f t="shared" si="137"/>
        <v>87359800</v>
      </c>
      <c r="AR773" s="53">
        <f t="shared" si="137"/>
        <v>538400</v>
      </c>
      <c r="AS773" s="53">
        <f t="shared" si="137"/>
        <v>0</v>
      </c>
      <c r="AT773" s="53">
        <f t="shared" si="137"/>
        <v>0</v>
      </c>
      <c r="AU773" s="53">
        <f t="shared" si="137"/>
        <v>0</v>
      </c>
      <c r="AV773" s="53">
        <f t="shared" si="137"/>
        <v>0</v>
      </c>
      <c r="AW773" s="53">
        <f t="shared" si="137"/>
        <v>0</v>
      </c>
      <c r="AX773" s="53">
        <f t="shared" si="138"/>
        <v>4367990000</v>
      </c>
      <c r="AY773" s="41" t="s">
        <v>557</v>
      </c>
    </row>
    <row r="774" spans="1:51" x14ac:dyDescent="0.2">
      <c r="A774" s="41" t="s">
        <v>138</v>
      </c>
      <c r="B774" s="41">
        <v>2008</v>
      </c>
      <c r="C774" s="41" t="s">
        <v>87</v>
      </c>
      <c r="D774" s="41" t="s">
        <v>110</v>
      </c>
      <c r="E774" s="41">
        <v>100</v>
      </c>
      <c r="F774" s="41" t="s">
        <v>608</v>
      </c>
      <c r="G774" s="53">
        <v>42377400</v>
      </c>
      <c r="H774" s="41">
        <v>1.1000000000000001</v>
      </c>
      <c r="J774" s="58">
        <v>2</v>
      </c>
      <c r="K774" s="55">
        <f t="shared" si="140"/>
        <v>7.7745842516687355E-3</v>
      </c>
      <c r="R774" s="53">
        <v>1574000</v>
      </c>
      <c r="S774" s="53">
        <v>415000</v>
      </c>
      <c r="U774" s="76">
        <f t="shared" si="139"/>
        <v>42377.4</v>
      </c>
      <c r="V774" s="76">
        <f t="shared" si="141"/>
        <v>4942</v>
      </c>
      <c r="W774" s="53">
        <v>2471</v>
      </c>
      <c r="AI774" s="53">
        <v>7317400</v>
      </c>
      <c r="AJ774" s="41">
        <v>0.6</v>
      </c>
      <c r="AL774" s="53">
        <v>49400</v>
      </c>
      <c r="AM774" s="53">
        <v>108793363.63636364</v>
      </c>
      <c r="AO774" s="53">
        <f t="shared" si="137"/>
        <v>46615140.000000007</v>
      </c>
      <c r="AP774" s="53">
        <f t="shared" si="137"/>
        <v>0</v>
      </c>
      <c r="AQ774" s="53">
        <f t="shared" si="137"/>
        <v>84754800</v>
      </c>
      <c r="AR774" s="53">
        <f t="shared" si="137"/>
        <v>329466.66666666669</v>
      </c>
      <c r="AS774" s="53">
        <f t="shared" si="137"/>
        <v>0</v>
      </c>
      <c r="AT774" s="53">
        <f t="shared" si="137"/>
        <v>0</v>
      </c>
      <c r="AU774" s="53">
        <f t="shared" si="137"/>
        <v>0</v>
      </c>
      <c r="AV774" s="53">
        <f t="shared" si="137"/>
        <v>0</v>
      </c>
      <c r="AW774" s="53">
        <f t="shared" si="137"/>
        <v>0</v>
      </c>
      <c r="AX774" s="53">
        <f t="shared" si="138"/>
        <v>4237740000</v>
      </c>
      <c r="AY774" s="41" t="s">
        <v>557</v>
      </c>
    </row>
    <row r="775" spans="1:51" x14ac:dyDescent="0.2">
      <c r="A775" s="41" t="s">
        <v>138</v>
      </c>
      <c r="B775" s="41">
        <v>2009</v>
      </c>
      <c r="C775" s="41" t="s">
        <v>87</v>
      </c>
      <c r="D775" s="41" t="s">
        <v>110</v>
      </c>
      <c r="E775" s="41">
        <v>100</v>
      </c>
      <c r="F775" s="41" t="s">
        <v>608</v>
      </c>
      <c r="G775" s="53">
        <v>45348300</v>
      </c>
      <c r="H775" s="41">
        <v>1.1000000000000001</v>
      </c>
      <c r="J775" s="58">
        <v>2</v>
      </c>
      <c r="K775" s="55">
        <f t="shared" si="140"/>
        <v>7.4710628623344206E-3</v>
      </c>
      <c r="R775" s="53">
        <v>1837900</v>
      </c>
      <c r="S775" s="53">
        <v>492700</v>
      </c>
      <c r="U775" s="76">
        <f t="shared" si="139"/>
        <v>45348.3</v>
      </c>
      <c r="V775" s="76">
        <f t="shared" si="141"/>
        <v>5082</v>
      </c>
      <c r="W775" s="53">
        <v>2541</v>
      </c>
      <c r="AI775" s="53">
        <v>7293800</v>
      </c>
      <c r="AJ775" s="41">
        <v>0.6</v>
      </c>
      <c r="AL775" s="53">
        <v>43100</v>
      </c>
      <c r="AM775" s="53">
        <v>98961545.454545453</v>
      </c>
      <c r="AO775" s="53">
        <f t="shared" si="137"/>
        <v>49883130.000000007</v>
      </c>
      <c r="AP775" s="53">
        <f t="shared" si="137"/>
        <v>0</v>
      </c>
      <c r="AQ775" s="53">
        <f t="shared" si="137"/>
        <v>90696600</v>
      </c>
      <c r="AR775" s="53">
        <f t="shared" si="137"/>
        <v>338800</v>
      </c>
      <c r="AS775" s="53">
        <f t="shared" si="137"/>
        <v>0</v>
      </c>
      <c r="AT775" s="53">
        <f t="shared" si="137"/>
        <v>0</v>
      </c>
      <c r="AU775" s="53">
        <f t="shared" si="137"/>
        <v>0</v>
      </c>
      <c r="AV775" s="53">
        <f t="shared" si="137"/>
        <v>0</v>
      </c>
      <c r="AW775" s="53">
        <f t="shared" si="137"/>
        <v>0</v>
      </c>
      <c r="AX775" s="53">
        <f t="shared" si="138"/>
        <v>4534830000</v>
      </c>
      <c r="AY775" s="41" t="s">
        <v>557</v>
      </c>
    </row>
    <row r="776" spans="1:51" x14ac:dyDescent="0.2">
      <c r="A776" s="41" t="s">
        <v>138</v>
      </c>
      <c r="B776" s="41">
        <v>2010</v>
      </c>
      <c r="C776" s="41" t="s">
        <v>87</v>
      </c>
      <c r="D776" s="41" t="s">
        <v>110</v>
      </c>
      <c r="E776" s="41">
        <v>100</v>
      </c>
      <c r="F776" s="41" t="s">
        <v>608</v>
      </c>
      <c r="G776" s="53">
        <v>49119900</v>
      </c>
      <c r="H776" s="41">
        <v>1.1000000000000001</v>
      </c>
      <c r="J776" s="58">
        <v>2</v>
      </c>
      <c r="K776" s="55">
        <f t="shared" si="140"/>
        <v>1.2149861868611297E-2</v>
      </c>
      <c r="R776" s="53">
        <v>1789300</v>
      </c>
      <c r="S776" s="53">
        <v>465200</v>
      </c>
      <c r="U776" s="76">
        <f t="shared" si="139"/>
        <v>49119.9</v>
      </c>
      <c r="V776" s="76">
        <f t="shared" si="141"/>
        <v>8952</v>
      </c>
      <c r="W776" s="53">
        <v>4476</v>
      </c>
      <c r="AI776" s="53">
        <v>7226800</v>
      </c>
      <c r="AJ776" s="41">
        <v>0.5</v>
      </c>
      <c r="AL776" s="53">
        <v>38800</v>
      </c>
      <c r="AM776" s="53">
        <v>120948170.45454545</v>
      </c>
      <c r="AO776" s="53">
        <f t="shared" si="137"/>
        <v>54031890.000000007</v>
      </c>
      <c r="AP776" s="53">
        <f t="shared" si="137"/>
        <v>0</v>
      </c>
      <c r="AQ776" s="53">
        <f t="shared" si="137"/>
        <v>98239800</v>
      </c>
      <c r="AR776" s="53">
        <f t="shared" si="137"/>
        <v>596800</v>
      </c>
      <c r="AS776" s="53">
        <f t="shared" si="137"/>
        <v>0</v>
      </c>
      <c r="AT776" s="53">
        <f t="shared" si="137"/>
        <v>0</v>
      </c>
      <c r="AU776" s="53">
        <f t="shared" si="137"/>
        <v>0</v>
      </c>
      <c r="AV776" s="53">
        <f t="shared" si="137"/>
        <v>0</v>
      </c>
      <c r="AW776" s="53">
        <f t="shared" si="137"/>
        <v>0</v>
      </c>
      <c r="AX776" s="53">
        <f t="shared" si="138"/>
        <v>4911990000</v>
      </c>
      <c r="AY776" s="41" t="s">
        <v>557</v>
      </c>
    </row>
    <row r="777" spans="1:51" x14ac:dyDescent="0.2">
      <c r="A777" s="41" t="s">
        <v>138</v>
      </c>
      <c r="B777" s="41">
        <v>2011</v>
      </c>
      <c r="C777" s="41" t="s">
        <v>87</v>
      </c>
      <c r="D777" s="41" t="s">
        <v>110</v>
      </c>
      <c r="E777" s="41">
        <v>100</v>
      </c>
      <c r="F777" s="41" t="s">
        <v>608</v>
      </c>
      <c r="G777" s="53">
        <v>47747000</v>
      </c>
      <c r="H777" s="41">
        <v>1.02</v>
      </c>
      <c r="J777" s="54">
        <f>1000*U777/G777/0.5</f>
        <v>2.326755745910738</v>
      </c>
      <c r="K777" s="55">
        <f t="shared" si="140"/>
        <v>1.8595234604617393E-2</v>
      </c>
      <c r="R777" s="53">
        <v>1535800</v>
      </c>
      <c r="S777" s="53">
        <v>417300</v>
      </c>
      <c r="U777" s="53">
        <v>55547.803300000007</v>
      </c>
      <c r="V777" s="76">
        <f t="shared" si="141"/>
        <v>13318</v>
      </c>
      <c r="W777" s="53">
        <v>6659</v>
      </c>
      <c r="AI777" s="53">
        <v>8075800</v>
      </c>
      <c r="AJ777" s="46">
        <v>0.72</v>
      </c>
      <c r="AL777" s="53">
        <v>36000</v>
      </c>
      <c r="AM777" s="53">
        <v>165130968.18181819</v>
      </c>
      <c r="AO777" s="53">
        <f t="shared" si="137"/>
        <v>48701940</v>
      </c>
      <c r="AP777" s="53">
        <f t="shared" si="137"/>
        <v>0</v>
      </c>
      <c r="AQ777" s="53">
        <f t="shared" si="137"/>
        <v>111095606.60000001</v>
      </c>
      <c r="AR777" s="53">
        <f t="shared" si="137"/>
        <v>887866.66666666663</v>
      </c>
      <c r="AS777" s="53">
        <f t="shared" si="137"/>
        <v>0</v>
      </c>
      <c r="AT777" s="53">
        <f t="shared" si="137"/>
        <v>0</v>
      </c>
      <c r="AU777" s="53">
        <f t="shared" si="137"/>
        <v>0</v>
      </c>
      <c r="AV777" s="53">
        <f t="shared" si="137"/>
        <v>0</v>
      </c>
      <c r="AW777" s="53">
        <f t="shared" si="137"/>
        <v>0</v>
      </c>
      <c r="AX777" s="53">
        <f t="shared" si="138"/>
        <v>4774700000</v>
      </c>
      <c r="AY777" s="41" t="s">
        <v>557</v>
      </c>
    </row>
    <row r="778" spans="1:51" x14ac:dyDescent="0.2">
      <c r="A778" s="41" t="s">
        <v>138</v>
      </c>
      <c r="B778" s="41">
        <v>2012</v>
      </c>
      <c r="C778" s="41" t="s">
        <v>87</v>
      </c>
      <c r="D778" s="41" t="s">
        <v>110</v>
      </c>
      <c r="E778" s="41">
        <v>100</v>
      </c>
      <c r="F778" s="41" t="s">
        <v>608</v>
      </c>
      <c r="G778" s="53">
        <v>43618600</v>
      </c>
      <c r="H778" s="41">
        <v>0.76</v>
      </c>
      <c r="J778" s="54">
        <f>1000*U778/G778/0.5</f>
        <v>1.9022688119288562</v>
      </c>
      <c r="K778" s="55">
        <f t="shared" si="140"/>
        <v>5.9699302591096461E-3</v>
      </c>
      <c r="R778" s="53">
        <v>934800</v>
      </c>
      <c r="S778" s="53">
        <v>245300</v>
      </c>
      <c r="U778" s="53">
        <v>41487.1512</v>
      </c>
      <c r="V778" s="76">
        <f t="shared" si="141"/>
        <v>3906</v>
      </c>
      <c r="W778" s="53">
        <v>1953</v>
      </c>
      <c r="AI778" s="53">
        <v>8081400</v>
      </c>
      <c r="AJ778" s="46">
        <v>0.88</v>
      </c>
      <c r="AL778" s="53">
        <v>36800</v>
      </c>
      <c r="AM778" s="53">
        <v>156225550</v>
      </c>
      <c r="AO778" s="53">
        <f t="shared" si="137"/>
        <v>33150136</v>
      </c>
      <c r="AP778" s="53">
        <f t="shared" si="137"/>
        <v>0</v>
      </c>
      <c r="AQ778" s="53">
        <f t="shared" si="137"/>
        <v>82974302.400000006</v>
      </c>
      <c r="AR778" s="53">
        <f t="shared" si="137"/>
        <v>260400</v>
      </c>
      <c r="AS778" s="53">
        <f t="shared" si="137"/>
        <v>0</v>
      </c>
      <c r="AT778" s="53">
        <f t="shared" si="137"/>
        <v>0</v>
      </c>
      <c r="AU778" s="53">
        <f t="shared" si="137"/>
        <v>0</v>
      </c>
      <c r="AV778" s="53">
        <f t="shared" si="137"/>
        <v>0</v>
      </c>
      <c r="AW778" s="53">
        <f t="shared" si="137"/>
        <v>0</v>
      </c>
      <c r="AX778" s="53">
        <f t="shared" si="138"/>
        <v>4361860000</v>
      </c>
      <c r="AY778" s="41" t="s">
        <v>557</v>
      </c>
    </row>
    <row r="779" spans="1:51" x14ac:dyDescent="0.2">
      <c r="A779" s="41" t="s">
        <v>138</v>
      </c>
      <c r="B779" s="41">
        <v>2013</v>
      </c>
      <c r="C779" s="41" t="s">
        <v>87</v>
      </c>
      <c r="D779" s="41" t="s">
        <v>110</v>
      </c>
      <c r="E779" s="41">
        <v>100</v>
      </c>
      <c r="F779" s="41" t="s">
        <v>608</v>
      </c>
      <c r="G779" s="53">
        <v>47559000</v>
      </c>
      <c r="H779" s="41">
        <v>1.07</v>
      </c>
      <c r="J779" s="58">
        <v>2</v>
      </c>
      <c r="K779" s="55">
        <f t="shared" si="140"/>
        <v>8.3881774918171826E-3</v>
      </c>
      <c r="R779" s="53">
        <v>1570188.6792452829</v>
      </c>
      <c r="S779" s="53">
        <v>416100</v>
      </c>
      <c r="U779" s="76">
        <f>0.5*J779*G779/1000</f>
        <v>47559</v>
      </c>
      <c r="V779" s="76">
        <f t="shared" si="141"/>
        <v>5984</v>
      </c>
      <c r="W779" s="53">
        <v>2992</v>
      </c>
      <c r="AI779" s="53">
        <v>7028900</v>
      </c>
      <c r="AJ779" s="46">
        <v>0.81</v>
      </c>
      <c r="AL779" s="53">
        <v>28400</v>
      </c>
      <c r="AM779" s="53">
        <v>152846120</v>
      </c>
      <c r="AO779" s="53">
        <f t="shared" si="137"/>
        <v>50888130</v>
      </c>
      <c r="AP779" s="53">
        <f t="shared" si="137"/>
        <v>0</v>
      </c>
      <c r="AQ779" s="53">
        <f t="shared" si="137"/>
        <v>95118000</v>
      </c>
      <c r="AR779" s="53">
        <f t="shared" si="137"/>
        <v>398933.33333333337</v>
      </c>
      <c r="AS779" s="53">
        <f t="shared" si="137"/>
        <v>0</v>
      </c>
      <c r="AT779" s="53">
        <f t="shared" si="137"/>
        <v>0</v>
      </c>
      <c r="AU779" s="53">
        <f t="shared" si="137"/>
        <v>0</v>
      </c>
      <c r="AV779" s="53">
        <f t="shared" si="137"/>
        <v>0</v>
      </c>
      <c r="AW779" s="53">
        <f t="shared" si="137"/>
        <v>0</v>
      </c>
      <c r="AX779" s="53">
        <f t="shared" si="138"/>
        <v>4755900000</v>
      </c>
      <c r="AY779" s="41" t="s">
        <v>557</v>
      </c>
    </row>
    <row r="780" spans="1:51" x14ac:dyDescent="0.2">
      <c r="A780" s="41" t="s">
        <v>138</v>
      </c>
      <c r="B780" s="41">
        <v>2014</v>
      </c>
      <c r="C780" s="41" t="s">
        <v>87</v>
      </c>
      <c r="D780" s="41" t="s">
        <v>110</v>
      </c>
      <c r="E780" s="41">
        <v>100</v>
      </c>
      <c r="F780" s="41" t="s">
        <v>608</v>
      </c>
      <c r="G780" s="53">
        <v>48936100</v>
      </c>
      <c r="H780" s="41">
        <v>1.08</v>
      </c>
      <c r="J780" s="58">
        <v>2</v>
      </c>
      <c r="K780" s="55">
        <f t="shared" si="140"/>
        <v>1.6688429741370209E-2</v>
      </c>
      <c r="R780" s="53">
        <v>1680754.716981132</v>
      </c>
      <c r="S780" s="53">
        <v>445400</v>
      </c>
      <c r="U780" s="76">
        <f>0.5*J780*G780/1000</f>
        <v>48936.1</v>
      </c>
      <c r="V780" s="76">
        <f t="shared" si="141"/>
        <v>12250</v>
      </c>
      <c r="W780" s="53">
        <v>6125</v>
      </c>
      <c r="AI780" s="53">
        <v>6657500</v>
      </c>
      <c r="AJ780" s="46">
        <v>0.72</v>
      </c>
      <c r="AL780" s="53">
        <v>25000</v>
      </c>
      <c r="AM780" s="53">
        <v>155662080</v>
      </c>
      <c r="AO780" s="53">
        <f t="shared" si="137"/>
        <v>52850988</v>
      </c>
      <c r="AP780" s="53">
        <f t="shared" si="137"/>
        <v>0</v>
      </c>
      <c r="AQ780" s="53">
        <f t="shared" si="137"/>
        <v>97872200</v>
      </c>
      <c r="AR780" s="53">
        <f t="shared" si="137"/>
        <v>816666.66666666674</v>
      </c>
      <c r="AS780" s="53">
        <f t="shared" si="137"/>
        <v>0</v>
      </c>
      <c r="AT780" s="53">
        <f t="shared" si="137"/>
        <v>0</v>
      </c>
      <c r="AU780" s="53">
        <f t="shared" si="137"/>
        <v>0</v>
      </c>
      <c r="AV780" s="53">
        <f t="shared" si="137"/>
        <v>0</v>
      </c>
      <c r="AW780" s="53">
        <f t="shared" si="137"/>
        <v>0</v>
      </c>
      <c r="AX780" s="53">
        <f t="shared" si="138"/>
        <v>4893610000</v>
      </c>
      <c r="AY780" s="41" t="s">
        <v>557</v>
      </c>
    </row>
    <row r="781" spans="1:51" x14ac:dyDescent="0.2">
      <c r="A781" s="41" t="s">
        <v>138</v>
      </c>
      <c r="B781" s="41">
        <v>2015</v>
      </c>
      <c r="C781" s="41" t="s">
        <v>87</v>
      </c>
      <c r="D781" s="41" t="s">
        <v>110</v>
      </c>
      <c r="E781" s="41">
        <v>100</v>
      </c>
      <c r="F781" s="41" t="s">
        <v>608</v>
      </c>
      <c r="G781" s="53">
        <v>43790600</v>
      </c>
      <c r="H781" s="41">
        <v>1.1499999999999999</v>
      </c>
      <c r="J781" s="58">
        <v>2</v>
      </c>
      <c r="K781" s="55">
        <f t="shared" si="140"/>
        <v>1.5775075016099347E-2</v>
      </c>
      <c r="R781" s="53">
        <v>1634339.6226415094</v>
      </c>
      <c r="S781" s="53">
        <v>433100</v>
      </c>
      <c r="U781" s="76">
        <f>0.5*J781*G781/1000</f>
        <v>43790.6</v>
      </c>
      <c r="V781" s="76">
        <f t="shared" si="141"/>
        <v>10362</v>
      </c>
      <c r="W781" s="53">
        <v>5181</v>
      </c>
      <c r="AI781" s="53">
        <v>4653900</v>
      </c>
      <c r="AJ781" s="46">
        <v>0.63</v>
      </c>
      <c r="AL781" s="53">
        <v>22200</v>
      </c>
      <c r="AM781" s="53">
        <v>135644600</v>
      </c>
      <c r="AO781" s="53">
        <f t="shared" si="137"/>
        <v>50359189.999999993</v>
      </c>
      <c r="AP781" s="53">
        <f t="shared" si="137"/>
        <v>0</v>
      </c>
      <c r="AQ781" s="53">
        <f t="shared" si="137"/>
        <v>87581200</v>
      </c>
      <c r="AR781" s="53">
        <f t="shared" si="137"/>
        <v>690800.00000000012</v>
      </c>
      <c r="AS781" s="53">
        <f t="shared" si="137"/>
        <v>0</v>
      </c>
      <c r="AT781" s="53">
        <f t="shared" si="137"/>
        <v>0</v>
      </c>
      <c r="AU781" s="53">
        <f t="shared" si="137"/>
        <v>0</v>
      </c>
      <c r="AV781" s="53">
        <f t="shared" si="137"/>
        <v>0</v>
      </c>
      <c r="AW781" s="53">
        <f t="shared" si="137"/>
        <v>0</v>
      </c>
      <c r="AX781" s="53">
        <f t="shared" si="138"/>
        <v>4379060000</v>
      </c>
      <c r="AY781" s="41" t="s">
        <v>557</v>
      </c>
    </row>
    <row r="782" spans="1:51" x14ac:dyDescent="0.2">
      <c r="A782" s="41" t="s">
        <v>138</v>
      </c>
      <c r="B782" s="41">
        <v>2016</v>
      </c>
      <c r="C782" s="41" t="s">
        <v>87</v>
      </c>
      <c r="D782" s="41" t="s">
        <v>110</v>
      </c>
      <c r="E782" s="41">
        <v>100</v>
      </c>
      <c r="F782" s="41" t="s">
        <v>608</v>
      </c>
      <c r="G782" s="53">
        <v>49406800</v>
      </c>
      <c r="H782" s="41">
        <v>1.22</v>
      </c>
      <c r="J782" s="58">
        <v>2</v>
      </c>
      <c r="K782" s="55">
        <f t="shared" si="140"/>
        <v>1.2000000000000002E-2</v>
      </c>
      <c r="R782" s="53">
        <v>1893584.9056603773</v>
      </c>
      <c r="S782" s="53">
        <v>501800</v>
      </c>
      <c r="U782" s="76">
        <f>0.5*J782*G782/1000</f>
        <v>49406.8</v>
      </c>
      <c r="V782" s="76">
        <f t="shared" si="141"/>
        <v>8893.2240000000002</v>
      </c>
      <c r="W782" s="76">
        <v>4446.6120000000001</v>
      </c>
      <c r="AI782" s="53">
        <v>0</v>
      </c>
      <c r="AL782" s="53">
        <v>4800</v>
      </c>
      <c r="AM782" s="53">
        <v>138339040</v>
      </c>
      <c r="AO782" s="53">
        <f t="shared" si="137"/>
        <v>60276296</v>
      </c>
      <c r="AP782" s="53">
        <f t="shared" si="137"/>
        <v>0</v>
      </c>
      <c r="AQ782" s="53">
        <f t="shared" si="137"/>
        <v>98813600</v>
      </c>
      <c r="AR782" s="53">
        <f t="shared" si="137"/>
        <v>592881.60000000009</v>
      </c>
      <c r="AS782" s="53">
        <f t="shared" si="137"/>
        <v>0</v>
      </c>
      <c r="AT782" s="53">
        <f t="shared" si="137"/>
        <v>0</v>
      </c>
      <c r="AU782" s="53">
        <f t="shared" si="137"/>
        <v>0</v>
      </c>
      <c r="AV782" s="53">
        <f t="shared" si="137"/>
        <v>0</v>
      </c>
      <c r="AW782" s="53">
        <f t="shared" si="137"/>
        <v>0</v>
      </c>
      <c r="AX782" s="53">
        <f t="shared" si="138"/>
        <v>4940680000</v>
      </c>
      <c r="AY782" s="41" t="s">
        <v>557</v>
      </c>
    </row>
    <row r="783" spans="1:51" x14ac:dyDescent="0.2">
      <c r="A783" s="84"/>
      <c r="B783" s="85" t="s">
        <v>609</v>
      </c>
      <c r="C783" s="60" t="s">
        <v>87</v>
      </c>
      <c r="D783" s="60" t="s">
        <v>110</v>
      </c>
      <c r="E783" s="60">
        <v>100</v>
      </c>
      <c r="F783" s="60" t="s">
        <v>608</v>
      </c>
      <c r="G783" s="79">
        <f>SUM(G765:G781)+0.25*G782</f>
        <v>655759600</v>
      </c>
      <c r="H783" s="80">
        <f>AO783/$G783</f>
        <v>1.1987522032048441</v>
      </c>
      <c r="J783" s="78">
        <f>AQ783/$G783</f>
        <v>2.0172909538800501</v>
      </c>
      <c r="K783" s="89">
        <f>AR783/$G783</f>
        <v>8.3889793353133287E-3</v>
      </c>
      <c r="R783" s="79">
        <f>SUM(R765:R781)+0.25*R782</f>
        <v>23052878.766814116</v>
      </c>
      <c r="S783" s="79">
        <f>SUM(S765:S781)+0.25*S782</f>
        <v>6864431.8181818184</v>
      </c>
      <c r="U783" s="79">
        <f>SUM(U765:U781)+0.25*U782</f>
        <v>661428.95449999999</v>
      </c>
      <c r="V783" s="79">
        <f>SUM(V765:V781)+0.25*V782</f>
        <v>82517.305999999997</v>
      </c>
      <c r="W783" s="79">
        <f>SUM(W765:W781)+0.25*W782</f>
        <v>41258.652999999998</v>
      </c>
      <c r="AI783" s="79">
        <f>SUM(AI765:AI781)+0.25*AI782</f>
        <v>109747200</v>
      </c>
      <c r="AJ783" s="80">
        <f>(AJ765*AI765+AJ766*AI766+AJ767*AI767+AJ768*AI768+AJ769*AI769+AJ770*AI770+AJ771*AI771+AJ772*AI772+AJ773*AI773+AJ774*AI774+AJ775*AI775+AJ776*AI776+AJ777*AI777+AJ778*AI778+AJ779*AI779+AJ780*AI780+AJ781*AI781+AJ782*AI782)/AI783</f>
        <v>0.8730972337086752</v>
      </c>
      <c r="AL783" s="79">
        <f>SUM(AL765:AL781)+0.25*AL782</f>
        <v>810518.18181818188</v>
      </c>
      <c r="AM783" s="79">
        <f>SUM(AM765:AM781)+0.25*AM782</f>
        <v>2136737323.6363637</v>
      </c>
      <c r="AO783" s="79">
        <f t="shared" ref="AO783:AX783" si="142">SUM(AO765:AO781)+0.25*AO782</f>
        <v>786093265.27272725</v>
      </c>
      <c r="AP783" s="79">
        <f t="shared" si="142"/>
        <v>0</v>
      </c>
      <c r="AQ783" s="79">
        <f t="shared" si="142"/>
        <v>1322857909</v>
      </c>
      <c r="AR783" s="79">
        <f t="shared" si="142"/>
        <v>5501153.7333333343</v>
      </c>
      <c r="AS783" s="79">
        <f t="shared" si="142"/>
        <v>0</v>
      </c>
      <c r="AT783" s="79">
        <f t="shared" si="142"/>
        <v>0</v>
      </c>
      <c r="AU783" s="79">
        <f t="shared" si="142"/>
        <v>0</v>
      </c>
      <c r="AV783" s="79">
        <f t="shared" si="142"/>
        <v>0</v>
      </c>
      <c r="AW783" s="79">
        <f t="shared" si="142"/>
        <v>0</v>
      </c>
      <c r="AX783" s="79">
        <f t="shared" si="142"/>
        <v>65575960000</v>
      </c>
      <c r="AY783" s="41" t="s">
        <v>557</v>
      </c>
    </row>
    <row r="784" spans="1:51" x14ac:dyDescent="0.2">
      <c r="A784" s="41" t="s">
        <v>138</v>
      </c>
      <c r="B784" s="43" t="s">
        <v>560</v>
      </c>
      <c r="G784" s="53">
        <f>STDEV(G765:G782)</f>
        <v>10268423.8767932</v>
      </c>
      <c r="H784" s="46">
        <f>STDEV(H765:H782)</f>
        <v>0.41299550906001126</v>
      </c>
      <c r="J784" s="46">
        <f>STDEV(J765:J782)</f>
        <v>8.1676077865914229E-2</v>
      </c>
      <c r="K784" s="42">
        <f>STDEV(K765:K782)</f>
        <v>4.9173867652510814E-3</v>
      </c>
      <c r="R784" s="53">
        <f>STDEV(R765:R782)</f>
        <v>341226.02176343033</v>
      </c>
      <c r="S784" s="53">
        <f>STDEV(S765:S782)</f>
        <v>59449.504729615168</v>
      </c>
      <c r="U784" s="53">
        <f>STDEV(U765:U782)</f>
        <v>10788.511505486689</v>
      </c>
      <c r="V784" s="53">
        <f>STDEV(V765:V782)</f>
        <v>3610.6324139080052</v>
      </c>
      <c r="W784" s="53">
        <f>STDEV(W765:W782)</f>
        <v>1805.3162069540026</v>
      </c>
      <c r="AI784" s="53">
        <f>STDEV(AI765:AI782)</f>
        <v>1852525.5813110287</v>
      </c>
      <c r="AJ784" s="46">
        <f>STDEV(AJ765:AJ782)</f>
        <v>0.30185095646173604</v>
      </c>
      <c r="AL784" s="53">
        <f>STDEV(AL765:AL782)</f>
        <v>16864.709235514376</v>
      </c>
      <c r="AM784" s="53">
        <f>STDEV(AM765:AM782)</f>
        <v>21533417.18969778</v>
      </c>
      <c r="AY784" s="41" t="s">
        <v>557</v>
      </c>
    </row>
    <row r="785" spans="1:51" x14ac:dyDescent="0.2">
      <c r="A785" s="41" t="s">
        <v>138</v>
      </c>
      <c r="B785" s="81" t="s">
        <v>249</v>
      </c>
      <c r="G785" s="41">
        <f>COUNT(G765:G782)</f>
        <v>18</v>
      </c>
      <c r="H785" s="41">
        <f>COUNT(H765:H782)</f>
        <v>18</v>
      </c>
      <c r="J785" s="41">
        <f>COUNT(J765:J782)</f>
        <v>18</v>
      </c>
      <c r="K785" s="41">
        <f>COUNT(K765:K782)</f>
        <v>12</v>
      </c>
      <c r="R785" s="41">
        <f>COUNT(R765:R782)</f>
        <v>18</v>
      </c>
      <c r="S785" s="41">
        <f>COUNT(S765:S782)</f>
        <v>18</v>
      </c>
      <c r="U785" s="41">
        <f>COUNT(U765:U782)</f>
        <v>18</v>
      </c>
      <c r="V785" s="41">
        <f>COUNT(V765:V782)</f>
        <v>12</v>
      </c>
      <c r="W785" s="41">
        <f>COUNT(W765:W782)</f>
        <v>12</v>
      </c>
      <c r="AI785" s="41">
        <f>COUNT(AI765:AI782)</f>
        <v>18</v>
      </c>
      <c r="AJ785" s="41">
        <f>COUNT(AJ765:AJ782)</f>
        <v>17</v>
      </c>
      <c r="AL785" s="41">
        <f>COUNT(AL765:AL782)</f>
        <v>18</v>
      </c>
      <c r="AM785" s="41">
        <f>COUNT(AM765:AM782)</f>
        <v>18</v>
      </c>
      <c r="AY785" s="41" t="s">
        <v>557</v>
      </c>
    </row>
    <row r="786" spans="1:51" x14ac:dyDescent="0.2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  <c r="AA786" s="82"/>
      <c r="AB786" s="82"/>
      <c r="AC786" s="82"/>
      <c r="AD786" s="82"/>
      <c r="AE786" s="82"/>
      <c r="AF786" s="82"/>
      <c r="AG786" s="82"/>
      <c r="AH786" s="82"/>
      <c r="AI786" s="82"/>
      <c r="AJ786" s="82"/>
      <c r="AK786" s="82"/>
      <c r="AL786" s="82"/>
      <c r="AM786" s="82"/>
      <c r="AN786" s="82"/>
      <c r="AO786" s="82"/>
      <c r="AP786" s="82"/>
      <c r="AQ786" s="82"/>
      <c r="AR786" s="82"/>
      <c r="AS786" s="82"/>
      <c r="AT786" s="82"/>
      <c r="AU786" s="82"/>
      <c r="AV786" s="82"/>
      <c r="AW786" s="82"/>
      <c r="AX786" s="82"/>
      <c r="AY786" s="41" t="s">
        <v>557</v>
      </c>
    </row>
    <row r="787" spans="1:51" x14ac:dyDescent="0.2">
      <c r="A787" s="41" t="s">
        <v>211</v>
      </c>
      <c r="B787" s="41">
        <v>2015</v>
      </c>
      <c r="C787" s="41" t="s">
        <v>87</v>
      </c>
      <c r="D787" s="41" t="s">
        <v>88</v>
      </c>
      <c r="E787" s="41">
        <v>100</v>
      </c>
      <c r="F787" s="41" t="s">
        <v>556</v>
      </c>
      <c r="G787" s="53">
        <v>23522010</v>
      </c>
      <c r="H787" s="41">
        <v>0.62</v>
      </c>
      <c r="I787" s="41">
        <v>7.0000000000000007E-2</v>
      </c>
      <c r="J787" s="41">
        <v>5.83</v>
      </c>
      <c r="R787" s="53">
        <v>399189</v>
      </c>
      <c r="S787" s="53">
        <v>105897</v>
      </c>
      <c r="T787" s="53">
        <v>585.89290000000005</v>
      </c>
      <c r="U787" s="53">
        <v>61878.550400000007</v>
      </c>
      <c r="AM787" s="76">
        <f>0.9*G787</f>
        <v>21169809</v>
      </c>
      <c r="AO787" s="53">
        <f t="shared" ref="AO787:AW789" si="143">$G787*H787</f>
        <v>14583646.199999999</v>
      </c>
      <c r="AP787" s="53">
        <f t="shared" si="143"/>
        <v>1646540.7000000002</v>
      </c>
      <c r="AQ787" s="53">
        <f t="shared" si="143"/>
        <v>137133318.30000001</v>
      </c>
      <c r="AR787" s="53">
        <f t="shared" si="143"/>
        <v>0</v>
      </c>
      <c r="AS787" s="53">
        <f t="shared" si="143"/>
        <v>0</v>
      </c>
      <c r="AT787" s="53">
        <f t="shared" si="143"/>
        <v>0</v>
      </c>
      <c r="AU787" s="53">
        <f t="shared" si="143"/>
        <v>0</v>
      </c>
      <c r="AV787" s="53">
        <f t="shared" si="143"/>
        <v>0</v>
      </c>
      <c r="AW787" s="53">
        <f t="shared" si="143"/>
        <v>0</v>
      </c>
      <c r="AX787" s="53">
        <f>$G787*E787</f>
        <v>2352201000</v>
      </c>
      <c r="AY787" s="41" t="s">
        <v>557</v>
      </c>
    </row>
    <row r="788" spans="1:51" x14ac:dyDescent="0.2">
      <c r="A788" s="41" t="s">
        <v>211</v>
      </c>
      <c r="B788" s="41">
        <v>2016</v>
      </c>
      <c r="C788" s="41" t="s">
        <v>87</v>
      </c>
      <c r="D788" s="41" t="s">
        <v>88</v>
      </c>
      <c r="E788" s="41">
        <v>100</v>
      </c>
      <c r="F788" s="41" t="s">
        <v>556</v>
      </c>
      <c r="G788" s="53">
        <v>27032775</v>
      </c>
      <c r="H788" s="46">
        <v>0.6</v>
      </c>
      <c r="I788" s="41">
        <v>0.06</v>
      </c>
      <c r="J788" s="46">
        <v>4.9000000000000004</v>
      </c>
      <c r="R788" s="53">
        <v>527296</v>
      </c>
      <c r="S788" s="53">
        <v>133432</v>
      </c>
      <c r="T788" s="53">
        <v>817.18360000000007</v>
      </c>
      <c r="U788" s="53">
        <v>85846.325200000007</v>
      </c>
      <c r="AM788" s="53">
        <v>21000000</v>
      </c>
      <c r="AO788" s="53">
        <f t="shared" si="143"/>
        <v>16219665</v>
      </c>
      <c r="AP788" s="53">
        <f t="shared" si="143"/>
        <v>1621966.5</v>
      </c>
      <c r="AQ788" s="53">
        <f t="shared" si="143"/>
        <v>132460597.50000001</v>
      </c>
      <c r="AR788" s="53">
        <f t="shared" si="143"/>
        <v>0</v>
      </c>
      <c r="AS788" s="53">
        <f t="shared" si="143"/>
        <v>0</v>
      </c>
      <c r="AT788" s="53">
        <f t="shared" si="143"/>
        <v>0</v>
      </c>
      <c r="AU788" s="53">
        <f t="shared" si="143"/>
        <v>0</v>
      </c>
      <c r="AV788" s="53">
        <f t="shared" si="143"/>
        <v>0</v>
      </c>
      <c r="AW788" s="53">
        <f t="shared" si="143"/>
        <v>0</v>
      </c>
      <c r="AX788" s="53">
        <f>$G788*E788</f>
        <v>2703277500</v>
      </c>
      <c r="AY788" s="41" t="s">
        <v>557</v>
      </c>
    </row>
    <row r="789" spans="1:51" x14ac:dyDescent="0.2">
      <c r="A789" s="41" t="s">
        <v>211</v>
      </c>
      <c r="B789" s="41" t="s">
        <v>558</v>
      </c>
      <c r="C789" s="41" t="s">
        <v>87</v>
      </c>
      <c r="D789" s="41" t="s">
        <v>88</v>
      </c>
      <c r="E789" s="41">
        <v>100</v>
      </c>
      <c r="F789" s="41" t="s">
        <v>556</v>
      </c>
      <c r="G789" s="53">
        <v>13249299</v>
      </c>
      <c r="H789" s="41">
        <v>0.54</v>
      </c>
      <c r="I789" s="41">
        <v>0.04</v>
      </c>
      <c r="J789" s="41">
        <v>4.08</v>
      </c>
      <c r="R789" s="53">
        <v>227122</v>
      </c>
      <c r="S789" s="53">
        <v>57009</v>
      </c>
      <c r="T789" s="53">
        <f>7737*31.1/1000</f>
        <v>240.6207</v>
      </c>
      <c r="U789" s="53">
        <f>1085830*31.1/1000</f>
        <v>33769.313000000002</v>
      </c>
      <c r="AM789" s="53">
        <f>0.5*38400000</f>
        <v>19200000</v>
      </c>
      <c r="AO789" s="53">
        <f t="shared" si="143"/>
        <v>7154621.4600000009</v>
      </c>
      <c r="AP789" s="53">
        <f t="shared" si="143"/>
        <v>529971.96</v>
      </c>
      <c r="AQ789" s="53">
        <f t="shared" si="143"/>
        <v>54057139.920000002</v>
      </c>
      <c r="AR789" s="53">
        <f t="shared" si="143"/>
        <v>0</v>
      </c>
      <c r="AS789" s="53">
        <f t="shared" si="143"/>
        <v>0</v>
      </c>
      <c r="AT789" s="53">
        <f t="shared" si="143"/>
        <v>0</v>
      </c>
      <c r="AU789" s="53">
        <f t="shared" si="143"/>
        <v>0</v>
      </c>
      <c r="AV789" s="53">
        <f t="shared" si="143"/>
        <v>0</v>
      </c>
      <c r="AW789" s="53">
        <f t="shared" si="143"/>
        <v>0</v>
      </c>
      <c r="AX789" s="53">
        <f>$G789*E789</f>
        <v>1324929900</v>
      </c>
      <c r="AY789" s="41" t="s">
        <v>557</v>
      </c>
    </row>
    <row r="790" spans="1:51" x14ac:dyDescent="0.2">
      <c r="A790" s="41" t="s">
        <v>211</v>
      </c>
      <c r="B790" s="60" t="s">
        <v>559</v>
      </c>
      <c r="C790" s="60" t="s">
        <v>87</v>
      </c>
      <c r="D790" s="60" t="s">
        <v>88</v>
      </c>
      <c r="E790" s="60">
        <v>100</v>
      </c>
      <c r="F790" s="60" t="s">
        <v>556</v>
      </c>
      <c r="G790" s="79">
        <f>SUM(G787:G789)</f>
        <v>63804084</v>
      </c>
      <c r="H790" s="80">
        <f>AO790/$G790</f>
        <v>0.59491384062499819</v>
      </c>
      <c r="I790" s="80">
        <f>AP790/$G790</f>
        <v>5.9533480019868322E-2</v>
      </c>
      <c r="J790" s="80">
        <f>AQ790/$G790</f>
        <v>5.0725758514141512</v>
      </c>
      <c r="R790" s="79">
        <f>SUM(R787:R789)</f>
        <v>1153607</v>
      </c>
      <c r="S790" s="79">
        <f>SUM(S787:S789)</f>
        <v>296338</v>
      </c>
      <c r="T790" s="79">
        <f>SUM(T787:T789)</f>
        <v>1643.6972000000001</v>
      </c>
      <c r="U790" s="79">
        <f>SUM(U787:U789)</f>
        <v>181494.18860000002</v>
      </c>
      <c r="AM790" s="79">
        <f>SUM(AM787:AM789)</f>
        <v>61369809</v>
      </c>
      <c r="AO790" s="79">
        <f>SUM(AO787:AO789)</f>
        <v>37957932.659999996</v>
      </c>
      <c r="AP790" s="79">
        <f t="shared" ref="AP790:AX790" si="144">SUM(AP787:AP789)</f>
        <v>3798479.16</v>
      </c>
      <c r="AQ790" s="79">
        <f t="shared" si="144"/>
        <v>323651055.72000003</v>
      </c>
      <c r="AR790" s="79">
        <f t="shared" si="144"/>
        <v>0</v>
      </c>
      <c r="AS790" s="79">
        <f t="shared" si="144"/>
        <v>0</v>
      </c>
      <c r="AT790" s="79">
        <f t="shared" si="144"/>
        <v>0</v>
      </c>
      <c r="AU790" s="79">
        <f t="shared" si="144"/>
        <v>0</v>
      </c>
      <c r="AV790" s="79">
        <f t="shared" si="144"/>
        <v>0</v>
      </c>
      <c r="AW790" s="79">
        <f t="shared" si="144"/>
        <v>0</v>
      </c>
      <c r="AX790" s="79">
        <f t="shared" si="144"/>
        <v>6380408400</v>
      </c>
      <c r="AY790" s="41" t="s">
        <v>557</v>
      </c>
    </row>
    <row r="791" spans="1:51" x14ac:dyDescent="0.2">
      <c r="A791" s="41" t="s">
        <v>211</v>
      </c>
      <c r="B791" s="43" t="s">
        <v>560</v>
      </c>
      <c r="G791" s="53">
        <f>STDEV(G787:G789)</f>
        <v>7162847.1156996647</v>
      </c>
      <c r="H791" s="46">
        <f>STDEV(H787:H789)</f>
        <v>4.1633319989322626E-2</v>
      </c>
      <c r="I791" s="46">
        <f>STDEV(I787:I789)</f>
        <v>1.5275252316519449E-2</v>
      </c>
      <c r="J791" s="46">
        <f>STDEV(J787:J789)</f>
        <v>0.8755760008893182</v>
      </c>
      <c r="R791" s="53">
        <f>STDEV(R787:R789)</f>
        <v>150622.53384647777</v>
      </c>
      <c r="S791" s="53">
        <f>STDEV(S787:S789)</f>
        <v>38705.485610354175</v>
      </c>
      <c r="T791" s="53">
        <f>STDEV(T787:T789)</f>
        <v>290.15313705459641</v>
      </c>
      <c r="U791" s="53">
        <f>STDEV(U787:U789)</f>
        <v>26065.937721325194</v>
      </c>
      <c r="AM791" s="53">
        <f>STDEV(AM787:AM789)</f>
        <v>1091557.1899021142</v>
      </c>
      <c r="AY791" s="41" t="s">
        <v>557</v>
      </c>
    </row>
    <row r="792" spans="1:51" x14ac:dyDescent="0.2">
      <c r="A792" s="41" t="s">
        <v>211</v>
      </c>
      <c r="B792" s="81" t="s">
        <v>249</v>
      </c>
      <c r="G792" s="41">
        <f>COUNT(G787:G789)</f>
        <v>3</v>
      </c>
      <c r="H792" s="41">
        <f>COUNT(H787:H789)</f>
        <v>3</v>
      </c>
      <c r="I792" s="41">
        <f>COUNT(I787:I789)</f>
        <v>3</v>
      </c>
      <c r="J792" s="41">
        <f>COUNT(J787:J789)</f>
        <v>3</v>
      </c>
      <c r="R792" s="41">
        <f>COUNT(R787:R789)</f>
        <v>3</v>
      </c>
      <c r="S792" s="41">
        <f>COUNT(S787:S789)</f>
        <v>3</v>
      </c>
      <c r="T792" s="41">
        <f>COUNT(T787:T789)</f>
        <v>3</v>
      </c>
      <c r="U792" s="41">
        <f>COUNT(U787:U789)</f>
        <v>3</v>
      </c>
      <c r="AM792" s="41">
        <f>COUNT(AM787:AM789)</f>
        <v>3</v>
      </c>
      <c r="AY792" s="41" t="s">
        <v>557</v>
      </c>
    </row>
    <row r="793" spans="1:51" x14ac:dyDescent="0.2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  <c r="AA793" s="82"/>
      <c r="AB793" s="82"/>
      <c r="AC793" s="82"/>
      <c r="AD793" s="82"/>
      <c r="AE793" s="82"/>
      <c r="AF793" s="82"/>
      <c r="AG793" s="82"/>
      <c r="AH793" s="82"/>
      <c r="AI793" s="82"/>
      <c r="AJ793" s="82"/>
      <c r="AK793" s="82"/>
      <c r="AL793" s="82"/>
      <c r="AM793" s="82"/>
      <c r="AN793" s="82"/>
      <c r="AO793" s="82"/>
      <c r="AP793" s="82"/>
      <c r="AQ793" s="82"/>
      <c r="AR793" s="82"/>
      <c r="AS793" s="82"/>
      <c r="AT793" s="82"/>
      <c r="AU793" s="82"/>
      <c r="AV793" s="82"/>
      <c r="AW793" s="82"/>
      <c r="AX793" s="82"/>
      <c r="AY793" s="41" t="s">
        <v>557</v>
      </c>
    </row>
    <row r="794" spans="1:51" x14ac:dyDescent="0.2">
      <c r="A794" s="41" t="s">
        <v>129</v>
      </c>
      <c r="B794" s="41">
        <v>1972</v>
      </c>
      <c r="C794" s="41" t="s">
        <v>87</v>
      </c>
      <c r="D794" s="41" t="s">
        <v>88</v>
      </c>
      <c r="E794" s="41">
        <v>100</v>
      </c>
      <c r="F794" s="41" t="s">
        <v>556</v>
      </c>
      <c r="G794" s="53">
        <v>2714926.9708790709</v>
      </c>
      <c r="H794" s="41">
        <v>0.44</v>
      </c>
      <c r="I794" s="56">
        <v>0.24895942834433357</v>
      </c>
      <c r="J794" s="56">
        <v>1.0996980883921483</v>
      </c>
      <c r="R794" s="76">
        <f t="shared" ref="R794:R821" si="145">S794*4</f>
        <v>41730.926245123832</v>
      </c>
      <c r="S794" s="53">
        <v>10432.731561280958</v>
      </c>
      <c r="T794" s="53">
        <v>506.93</v>
      </c>
      <c r="U794" s="53">
        <v>2239.1999999999998</v>
      </c>
      <c r="AH794" s="53">
        <f t="shared" ref="AH794:AH821" si="146">G794-R794</f>
        <v>2673196.0446339473</v>
      </c>
      <c r="AM794" s="76">
        <f>1.25*G794</f>
        <v>3393658.7135988385</v>
      </c>
      <c r="AO794" s="53">
        <f t="shared" ref="AO794:AW818" si="147">$G794*H794</f>
        <v>1194567.8671867913</v>
      </c>
      <c r="AP794" s="53">
        <f t="shared" si="147"/>
        <v>675906.66666666663</v>
      </c>
      <c r="AQ794" s="53">
        <f t="shared" si="147"/>
        <v>2985600</v>
      </c>
      <c r="AR794" s="53">
        <f t="shared" si="147"/>
        <v>0</v>
      </c>
      <c r="AS794" s="53">
        <f t="shared" si="147"/>
        <v>0</v>
      </c>
      <c r="AT794" s="53">
        <f t="shared" si="147"/>
        <v>0</v>
      </c>
      <c r="AU794" s="53">
        <f t="shared" si="147"/>
        <v>0</v>
      </c>
      <c r="AV794" s="53">
        <f t="shared" si="147"/>
        <v>0</v>
      </c>
      <c r="AW794" s="53">
        <f t="shared" si="147"/>
        <v>0</v>
      </c>
      <c r="AX794" s="53">
        <f t="shared" ref="AX794:AX821" si="148">$G794*E794</f>
        <v>271492697.08790708</v>
      </c>
      <c r="AY794" s="41" t="s">
        <v>557</v>
      </c>
    </row>
    <row r="795" spans="1:51" x14ac:dyDescent="0.2">
      <c r="A795" s="41" t="s">
        <v>129</v>
      </c>
      <c r="B795" s="41">
        <v>1973</v>
      </c>
      <c r="C795" s="41" t="s">
        <v>87</v>
      </c>
      <c r="D795" s="41" t="s">
        <v>88</v>
      </c>
      <c r="E795" s="41">
        <v>100</v>
      </c>
      <c r="F795" s="41" t="s">
        <v>556</v>
      </c>
      <c r="G795" s="53">
        <v>4859683.3892769665</v>
      </c>
      <c r="H795" s="41">
        <v>0.45</v>
      </c>
      <c r="I795" s="56">
        <v>0.23977145011224613</v>
      </c>
      <c r="J795" s="56">
        <v>1.1161574322520529</v>
      </c>
      <c r="R795" s="76">
        <f t="shared" si="145"/>
        <v>74643.926335843236</v>
      </c>
      <c r="S795" s="53">
        <v>18660.981583960809</v>
      </c>
      <c r="T795" s="53">
        <v>873.91</v>
      </c>
      <c r="U795" s="53">
        <v>4068.1288</v>
      </c>
      <c r="AH795" s="53">
        <f t="shared" si="146"/>
        <v>4785039.4629411232</v>
      </c>
      <c r="AM795" s="76">
        <f>1*G795</f>
        <v>4859683.3892769665</v>
      </c>
      <c r="AO795" s="53">
        <f t="shared" si="147"/>
        <v>2186857.525174635</v>
      </c>
      <c r="AP795" s="53">
        <f t="shared" si="147"/>
        <v>1165213.3333333333</v>
      </c>
      <c r="AQ795" s="53">
        <f t="shared" si="147"/>
        <v>5424171.7333333325</v>
      </c>
      <c r="AR795" s="53">
        <f t="shared" si="147"/>
        <v>0</v>
      </c>
      <c r="AS795" s="53">
        <f t="shared" si="147"/>
        <v>0</v>
      </c>
      <c r="AT795" s="53">
        <f t="shared" si="147"/>
        <v>0</v>
      </c>
      <c r="AU795" s="53">
        <f t="shared" si="147"/>
        <v>0</v>
      </c>
      <c r="AV795" s="53">
        <f t="shared" si="147"/>
        <v>0</v>
      </c>
      <c r="AW795" s="53">
        <f t="shared" si="147"/>
        <v>0</v>
      </c>
      <c r="AX795" s="53">
        <f t="shared" si="148"/>
        <v>485968338.92769665</v>
      </c>
      <c r="AY795" s="41" t="s">
        <v>557</v>
      </c>
    </row>
    <row r="796" spans="1:51" x14ac:dyDescent="0.2">
      <c r="A796" s="41" t="s">
        <v>129</v>
      </c>
      <c r="B796" s="41">
        <v>1974</v>
      </c>
      <c r="C796" s="41" t="s">
        <v>87</v>
      </c>
      <c r="D796" s="41" t="s">
        <v>88</v>
      </c>
      <c r="E796" s="41">
        <v>100</v>
      </c>
      <c r="F796" s="41" t="s">
        <v>556</v>
      </c>
      <c r="G796" s="53">
        <v>4613988.9322326044</v>
      </c>
      <c r="H796" s="41">
        <v>0.48</v>
      </c>
      <c r="I796" s="56">
        <v>0.26152641840346053</v>
      </c>
      <c r="J796" s="56">
        <v>1.057339626294403</v>
      </c>
      <c r="R796" s="76">
        <f t="shared" si="145"/>
        <v>76204.300099791348</v>
      </c>
      <c r="S796" s="53">
        <v>19051.075024947837</v>
      </c>
      <c r="T796" s="53">
        <v>905.01</v>
      </c>
      <c r="U796" s="53">
        <v>3658.915</v>
      </c>
      <c r="AH796" s="53">
        <f t="shared" si="146"/>
        <v>4537784.6321328133</v>
      </c>
      <c r="AM796" s="76">
        <f t="shared" ref="AM796:AM813" si="149">1*G796</f>
        <v>4613988.9322326044</v>
      </c>
      <c r="AO796" s="53">
        <f t="shared" si="147"/>
        <v>2214714.6874716501</v>
      </c>
      <c r="AP796" s="53">
        <f t="shared" si="147"/>
        <v>1206680.0000000002</v>
      </c>
      <c r="AQ796" s="53">
        <f t="shared" si="147"/>
        <v>4878553.333333334</v>
      </c>
      <c r="AR796" s="53">
        <f t="shared" si="147"/>
        <v>0</v>
      </c>
      <c r="AS796" s="53">
        <f t="shared" si="147"/>
        <v>0</v>
      </c>
      <c r="AT796" s="53">
        <f t="shared" si="147"/>
        <v>0</v>
      </c>
      <c r="AU796" s="53">
        <f t="shared" si="147"/>
        <v>0</v>
      </c>
      <c r="AV796" s="53">
        <f t="shared" si="147"/>
        <v>0</v>
      </c>
      <c r="AW796" s="53">
        <f t="shared" si="147"/>
        <v>0</v>
      </c>
      <c r="AX796" s="53">
        <f t="shared" si="148"/>
        <v>461398893.22326046</v>
      </c>
      <c r="AY796" s="41" t="s">
        <v>557</v>
      </c>
    </row>
    <row r="797" spans="1:51" x14ac:dyDescent="0.2">
      <c r="A797" s="41" t="s">
        <v>129</v>
      </c>
      <c r="B797" s="41">
        <v>1975</v>
      </c>
      <c r="C797" s="41" t="s">
        <v>87</v>
      </c>
      <c r="D797" s="41" t="s">
        <v>88</v>
      </c>
      <c r="E797" s="41">
        <v>100</v>
      </c>
      <c r="F797" s="41" t="s">
        <v>556</v>
      </c>
      <c r="G797" s="53">
        <v>3694061</v>
      </c>
      <c r="H797" s="41">
        <v>0.46</v>
      </c>
      <c r="I797" s="106">
        <v>0.18018489678432489</v>
      </c>
      <c r="J797" s="41">
        <v>0.73</v>
      </c>
      <c r="R797" s="76">
        <f t="shared" si="145"/>
        <v>59040</v>
      </c>
      <c r="S797" s="53">
        <v>14760</v>
      </c>
      <c r="T797" s="53">
        <v>665.61400000000003</v>
      </c>
      <c r="U797" s="53">
        <v>2687.6</v>
      </c>
      <c r="AH797" s="53">
        <f t="shared" si="146"/>
        <v>3635021</v>
      </c>
      <c r="AM797" s="76">
        <f t="shared" si="149"/>
        <v>3694061</v>
      </c>
      <c r="AO797" s="53">
        <f t="shared" si="147"/>
        <v>1699268.06</v>
      </c>
      <c r="AP797" s="53">
        <f t="shared" si="147"/>
        <v>665614</v>
      </c>
      <c r="AQ797" s="53">
        <f t="shared" si="147"/>
        <v>2696664.53</v>
      </c>
      <c r="AR797" s="53">
        <f t="shared" si="147"/>
        <v>0</v>
      </c>
      <c r="AS797" s="53">
        <f t="shared" si="147"/>
        <v>0</v>
      </c>
      <c r="AT797" s="53">
        <f t="shared" si="147"/>
        <v>0</v>
      </c>
      <c r="AU797" s="53">
        <f t="shared" si="147"/>
        <v>0</v>
      </c>
      <c r="AV797" s="53">
        <f t="shared" si="147"/>
        <v>0</v>
      </c>
      <c r="AW797" s="53">
        <f t="shared" si="147"/>
        <v>0</v>
      </c>
      <c r="AX797" s="53">
        <f t="shared" si="148"/>
        <v>369406100</v>
      </c>
      <c r="AY797" s="41" t="s">
        <v>557</v>
      </c>
    </row>
    <row r="798" spans="1:51" x14ac:dyDescent="0.2">
      <c r="A798" s="41" t="s">
        <v>129</v>
      </c>
      <c r="B798" s="41">
        <v>1976</v>
      </c>
      <c r="C798" s="41" t="s">
        <v>87</v>
      </c>
      <c r="D798" s="41" t="s">
        <v>88</v>
      </c>
      <c r="E798" s="41">
        <v>100</v>
      </c>
      <c r="F798" s="41" t="s">
        <v>556</v>
      </c>
      <c r="G798" s="53">
        <v>6335743</v>
      </c>
      <c r="H798" s="41">
        <v>0.42</v>
      </c>
      <c r="I798" s="106">
        <v>0.17476782123264786</v>
      </c>
      <c r="J798" s="56">
        <v>0.96350709511628441</v>
      </c>
      <c r="R798" s="76">
        <f t="shared" si="145"/>
        <v>92532</v>
      </c>
      <c r="S798" s="53">
        <v>23133</v>
      </c>
      <c r="T798" s="53">
        <v>1107.2840000000001</v>
      </c>
      <c r="U798" s="53">
        <v>4578.3999999999996</v>
      </c>
      <c r="AH798" s="53">
        <f t="shared" si="146"/>
        <v>6243211</v>
      </c>
      <c r="AM798" s="76">
        <f t="shared" si="149"/>
        <v>6335743</v>
      </c>
      <c r="AO798" s="53">
        <f t="shared" si="147"/>
        <v>2661012.06</v>
      </c>
      <c r="AP798" s="53">
        <f t="shared" si="147"/>
        <v>1107284</v>
      </c>
      <c r="AQ798" s="53">
        <f t="shared" si="147"/>
        <v>6104533.333333333</v>
      </c>
      <c r="AR798" s="53">
        <f t="shared" si="147"/>
        <v>0</v>
      </c>
      <c r="AS798" s="53">
        <f t="shared" si="147"/>
        <v>0</v>
      </c>
      <c r="AT798" s="53">
        <f t="shared" si="147"/>
        <v>0</v>
      </c>
      <c r="AU798" s="53">
        <f t="shared" si="147"/>
        <v>0</v>
      </c>
      <c r="AV798" s="53">
        <f t="shared" si="147"/>
        <v>0</v>
      </c>
      <c r="AW798" s="53">
        <f t="shared" si="147"/>
        <v>0</v>
      </c>
      <c r="AX798" s="53">
        <f t="shared" si="148"/>
        <v>633574300</v>
      </c>
      <c r="AY798" s="41" t="s">
        <v>557</v>
      </c>
    </row>
    <row r="799" spans="1:51" x14ac:dyDescent="0.2">
      <c r="A799" s="41" t="s">
        <v>129</v>
      </c>
      <c r="B799" s="41">
        <v>1977</v>
      </c>
      <c r="C799" s="41" t="s">
        <v>87</v>
      </c>
      <c r="D799" s="41" t="s">
        <v>88</v>
      </c>
      <c r="E799" s="41">
        <v>100</v>
      </c>
      <c r="F799" s="41" t="s">
        <v>556</v>
      </c>
      <c r="G799" s="53">
        <v>7144897</v>
      </c>
      <c r="H799" s="41">
        <v>0.38</v>
      </c>
      <c r="I799" s="41">
        <v>0.16</v>
      </c>
      <c r="J799" s="41">
        <v>0.65</v>
      </c>
      <c r="R799" s="76">
        <f t="shared" si="145"/>
        <v>91896</v>
      </c>
      <c r="S799" s="53">
        <v>22974</v>
      </c>
      <c r="T799" s="53">
        <v>1094.8</v>
      </c>
      <c r="U799" s="53">
        <v>4354</v>
      </c>
      <c r="AH799" s="53">
        <f t="shared" si="146"/>
        <v>7053001</v>
      </c>
      <c r="AM799" s="76">
        <f t="shared" si="149"/>
        <v>7144897</v>
      </c>
      <c r="AO799" s="53">
        <f t="shared" si="147"/>
        <v>2715060.86</v>
      </c>
      <c r="AP799" s="53">
        <f t="shared" si="147"/>
        <v>1143183.52</v>
      </c>
      <c r="AQ799" s="53">
        <f t="shared" si="147"/>
        <v>4644183.05</v>
      </c>
      <c r="AR799" s="53">
        <f t="shared" si="147"/>
        <v>0</v>
      </c>
      <c r="AS799" s="53">
        <f t="shared" si="147"/>
        <v>0</v>
      </c>
      <c r="AT799" s="53">
        <f t="shared" si="147"/>
        <v>0</v>
      </c>
      <c r="AU799" s="53">
        <f t="shared" si="147"/>
        <v>0</v>
      </c>
      <c r="AV799" s="53">
        <f t="shared" si="147"/>
        <v>0</v>
      </c>
      <c r="AW799" s="53">
        <f t="shared" si="147"/>
        <v>0</v>
      </c>
      <c r="AX799" s="53">
        <f t="shared" si="148"/>
        <v>714489700</v>
      </c>
      <c r="AY799" s="41" t="s">
        <v>557</v>
      </c>
    </row>
    <row r="800" spans="1:51" x14ac:dyDescent="0.2">
      <c r="A800" s="41" t="s">
        <v>129</v>
      </c>
      <c r="B800" s="41">
        <v>1978</v>
      </c>
      <c r="C800" s="41" t="s">
        <v>87</v>
      </c>
      <c r="D800" s="41" t="s">
        <v>88</v>
      </c>
      <c r="E800" s="41">
        <v>100</v>
      </c>
      <c r="F800" s="41" t="s">
        <v>556</v>
      </c>
      <c r="G800" s="53">
        <v>6826464</v>
      </c>
      <c r="H800" s="41">
        <v>0.41</v>
      </c>
      <c r="I800" s="41">
        <v>0.34</v>
      </c>
      <c r="J800" s="41">
        <v>1.37</v>
      </c>
      <c r="R800" s="76">
        <f t="shared" si="145"/>
        <v>99216</v>
      </c>
      <c r="S800" s="53">
        <v>24804</v>
      </c>
      <c r="T800" s="53">
        <v>1140</v>
      </c>
      <c r="U800" s="53">
        <v>4313.7</v>
      </c>
      <c r="AH800" s="53">
        <f t="shared" si="146"/>
        <v>6727248</v>
      </c>
      <c r="AM800" s="76">
        <f t="shared" si="149"/>
        <v>6826464</v>
      </c>
      <c r="AO800" s="53">
        <f t="shared" si="147"/>
        <v>2798850.2399999998</v>
      </c>
      <c r="AP800" s="53">
        <f t="shared" si="147"/>
        <v>2320997.7600000002</v>
      </c>
      <c r="AQ800" s="53">
        <f t="shared" si="147"/>
        <v>9352255.6800000016</v>
      </c>
      <c r="AR800" s="53">
        <f t="shared" si="147"/>
        <v>0</v>
      </c>
      <c r="AS800" s="53">
        <f t="shared" si="147"/>
        <v>0</v>
      </c>
      <c r="AT800" s="53">
        <f t="shared" si="147"/>
        <v>0</v>
      </c>
      <c r="AU800" s="53">
        <f t="shared" si="147"/>
        <v>0</v>
      </c>
      <c r="AV800" s="53">
        <f t="shared" si="147"/>
        <v>0</v>
      </c>
      <c r="AW800" s="53">
        <f t="shared" si="147"/>
        <v>0</v>
      </c>
      <c r="AX800" s="53">
        <f t="shared" si="148"/>
        <v>682646400</v>
      </c>
      <c r="AY800" s="41" t="s">
        <v>557</v>
      </c>
    </row>
    <row r="801" spans="1:51" x14ac:dyDescent="0.2">
      <c r="A801" s="41" t="s">
        <v>129</v>
      </c>
      <c r="B801" s="41">
        <v>1979</v>
      </c>
      <c r="C801" s="41" t="s">
        <v>87</v>
      </c>
      <c r="D801" s="41" t="s">
        <v>88</v>
      </c>
      <c r="E801" s="41">
        <v>100</v>
      </c>
      <c r="F801" s="41" t="s">
        <v>556</v>
      </c>
      <c r="G801" s="53">
        <v>7034952</v>
      </c>
      <c r="H801" s="41">
        <v>0.44</v>
      </c>
      <c r="I801" s="41">
        <v>0.17</v>
      </c>
      <c r="J801" s="46">
        <v>1.2</v>
      </c>
      <c r="R801" s="76">
        <f t="shared" si="145"/>
        <v>106416</v>
      </c>
      <c r="S801" s="53">
        <v>26604</v>
      </c>
      <c r="T801" s="53">
        <v>1178.3</v>
      </c>
      <c r="U801" s="53">
        <v>4155</v>
      </c>
      <c r="AH801" s="53">
        <f t="shared" si="146"/>
        <v>6928536</v>
      </c>
      <c r="AM801" s="76">
        <f t="shared" si="149"/>
        <v>7034952</v>
      </c>
      <c r="AO801" s="53">
        <f t="shared" si="147"/>
        <v>3095378.88</v>
      </c>
      <c r="AP801" s="53">
        <f t="shared" si="147"/>
        <v>1195941.8400000001</v>
      </c>
      <c r="AQ801" s="53">
        <f t="shared" si="147"/>
        <v>8441942.4000000004</v>
      </c>
      <c r="AR801" s="53">
        <f t="shared" si="147"/>
        <v>0</v>
      </c>
      <c r="AS801" s="53">
        <f t="shared" si="147"/>
        <v>0</v>
      </c>
      <c r="AT801" s="53">
        <f t="shared" si="147"/>
        <v>0</v>
      </c>
      <c r="AU801" s="53">
        <f t="shared" si="147"/>
        <v>0</v>
      </c>
      <c r="AV801" s="53">
        <f t="shared" si="147"/>
        <v>0</v>
      </c>
      <c r="AW801" s="53">
        <f t="shared" si="147"/>
        <v>0</v>
      </c>
      <c r="AX801" s="53">
        <f t="shared" si="148"/>
        <v>703495200</v>
      </c>
      <c r="AY801" s="41" t="s">
        <v>557</v>
      </c>
    </row>
    <row r="802" spans="1:51" x14ac:dyDescent="0.2">
      <c r="A802" s="41" t="s">
        <v>129</v>
      </c>
      <c r="B802" s="41">
        <v>1980</v>
      </c>
      <c r="C802" s="41" t="s">
        <v>87</v>
      </c>
      <c r="D802" s="41" t="s">
        <v>88</v>
      </c>
      <c r="E802" s="41">
        <v>100</v>
      </c>
      <c r="F802" s="41" t="s">
        <v>556</v>
      </c>
      <c r="G802" s="53">
        <v>6612470</v>
      </c>
      <c r="H802" s="41">
        <v>0.46</v>
      </c>
      <c r="I802" s="41">
        <v>0.34</v>
      </c>
      <c r="J802" s="41">
        <v>1.47</v>
      </c>
      <c r="R802" s="76">
        <f t="shared" si="145"/>
        <v>105216</v>
      </c>
      <c r="S802" s="53">
        <v>26304</v>
      </c>
      <c r="T802" s="53">
        <v>1168.8</v>
      </c>
      <c r="U802" s="53">
        <v>4861</v>
      </c>
      <c r="AH802" s="53">
        <f t="shared" si="146"/>
        <v>6507254</v>
      </c>
      <c r="AM802" s="76">
        <f t="shared" si="149"/>
        <v>6612470</v>
      </c>
      <c r="AO802" s="53">
        <f t="shared" si="147"/>
        <v>3041736.2</v>
      </c>
      <c r="AP802" s="53">
        <f t="shared" si="147"/>
        <v>2248239.8000000003</v>
      </c>
      <c r="AQ802" s="53">
        <f t="shared" si="147"/>
        <v>9720330.9000000004</v>
      </c>
      <c r="AR802" s="53">
        <f t="shared" si="147"/>
        <v>0</v>
      </c>
      <c r="AS802" s="53">
        <f t="shared" si="147"/>
        <v>0</v>
      </c>
      <c r="AT802" s="53">
        <f t="shared" si="147"/>
        <v>0</v>
      </c>
      <c r="AU802" s="53">
        <f t="shared" si="147"/>
        <v>0</v>
      </c>
      <c r="AV802" s="53">
        <f t="shared" si="147"/>
        <v>0</v>
      </c>
      <c r="AW802" s="53">
        <f t="shared" si="147"/>
        <v>0</v>
      </c>
      <c r="AX802" s="53">
        <f t="shared" si="148"/>
        <v>661247000</v>
      </c>
      <c r="AY802" s="41" t="s">
        <v>557</v>
      </c>
    </row>
    <row r="803" spans="1:51" x14ac:dyDescent="0.2">
      <c r="A803" s="41" t="s">
        <v>129</v>
      </c>
      <c r="B803" s="41">
        <v>1981</v>
      </c>
      <c r="C803" s="41" t="s">
        <v>87</v>
      </c>
      <c r="D803" s="41" t="s">
        <v>88</v>
      </c>
      <c r="E803" s="41">
        <v>100</v>
      </c>
      <c r="F803" s="41" t="s">
        <v>556</v>
      </c>
      <c r="G803" s="53">
        <v>6863214</v>
      </c>
      <c r="H803" s="46">
        <v>0.4</v>
      </c>
      <c r="I803" s="41">
        <v>0.34</v>
      </c>
      <c r="J803" s="41">
        <v>1.37</v>
      </c>
      <c r="R803" s="76">
        <f t="shared" si="145"/>
        <v>93292</v>
      </c>
      <c r="S803" s="53">
        <v>23323</v>
      </c>
      <c r="T803" s="53">
        <v>821.5</v>
      </c>
      <c r="U803" s="53">
        <v>4527</v>
      </c>
      <c r="AH803" s="53">
        <f t="shared" si="146"/>
        <v>6769922</v>
      </c>
      <c r="AM803" s="76">
        <f t="shared" si="149"/>
        <v>6863214</v>
      </c>
      <c r="AO803" s="53">
        <f t="shared" si="147"/>
        <v>2745285.6</v>
      </c>
      <c r="AP803" s="53">
        <f t="shared" si="147"/>
        <v>2333492.7600000002</v>
      </c>
      <c r="AQ803" s="53">
        <f t="shared" si="147"/>
        <v>9402603.1800000016</v>
      </c>
      <c r="AR803" s="53">
        <f t="shared" si="147"/>
        <v>0</v>
      </c>
      <c r="AS803" s="53">
        <f t="shared" si="147"/>
        <v>0</v>
      </c>
      <c r="AT803" s="53">
        <f t="shared" si="147"/>
        <v>0</v>
      </c>
      <c r="AU803" s="53">
        <f t="shared" si="147"/>
        <v>0</v>
      </c>
      <c r="AV803" s="53">
        <f t="shared" si="147"/>
        <v>0</v>
      </c>
      <c r="AW803" s="53">
        <f t="shared" si="147"/>
        <v>0</v>
      </c>
      <c r="AX803" s="53">
        <f t="shared" si="148"/>
        <v>686321400</v>
      </c>
      <c r="AY803" s="41" t="s">
        <v>557</v>
      </c>
    </row>
    <row r="804" spans="1:51" x14ac:dyDescent="0.2">
      <c r="A804" s="41" t="s">
        <v>129</v>
      </c>
      <c r="B804" s="41">
        <v>1982</v>
      </c>
      <c r="C804" s="41" t="s">
        <v>87</v>
      </c>
      <c r="D804" s="41" t="s">
        <v>88</v>
      </c>
      <c r="E804" s="41">
        <v>100</v>
      </c>
      <c r="F804" s="41" t="s">
        <v>556</v>
      </c>
      <c r="G804" s="53">
        <v>6742833</v>
      </c>
      <c r="H804" s="41">
        <v>0.38</v>
      </c>
      <c r="I804" s="41">
        <v>0.34</v>
      </c>
      <c r="J804" s="41">
        <v>1.37</v>
      </c>
      <c r="R804" s="76">
        <f t="shared" si="145"/>
        <v>88992</v>
      </c>
      <c r="S804" s="53">
        <v>22248</v>
      </c>
      <c r="T804" s="53">
        <v>622.5</v>
      </c>
      <c r="U804" s="53">
        <v>5383</v>
      </c>
      <c r="AH804" s="53">
        <f t="shared" si="146"/>
        <v>6653841</v>
      </c>
      <c r="AM804" s="76">
        <f t="shared" si="149"/>
        <v>6742833</v>
      </c>
      <c r="AO804" s="53">
        <f t="shared" si="147"/>
        <v>2562276.54</v>
      </c>
      <c r="AP804" s="53">
        <f t="shared" si="147"/>
        <v>2292563.2200000002</v>
      </c>
      <c r="AQ804" s="53">
        <f t="shared" si="147"/>
        <v>9237681.2100000009</v>
      </c>
      <c r="AR804" s="53">
        <f t="shared" si="147"/>
        <v>0</v>
      </c>
      <c r="AS804" s="53">
        <f t="shared" si="147"/>
        <v>0</v>
      </c>
      <c r="AT804" s="53">
        <f t="shared" si="147"/>
        <v>0</v>
      </c>
      <c r="AU804" s="53">
        <f t="shared" si="147"/>
        <v>0</v>
      </c>
      <c r="AV804" s="53">
        <f t="shared" si="147"/>
        <v>0</v>
      </c>
      <c r="AW804" s="53">
        <f t="shared" si="147"/>
        <v>0</v>
      </c>
      <c r="AX804" s="53">
        <f t="shared" si="148"/>
        <v>674283300</v>
      </c>
      <c r="AY804" s="41" t="s">
        <v>557</v>
      </c>
    </row>
    <row r="805" spans="1:51" x14ac:dyDescent="0.2">
      <c r="A805" s="41" t="s">
        <v>129</v>
      </c>
      <c r="B805" s="41">
        <v>1983</v>
      </c>
      <c r="C805" s="41" t="s">
        <v>87</v>
      </c>
      <c r="D805" s="41" t="s">
        <v>88</v>
      </c>
      <c r="E805" s="41">
        <v>100</v>
      </c>
      <c r="F805" s="41" t="s">
        <v>556</v>
      </c>
      <c r="G805" s="53">
        <v>6809286</v>
      </c>
      <c r="H805" s="41">
        <v>0.36</v>
      </c>
      <c r="I805" s="41">
        <v>0.32</v>
      </c>
      <c r="J805" s="41">
        <v>1.23</v>
      </c>
      <c r="R805" s="76">
        <f t="shared" si="145"/>
        <v>86280</v>
      </c>
      <c r="S805" s="53">
        <v>21570</v>
      </c>
      <c r="T805" s="41">
        <v>587</v>
      </c>
      <c r="U805" s="53">
        <v>4907</v>
      </c>
      <c r="AH805" s="53">
        <f t="shared" si="146"/>
        <v>6723006</v>
      </c>
      <c r="AM805" s="76">
        <f t="shared" si="149"/>
        <v>6809286</v>
      </c>
      <c r="AO805" s="53">
        <f t="shared" si="147"/>
        <v>2451342.96</v>
      </c>
      <c r="AP805" s="53">
        <f t="shared" si="147"/>
        <v>2178971.52</v>
      </c>
      <c r="AQ805" s="53">
        <f t="shared" si="147"/>
        <v>8375421.7800000003</v>
      </c>
      <c r="AR805" s="53">
        <f t="shared" si="147"/>
        <v>0</v>
      </c>
      <c r="AS805" s="53">
        <f t="shared" si="147"/>
        <v>0</v>
      </c>
      <c r="AT805" s="53">
        <f t="shared" si="147"/>
        <v>0</v>
      </c>
      <c r="AU805" s="53">
        <f t="shared" si="147"/>
        <v>0</v>
      </c>
      <c r="AV805" s="53">
        <f t="shared" si="147"/>
        <v>0</v>
      </c>
      <c r="AW805" s="53">
        <f t="shared" si="147"/>
        <v>0</v>
      </c>
      <c r="AX805" s="53">
        <f t="shared" si="148"/>
        <v>680928600</v>
      </c>
      <c r="AY805" s="41" t="s">
        <v>557</v>
      </c>
    </row>
    <row r="806" spans="1:51" x14ac:dyDescent="0.2">
      <c r="A806" s="41" t="s">
        <v>129</v>
      </c>
      <c r="B806" s="41">
        <v>1984</v>
      </c>
      <c r="C806" s="41" t="s">
        <v>87</v>
      </c>
      <c r="D806" s="41" t="s">
        <v>88</v>
      </c>
      <c r="E806" s="41">
        <v>100</v>
      </c>
      <c r="F806" s="41" t="s">
        <v>556</v>
      </c>
      <c r="G806" s="53">
        <v>6516308</v>
      </c>
      <c r="H806" s="41">
        <v>0.39</v>
      </c>
      <c r="I806" s="41">
        <v>0.17</v>
      </c>
      <c r="J806" s="41">
        <v>1.92</v>
      </c>
      <c r="R806" s="76">
        <f t="shared" si="145"/>
        <v>86708</v>
      </c>
      <c r="S806" s="53">
        <v>21677</v>
      </c>
      <c r="T806" s="41">
        <v>525</v>
      </c>
      <c r="U806" s="53">
        <v>6250</v>
      </c>
      <c r="AH806" s="53">
        <f t="shared" si="146"/>
        <v>6429600</v>
      </c>
      <c r="AM806" s="76">
        <f t="shared" si="149"/>
        <v>6516308</v>
      </c>
      <c r="AO806" s="53">
        <f t="shared" si="147"/>
        <v>2541360.12</v>
      </c>
      <c r="AP806" s="53">
        <f t="shared" si="147"/>
        <v>1107772.3600000001</v>
      </c>
      <c r="AQ806" s="53">
        <f t="shared" si="147"/>
        <v>12511311.359999999</v>
      </c>
      <c r="AR806" s="53">
        <f t="shared" si="147"/>
        <v>0</v>
      </c>
      <c r="AS806" s="53">
        <f t="shared" si="147"/>
        <v>0</v>
      </c>
      <c r="AT806" s="53">
        <f t="shared" si="147"/>
        <v>0</v>
      </c>
      <c r="AU806" s="53">
        <f t="shared" si="147"/>
        <v>0</v>
      </c>
      <c r="AV806" s="53">
        <f t="shared" si="147"/>
        <v>0</v>
      </c>
      <c r="AW806" s="53">
        <f t="shared" si="147"/>
        <v>0</v>
      </c>
      <c r="AX806" s="53">
        <f t="shared" si="148"/>
        <v>651630800</v>
      </c>
      <c r="AY806" s="41" t="s">
        <v>557</v>
      </c>
    </row>
    <row r="807" spans="1:51" x14ac:dyDescent="0.2">
      <c r="A807" s="41" t="s">
        <v>129</v>
      </c>
      <c r="B807" s="41">
        <v>1985</v>
      </c>
      <c r="C807" s="41" t="s">
        <v>87</v>
      </c>
      <c r="D807" s="41" t="s">
        <v>88</v>
      </c>
      <c r="E807" s="41">
        <v>100</v>
      </c>
      <c r="F807" s="41" t="s">
        <v>556</v>
      </c>
      <c r="G807" s="53">
        <v>6884343</v>
      </c>
      <c r="H807" s="41">
        <v>0.42</v>
      </c>
      <c r="I807" s="41">
        <v>0.16</v>
      </c>
      <c r="J807" s="41">
        <v>2.4</v>
      </c>
      <c r="R807" s="76">
        <f t="shared" si="145"/>
        <v>95600</v>
      </c>
      <c r="S807" s="53">
        <v>23900</v>
      </c>
      <c r="T807" s="41">
        <v>540</v>
      </c>
      <c r="U807" s="53">
        <v>8293</v>
      </c>
      <c r="AH807" s="53">
        <f t="shared" si="146"/>
        <v>6788743</v>
      </c>
      <c r="AM807" s="76">
        <f t="shared" si="149"/>
        <v>6884343</v>
      </c>
      <c r="AO807" s="53">
        <f t="shared" si="147"/>
        <v>2891424.06</v>
      </c>
      <c r="AP807" s="53">
        <f t="shared" si="147"/>
        <v>1101494.8800000001</v>
      </c>
      <c r="AQ807" s="53">
        <f t="shared" si="147"/>
        <v>16522423.199999999</v>
      </c>
      <c r="AR807" s="53">
        <f t="shared" si="147"/>
        <v>0</v>
      </c>
      <c r="AS807" s="53">
        <f t="shared" si="147"/>
        <v>0</v>
      </c>
      <c r="AT807" s="53">
        <f t="shared" si="147"/>
        <v>0</v>
      </c>
      <c r="AU807" s="53">
        <f t="shared" si="147"/>
        <v>0</v>
      </c>
      <c r="AV807" s="53">
        <f t="shared" si="147"/>
        <v>0</v>
      </c>
      <c r="AW807" s="53">
        <f t="shared" si="147"/>
        <v>0</v>
      </c>
      <c r="AX807" s="53">
        <f t="shared" si="148"/>
        <v>688434300</v>
      </c>
      <c r="AY807" s="41" t="s">
        <v>557</v>
      </c>
    </row>
    <row r="808" spans="1:51" x14ac:dyDescent="0.2">
      <c r="A808" s="41" t="s">
        <v>129</v>
      </c>
      <c r="B808" s="41">
        <v>1986</v>
      </c>
      <c r="C808" s="41" t="s">
        <v>87</v>
      </c>
      <c r="D808" s="41" t="s">
        <v>88</v>
      </c>
      <c r="E808" s="41">
        <v>100</v>
      </c>
      <c r="F808" s="41" t="s">
        <v>556</v>
      </c>
      <c r="G808" s="53">
        <v>7011236</v>
      </c>
      <c r="H808" s="41">
        <v>0.44</v>
      </c>
      <c r="I808" s="41">
        <v>0.14000000000000001</v>
      </c>
      <c r="J808" s="41">
        <v>3.5</v>
      </c>
      <c r="R808" s="76">
        <f t="shared" si="145"/>
        <v>96244</v>
      </c>
      <c r="S808" s="53">
        <v>24061</v>
      </c>
      <c r="T808" s="41">
        <v>477</v>
      </c>
      <c r="U808" s="53">
        <v>12434</v>
      </c>
      <c r="AH808" s="53">
        <f t="shared" si="146"/>
        <v>6914992</v>
      </c>
      <c r="AM808" s="76">
        <f t="shared" si="149"/>
        <v>7011236</v>
      </c>
      <c r="AO808" s="53">
        <f t="shared" si="147"/>
        <v>3084943.84</v>
      </c>
      <c r="AP808" s="53">
        <f t="shared" si="147"/>
        <v>981573.04</v>
      </c>
      <c r="AQ808" s="53">
        <f t="shared" si="147"/>
        <v>24539326</v>
      </c>
      <c r="AR808" s="53">
        <f t="shared" si="147"/>
        <v>0</v>
      </c>
      <c r="AS808" s="53">
        <f t="shared" si="147"/>
        <v>0</v>
      </c>
      <c r="AT808" s="53">
        <f t="shared" si="147"/>
        <v>0</v>
      </c>
      <c r="AU808" s="53">
        <f t="shared" si="147"/>
        <v>0</v>
      </c>
      <c r="AV808" s="53">
        <f t="shared" si="147"/>
        <v>0</v>
      </c>
      <c r="AW808" s="53">
        <f t="shared" si="147"/>
        <v>0</v>
      </c>
      <c r="AX808" s="53">
        <f t="shared" si="148"/>
        <v>701123600</v>
      </c>
      <c r="AY808" s="41" t="s">
        <v>557</v>
      </c>
    </row>
    <row r="809" spans="1:51" x14ac:dyDescent="0.2">
      <c r="A809" s="41" t="s">
        <v>129</v>
      </c>
      <c r="B809" s="41">
        <v>1987</v>
      </c>
      <c r="C809" s="41" t="s">
        <v>87</v>
      </c>
      <c r="D809" s="41" t="s">
        <v>88</v>
      </c>
      <c r="E809" s="41">
        <v>100</v>
      </c>
      <c r="F809" s="41" t="s">
        <v>556</v>
      </c>
      <c r="G809" s="53">
        <v>6842429</v>
      </c>
      <c r="H809" s="59">
        <v>0.44</v>
      </c>
      <c r="I809" s="41">
        <v>0.13</v>
      </c>
      <c r="J809" s="41">
        <v>3.43</v>
      </c>
      <c r="R809" s="76">
        <f t="shared" si="145"/>
        <v>93408</v>
      </c>
      <c r="S809" s="53">
        <v>23352</v>
      </c>
      <c r="T809" s="41">
        <v>10</v>
      </c>
      <c r="U809" s="53">
        <v>11730</v>
      </c>
      <c r="AH809" s="53">
        <f t="shared" si="146"/>
        <v>6749021</v>
      </c>
      <c r="AM809" s="76">
        <f t="shared" si="149"/>
        <v>6842429</v>
      </c>
      <c r="AO809" s="53">
        <f t="shared" si="147"/>
        <v>3010668.7600000002</v>
      </c>
      <c r="AP809" s="53">
        <f t="shared" si="147"/>
        <v>889515.77</v>
      </c>
      <c r="AQ809" s="53">
        <f t="shared" si="147"/>
        <v>23469531.470000003</v>
      </c>
      <c r="AR809" s="53">
        <f t="shared" si="147"/>
        <v>0</v>
      </c>
      <c r="AS809" s="53">
        <f t="shared" si="147"/>
        <v>0</v>
      </c>
      <c r="AT809" s="53">
        <f t="shared" si="147"/>
        <v>0</v>
      </c>
      <c r="AU809" s="53">
        <f t="shared" si="147"/>
        <v>0</v>
      </c>
      <c r="AV809" s="53">
        <f t="shared" si="147"/>
        <v>0</v>
      </c>
      <c r="AW809" s="53">
        <f t="shared" si="147"/>
        <v>0</v>
      </c>
      <c r="AX809" s="53">
        <f t="shared" si="148"/>
        <v>684242900</v>
      </c>
      <c r="AY809" s="41" t="s">
        <v>557</v>
      </c>
    </row>
    <row r="810" spans="1:51" x14ac:dyDescent="0.2">
      <c r="A810" s="41" t="s">
        <v>129</v>
      </c>
      <c r="B810" s="41">
        <v>1988</v>
      </c>
      <c r="C810" s="41" t="s">
        <v>87</v>
      </c>
      <c r="D810" s="41" t="s">
        <v>88</v>
      </c>
      <c r="E810" s="41">
        <v>100</v>
      </c>
      <c r="F810" s="41" t="s">
        <v>556</v>
      </c>
      <c r="G810" s="53">
        <v>7189439</v>
      </c>
      <c r="H810" s="46">
        <v>0.5</v>
      </c>
      <c r="I810" s="41">
        <v>0.15</v>
      </c>
      <c r="J810" s="41">
        <v>3.53</v>
      </c>
      <c r="R810" s="76">
        <f t="shared" si="145"/>
        <v>113148</v>
      </c>
      <c r="S810" s="53">
        <v>28287</v>
      </c>
      <c r="T810" s="41">
        <v>525</v>
      </c>
      <c r="U810" s="53">
        <v>12672</v>
      </c>
      <c r="AH810" s="53">
        <f t="shared" si="146"/>
        <v>7076291</v>
      </c>
      <c r="AM810" s="76">
        <f t="shared" si="149"/>
        <v>7189439</v>
      </c>
      <c r="AO810" s="53">
        <f t="shared" si="147"/>
        <v>3594719.5</v>
      </c>
      <c r="AP810" s="53">
        <f t="shared" si="147"/>
        <v>1078415.8499999999</v>
      </c>
      <c r="AQ810" s="53">
        <f t="shared" si="147"/>
        <v>25378719.669999998</v>
      </c>
      <c r="AR810" s="53">
        <f t="shared" si="147"/>
        <v>0</v>
      </c>
      <c r="AS810" s="53">
        <f t="shared" si="147"/>
        <v>0</v>
      </c>
      <c r="AT810" s="53">
        <f t="shared" si="147"/>
        <v>0</v>
      </c>
      <c r="AU810" s="53">
        <f t="shared" si="147"/>
        <v>0</v>
      </c>
      <c r="AV810" s="53">
        <f t="shared" si="147"/>
        <v>0</v>
      </c>
      <c r="AW810" s="53">
        <f t="shared" si="147"/>
        <v>0</v>
      </c>
      <c r="AX810" s="53">
        <f t="shared" si="148"/>
        <v>718943900</v>
      </c>
      <c r="AY810" s="41" t="s">
        <v>557</v>
      </c>
    </row>
    <row r="811" spans="1:51" x14ac:dyDescent="0.2">
      <c r="A811" s="41" t="s">
        <v>129</v>
      </c>
      <c r="B811" s="41">
        <v>1989</v>
      </c>
      <c r="C811" s="41" t="s">
        <v>87</v>
      </c>
      <c r="D811" s="41" t="s">
        <v>88</v>
      </c>
      <c r="E811" s="41">
        <v>100</v>
      </c>
      <c r="F811" s="41" t="s">
        <v>556</v>
      </c>
      <c r="G811" s="53">
        <v>7540520</v>
      </c>
      <c r="H811" s="59">
        <v>0.46</v>
      </c>
      <c r="I811" s="41">
        <v>0.15</v>
      </c>
      <c r="J811" s="41">
        <v>3.53</v>
      </c>
      <c r="R811" s="76">
        <f t="shared" si="145"/>
        <v>105320</v>
      </c>
      <c r="S811" s="53">
        <v>26330</v>
      </c>
      <c r="T811" s="41">
        <v>538</v>
      </c>
      <c r="U811" s="53">
        <v>13442</v>
      </c>
      <c r="AH811" s="53">
        <f t="shared" si="146"/>
        <v>7435200</v>
      </c>
      <c r="AM811" s="76">
        <f t="shared" si="149"/>
        <v>7540520</v>
      </c>
      <c r="AO811" s="53">
        <f t="shared" si="147"/>
        <v>3468639.2</v>
      </c>
      <c r="AP811" s="53">
        <f t="shared" si="147"/>
        <v>1131078</v>
      </c>
      <c r="AQ811" s="53">
        <f t="shared" si="147"/>
        <v>26618035.599999998</v>
      </c>
      <c r="AR811" s="53">
        <f t="shared" si="147"/>
        <v>0</v>
      </c>
      <c r="AS811" s="53">
        <f t="shared" si="147"/>
        <v>0</v>
      </c>
      <c r="AT811" s="53">
        <f t="shared" si="147"/>
        <v>0</v>
      </c>
      <c r="AU811" s="53">
        <f t="shared" si="147"/>
        <v>0</v>
      </c>
      <c r="AV811" s="53">
        <f t="shared" si="147"/>
        <v>0</v>
      </c>
      <c r="AW811" s="53">
        <f t="shared" si="147"/>
        <v>0</v>
      </c>
      <c r="AX811" s="53">
        <f t="shared" si="148"/>
        <v>754052000</v>
      </c>
      <c r="AY811" s="41" t="s">
        <v>557</v>
      </c>
    </row>
    <row r="812" spans="1:51" x14ac:dyDescent="0.2">
      <c r="A812" s="41" t="s">
        <v>129</v>
      </c>
      <c r="B812" s="41">
        <v>1990</v>
      </c>
      <c r="C812" s="41" t="s">
        <v>87</v>
      </c>
      <c r="D812" s="41" t="s">
        <v>88</v>
      </c>
      <c r="E812" s="41">
        <v>100</v>
      </c>
      <c r="F812" s="41" t="s">
        <v>556</v>
      </c>
      <c r="G812" s="53">
        <v>6750362</v>
      </c>
      <c r="H812" s="46">
        <v>0.5</v>
      </c>
      <c r="I812" s="41">
        <v>0.13</v>
      </c>
      <c r="J812" s="41">
        <v>2.95</v>
      </c>
      <c r="R812" s="76">
        <f t="shared" si="145"/>
        <v>102412</v>
      </c>
      <c r="S812" s="53">
        <v>25603</v>
      </c>
      <c r="T812" s="41">
        <v>431</v>
      </c>
      <c r="U812" s="53">
        <v>9938</v>
      </c>
      <c r="AH812" s="53">
        <f t="shared" si="146"/>
        <v>6647950</v>
      </c>
      <c r="AM812" s="76">
        <f t="shared" si="149"/>
        <v>6750362</v>
      </c>
      <c r="AO812" s="53">
        <f t="shared" si="147"/>
        <v>3375181</v>
      </c>
      <c r="AP812" s="53">
        <f t="shared" si="147"/>
        <v>877547.06</v>
      </c>
      <c r="AQ812" s="53">
        <f t="shared" si="147"/>
        <v>19913567.900000002</v>
      </c>
      <c r="AR812" s="53">
        <f t="shared" si="147"/>
        <v>0</v>
      </c>
      <c r="AS812" s="53">
        <f t="shared" si="147"/>
        <v>0</v>
      </c>
      <c r="AT812" s="53">
        <f t="shared" si="147"/>
        <v>0</v>
      </c>
      <c r="AU812" s="53">
        <f t="shared" si="147"/>
        <v>0</v>
      </c>
      <c r="AV812" s="53">
        <f t="shared" si="147"/>
        <v>0</v>
      </c>
      <c r="AW812" s="53">
        <f t="shared" si="147"/>
        <v>0</v>
      </c>
      <c r="AX812" s="53">
        <f t="shared" si="148"/>
        <v>675036200</v>
      </c>
      <c r="AY812" s="41" t="s">
        <v>557</v>
      </c>
    </row>
    <row r="813" spans="1:51" x14ac:dyDescent="0.2">
      <c r="A813" s="41" t="s">
        <v>129</v>
      </c>
      <c r="B813" s="41">
        <v>1991</v>
      </c>
      <c r="C813" s="41" t="s">
        <v>87</v>
      </c>
      <c r="D813" s="41" t="s">
        <v>88</v>
      </c>
      <c r="E813" s="41">
        <v>100</v>
      </c>
      <c r="F813" s="41" t="s">
        <v>556</v>
      </c>
      <c r="G813" s="53">
        <v>3850999</v>
      </c>
      <c r="H813" s="41">
        <v>0.48</v>
      </c>
      <c r="I813" s="41">
        <v>0.13</v>
      </c>
      <c r="J813" s="41">
        <v>2.95</v>
      </c>
      <c r="R813" s="76">
        <f t="shared" si="145"/>
        <v>58044</v>
      </c>
      <c r="S813" s="53">
        <v>14511</v>
      </c>
      <c r="T813" s="41">
        <v>237</v>
      </c>
      <c r="U813" s="53">
        <v>5703</v>
      </c>
      <c r="AH813" s="53">
        <f t="shared" si="146"/>
        <v>3792955</v>
      </c>
      <c r="AM813" s="76">
        <f t="shared" si="149"/>
        <v>3850999</v>
      </c>
      <c r="AO813" s="53">
        <f t="shared" si="147"/>
        <v>1848479.52</v>
      </c>
      <c r="AP813" s="53">
        <f t="shared" si="147"/>
        <v>500629.87</v>
      </c>
      <c r="AQ813" s="53">
        <f t="shared" si="147"/>
        <v>11360447.050000001</v>
      </c>
      <c r="AR813" s="53">
        <f t="shared" si="147"/>
        <v>0</v>
      </c>
      <c r="AS813" s="53">
        <f t="shared" si="147"/>
        <v>0</v>
      </c>
      <c r="AT813" s="53">
        <f t="shared" si="147"/>
        <v>0</v>
      </c>
      <c r="AU813" s="53">
        <f t="shared" si="147"/>
        <v>0</v>
      </c>
      <c r="AV813" s="53">
        <f t="shared" si="147"/>
        <v>0</v>
      </c>
      <c r="AW813" s="53">
        <f t="shared" si="147"/>
        <v>0</v>
      </c>
      <c r="AX813" s="53">
        <f t="shared" si="148"/>
        <v>385099900</v>
      </c>
      <c r="AY813" s="41" t="s">
        <v>557</v>
      </c>
    </row>
    <row r="814" spans="1:51" x14ac:dyDescent="0.2">
      <c r="A814" s="41" t="s">
        <v>129</v>
      </c>
      <c r="B814" s="41">
        <v>1992</v>
      </c>
      <c r="C814" s="41" t="s">
        <v>87</v>
      </c>
      <c r="D814" s="41" t="s">
        <v>88</v>
      </c>
      <c r="E814" s="41">
        <v>100</v>
      </c>
      <c r="F814" s="41" t="s">
        <v>556</v>
      </c>
      <c r="G814" s="53">
        <v>7377226</v>
      </c>
      <c r="H814" s="42">
        <v>0.45</v>
      </c>
      <c r="I814" s="41">
        <v>0.14000000000000001</v>
      </c>
      <c r="J814" s="41">
        <v>2.74</v>
      </c>
      <c r="R814" s="76">
        <f t="shared" si="145"/>
        <v>102516</v>
      </c>
      <c r="S814" s="53">
        <v>25629</v>
      </c>
      <c r="T814" s="41">
        <v>516</v>
      </c>
      <c r="U814" s="53">
        <v>10138</v>
      </c>
      <c r="AH814" s="53">
        <f t="shared" si="146"/>
        <v>7274710</v>
      </c>
      <c r="AM814" s="53">
        <v>8008761.5999999996</v>
      </c>
      <c r="AO814" s="53">
        <f t="shared" si="147"/>
        <v>3319751.7</v>
      </c>
      <c r="AP814" s="53">
        <f t="shared" si="147"/>
        <v>1032811.6400000001</v>
      </c>
      <c r="AQ814" s="53">
        <f t="shared" si="147"/>
        <v>20213599.240000002</v>
      </c>
      <c r="AR814" s="53">
        <f t="shared" si="147"/>
        <v>0</v>
      </c>
      <c r="AS814" s="53">
        <f t="shared" si="147"/>
        <v>0</v>
      </c>
      <c r="AT814" s="53">
        <f t="shared" si="147"/>
        <v>0</v>
      </c>
      <c r="AU814" s="53">
        <f t="shared" si="147"/>
        <v>0</v>
      </c>
      <c r="AV814" s="53">
        <f t="shared" si="147"/>
        <v>0</v>
      </c>
      <c r="AW814" s="53">
        <f t="shared" si="147"/>
        <v>0</v>
      </c>
      <c r="AX814" s="53">
        <f t="shared" si="148"/>
        <v>737722600</v>
      </c>
      <c r="AY814" s="41" t="s">
        <v>557</v>
      </c>
    </row>
    <row r="815" spans="1:51" x14ac:dyDescent="0.2">
      <c r="A815" s="41" t="s">
        <v>129</v>
      </c>
      <c r="B815" s="41">
        <v>1993</v>
      </c>
      <c r="C815" s="41" t="s">
        <v>87</v>
      </c>
      <c r="D815" s="41" t="s">
        <v>88</v>
      </c>
      <c r="E815" s="41">
        <v>100</v>
      </c>
      <c r="F815" s="41" t="s">
        <v>556</v>
      </c>
      <c r="G815" s="53">
        <v>6727682</v>
      </c>
      <c r="H815" s="42">
        <v>0.45</v>
      </c>
      <c r="I815" s="41">
        <v>0.13</v>
      </c>
      <c r="J815" s="41">
        <v>3.43</v>
      </c>
      <c r="R815" s="76">
        <f t="shared" si="145"/>
        <v>94288</v>
      </c>
      <c r="S815" s="53">
        <v>23572</v>
      </c>
      <c r="T815" s="41">
        <v>443</v>
      </c>
      <c r="U815" s="53">
        <v>11525</v>
      </c>
      <c r="AH815" s="53">
        <f t="shared" si="146"/>
        <v>6633394</v>
      </c>
      <c r="AM815" s="53">
        <v>5944881.5999999996</v>
      </c>
      <c r="AO815" s="53">
        <f t="shared" si="147"/>
        <v>3027456.9</v>
      </c>
      <c r="AP815" s="53">
        <f t="shared" si="147"/>
        <v>874598.66</v>
      </c>
      <c r="AQ815" s="53">
        <f t="shared" si="147"/>
        <v>23075949.260000002</v>
      </c>
      <c r="AR815" s="53">
        <f t="shared" si="147"/>
        <v>0</v>
      </c>
      <c r="AS815" s="53">
        <f t="shared" si="147"/>
        <v>0</v>
      </c>
      <c r="AT815" s="53">
        <f t="shared" si="147"/>
        <v>0</v>
      </c>
      <c r="AU815" s="53">
        <f t="shared" si="147"/>
        <v>0</v>
      </c>
      <c r="AV815" s="53">
        <f t="shared" si="147"/>
        <v>0</v>
      </c>
      <c r="AW815" s="53">
        <f t="shared" si="147"/>
        <v>0</v>
      </c>
      <c r="AX815" s="53">
        <f t="shared" si="148"/>
        <v>672768200</v>
      </c>
      <c r="AY815" s="41" t="s">
        <v>557</v>
      </c>
    </row>
    <row r="816" spans="1:51" x14ac:dyDescent="0.2">
      <c r="A816" s="41" t="s">
        <v>129</v>
      </c>
      <c r="B816" s="41">
        <v>1994</v>
      </c>
      <c r="C816" s="41" t="s">
        <v>87</v>
      </c>
      <c r="D816" s="41" t="s">
        <v>88</v>
      </c>
      <c r="E816" s="41">
        <v>100</v>
      </c>
      <c r="F816" s="41" t="s">
        <v>556</v>
      </c>
      <c r="G816" s="53">
        <v>2752400</v>
      </c>
      <c r="H816" s="41">
        <v>0.26500000000000001</v>
      </c>
      <c r="I816" s="41">
        <v>0.17</v>
      </c>
      <c r="J816" s="41">
        <v>0.74</v>
      </c>
      <c r="R816" s="76">
        <f t="shared" si="145"/>
        <v>22260</v>
      </c>
      <c r="S816" s="53">
        <v>5565</v>
      </c>
      <c r="T816" s="41">
        <v>230</v>
      </c>
      <c r="U816" s="53">
        <v>1021</v>
      </c>
      <c r="AH816" s="53">
        <f t="shared" si="146"/>
        <v>2730140</v>
      </c>
      <c r="AM816" s="76">
        <f>1*G816</f>
        <v>2752400</v>
      </c>
      <c r="AO816" s="53">
        <f t="shared" si="147"/>
        <v>729386</v>
      </c>
      <c r="AP816" s="53">
        <f t="shared" si="147"/>
        <v>467908.00000000006</v>
      </c>
      <c r="AQ816" s="53">
        <f t="shared" si="147"/>
        <v>2036776</v>
      </c>
      <c r="AR816" s="53">
        <f t="shared" si="147"/>
        <v>0</v>
      </c>
      <c r="AS816" s="53">
        <f t="shared" si="147"/>
        <v>0</v>
      </c>
      <c r="AT816" s="53">
        <f t="shared" si="147"/>
        <v>0</v>
      </c>
      <c r="AU816" s="53">
        <f t="shared" si="147"/>
        <v>0</v>
      </c>
      <c r="AV816" s="53">
        <f t="shared" si="147"/>
        <v>0</v>
      </c>
      <c r="AW816" s="53">
        <f t="shared" si="147"/>
        <v>0</v>
      </c>
      <c r="AX816" s="53">
        <f t="shared" si="148"/>
        <v>275240000</v>
      </c>
      <c r="AY816" s="41" t="s">
        <v>557</v>
      </c>
    </row>
    <row r="817" spans="1:51" x14ac:dyDescent="0.2">
      <c r="A817" s="41" t="s">
        <v>129</v>
      </c>
      <c r="B817" s="41">
        <v>1995</v>
      </c>
      <c r="C817" s="41" t="s">
        <v>87</v>
      </c>
      <c r="D817" s="41" t="s">
        <v>88</v>
      </c>
      <c r="E817" s="41">
        <v>100</v>
      </c>
      <c r="F817" s="41" t="s">
        <v>556</v>
      </c>
      <c r="G817" s="53">
        <v>8126561</v>
      </c>
      <c r="H817" s="42">
        <v>0.27</v>
      </c>
      <c r="I817" s="41">
        <v>0.18</v>
      </c>
      <c r="J817" s="41">
        <v>0.72</v>
      </c>
      <c r="R817" s="76">
        <f t="shared" si="145"/>
        <v>68372</v>
      </c>
      <c r="S817" s="53">
        <v>17093</v>
      </c>
      <c r="T817" s="41">
        <v>737</v>
      </c>
      <c r="U817" s="53">
        <v>2972</v>
      </c>
      <c r="AH817" s="53">
        <f t="shared" si="146"/>
        <v>8058189</v>
      </c>
      <c r="AM817" s="53">
        <v>7216776</v>
      </c>
      <c r="AO817" s="53">
        <f t="shared" si="147"/>
        <v>2194171.4700000002</v>
      </c>
      <c r="AP817" s="53">
        <f t="shared" si="147"/>
        <v>1462780.98</v>
      </c>
      <c r="AQ817" s="53">
        <f t="shared" si="147"/>
        <v>5851123.9199999999</v>
      </c>
      <c r="AR817" s="53">
        <f t="shared" si="147"/>
        <v>0</v>
      </c>
      <c r="AS817" s="53">
        <f t="shared" si="147"/>
        <v>0</v>
      </c>
      <c r="AT817" s="53">
        <f t="shared" si="147"/>
        <v>0</v>
      </c>
      <c r="AU817" s="53">
        <f t="shared" si="147"/>
        <v>0</v>
      </c>
      <c r="AV817" s="53">
        <f t="shared" si="147"/>
        <v>0</v>
      </c>
      <c r="AW817" s="53">
        <f t="shared" si="147"/>
        <v>0</v>
      </c>
      <c r="AX817" s="53">
        <f t="shared" si="148"/>
        <v>812656100</v>
      </c>
      <c r="AY817" s="41" t="s">
        <v>557</v>
      </c>
    </row>
    <row r="818" spans="1:51" x14ac:dyDescent="0.2">
      <c r="A818" s="41" t="s">
        <v>129</v>
      </c>
      <c r="B818" s="41">
        <v>1996</v>
      </c>
      <c r="C818" s="41" t="s">
        <v>87</v>
      </c>
      <c r="D818" s="41" t="s">
        <v>88</v>
      </c>
      <c r="E818" s="41">
        <v>100</v>
      </c>
      <c r="F818" s="41" t="s">
        <v>556</v>
      </c>
      <c r="G818" s="53">
        <v>6490108.7999999998</v>
      </c>
      <c r="H818" s="41">
        <v>0.33100000000000002</v>
      </c>
      <c r="I818" s="56">
        <v>0.18798333036676776</v>
      </c>
      <c r="J818" s="56">
        <v>0.54623271235966553</v>
      </c>
      <c r="R818" s="76">
        <f t="shared" si="145"/>
        <v>73718.588406060066</v>
      </c>
      <c r="S818" s="53">
        <v>18429.647101515016</v>
      </c>
      <c r="T818" s="53">
        <v>915.02420000000006</v>
      </c>
      <c r="U818" s="53">
        <v>2658.8323000000005</v>
      </c>
      <c r="AH818" s="53">
        <f t="shared" si="146"/>
        <v>6416390.2115939399</v>
      </c>
      <c r="AM818" s="53">
        <v>4364539.2</v>
      </c>
      <c r="AO818" s="53">
        <f t="shared" si="147"/>
        <v>2148226.0128000001</v>
      </c>
      <c r="AP818" s="53">
        <f t="shared" si="147"/>
        <v>1220032.2666666666</v>
      </c>
      <c r="AQ818" s="53">
        <f t="shared" si="147"/>
        <v>3545109.7333333339</v>
      </c>
      <c r="AR818" s="53">
        <f t="shared" si="147"/>
        <v>0</v>
      </c>
      <c r="AS818" s="53">
        <f t="shared" si="147"/>
        <v>0</v>
      </c>
      <c r="AT818" s="53">
        <f t="shared" si="147"/>
        <v>0</v>
      </c>
      <c r="AU818" s="53">
        <f t="shared" si="147"/>
        <v>0</v>
      </c>
      <c r="AV818" s="53">
        <f t="shared" si="147"/>
        <v>0</v>
      </c>
      <c r="AW818" s="53">
        <f t="shared" si="147"/>
        <v>0</v>
      </c>
      <c r="AX818" s="53">
        <f t="shared" si="148"/>
        <v>649010880</v>
      </c>
      <c r="AY818" s="41" t="s">
        <v>557</v>
      </c>
    </row>
    <row r="819" spans="1:51" x14ac:dyDescent="0.2">
      <c r="A819" s="41" t="s">
        <v>129</v>
      </c>
      <c r="B819" s="41">
        <v>2011</v>
      </c>
      <c r="C819" s="41" t="s">
        <v>87</v>
      </c>
      <c r="D819" s="41" t="s">
        <v>88</v>
      </c>
      <c r="E819" s="41">
        <v>100</v>
      </c>
      <c r="F819" s="41" t="s">
        <v>556</v>
      </c>
      <c r="G819" s="53">
        <v>3566000</v>
      </c>
      <c r="H819" s="41">
        <v>0.37</v>
      </c>
      <c r="I819" s="56">
        <v>0.13603415591699383</v>
      </c>
      <c r="J819" s="54">
        <v>2.8227218171620865</v>
      </c>
      <c r="R819" s="76">
        <f t="shared" si="145"/>
        <v>40148.779824004356</v>
      </c>
      <c r="S819" s="53">
        <v>10037.194956001089</v>
      </c>
      <c r="T819" s="53">
        <v>242.54890000000003</v>
      </c>
      <c r="U819" s="53">
        <v>5032.9129999999996</v>
      </c>
      <c r="AH819" s="53">
        <f t="shared" si="146"/>
        <v>3525851.2201759955</v>
      </c>
      <c r="AM819" s="53">
        <v>31196000</v>
      </c>
      <c r="AO819" s="53">
        <f t="shared" ref="AO819:AW821" si="150">$G819*H819</f>
        <v>1319420</v>
      </c>
      <c r="AP819" s="53">
        <f t="shared" si="150"/>
        <v>485097.8</v>
      </c>
      <c r="AQ819" s="53">
        <f t="shared" si="150"/>
        <v>10065826</v>
      </c>
      <c r="AR819" s="53">
        <f t="shared" si="150"/>
        <v>0</v>
      </c>
      <c r="AS819" s="53">
        <f t="shared" si="150"/>
        <v>0</v>
      </c>
      <c r="AT819" s="53">
        <f t="shared" si="150"/>
        <v>0</v>
      </c>
      <c r="AU819" s="53">
        <f t="shared" si="150"/>
        <v>0</v>
      </c>
      <c r="AV819" s="53">
        <f t="shared" si="150"/>
        <v>0</v>
      </c>
      <c r="AW819" s="53">
        <f t="shared" si="150"/>
        <v>0</v>
      </c>
      <c r="AX819" s="53">
        <f t="shared" si="148"/>
        <v>356600000</v>
      </c>
      <c r="AY819" s="41" t="s">
        <v>557</v>
      </c>
    </row>
    <row r="820" spans="1:51" x14ac:dyDescent="0.2">
      <c r="A820" s="41" t="s">
        <v>129</v>
      </c>
      <c r="B820" s="41">
        <v>2012</v>
      </c>
      <c r="C820" s="41" t="s">
        <v>87</v>
      </c>
      <c r="D820" s="41" t="s">
        <v>88</v>
      </c>
      <c r="E820" s="41">
        <v>100</v>
      </c>
      <c r="F820" s="41" t="s">
        <v>556</v>
      </c>
      <c r="G820" s="53">
        <v>9427000</v>
      </c>
      <c r="H820" s="41">
        <v>0.34</v>
      </c>
      <c r="I820" s="56">
        <v>0.12452536331812879</v>
      </c>
      <c r="J820" s="54">
        <v>2.3346674657897526</v>
      </c>
      <c r="R820" s="76">
        <f t="shared" si="145"/>
        <v>102694.36632495691</v>
      </c>
      <c r="S820" s="53">
        <v>25673.591581239227</v>
      </c>
      <c r="T820" s="53">
        <v>586.95030000000008</v>
      </c>
      <c r="U820" s="53">
        <v>11004.455099999999</v>
      </c>
      <c r="AH820" s="53">
        <f t="shared" si="146"/>
        <v>9324305.6336750425</v>
      </c>
      <c r="AM820" s="53">
        <v>42474000</v>
      </c>
      <c r="AO820" s="53">
        <f t="shared" si="150"/>
        <v>3205180</v>
      </c>
      <c r="AP820" s="53">
        <f t="shared" si="150"/>
        <v>1173900.6000000001</v>
      </c>
      <c r="AQ820" s="53">
        <f t="shared" si="150"/>
        <v>22008910.199999999</v>
      </c>
      <c r="AR820" s="53">
        <f t="shared" si="150"/>
        <v>0</v>
      </c>
      <c r="AS820" s="53">
        <f t="shared" si="150"/>
        <v>0</v>
      </c>
      <c r="AT820" s="53">
        <f t="shared" si="150"/>
        <v>0</v>
      </c>
      <c r="AU820" s="53">
        <f t="shared" si="150"/>
        <v>0</v>
      </c>
      <c r="AV820" s="53">
        <f t="shared" si="150"/>
        <v>0</v>
      </c>
      <c r="AW820" s="53">
        <f t="shared" si="150"/>
        <v>0</v>
      </c>
      <c r="AX820" s="53">
        <f t="shared" si="148"/>
        <v>942700000</v>
      </c>
      <c r="AY820" s="41" t="s">
        <v>557</v>
      </c>
    </row>
    <row r="821" spans="1:51" x14ac:dyDescent="0.2">
      <c r="A821" s="41" t="s">
        <v>129</v>
      </c>
      <c r="B821" s="41" t="s">
        <v>610</v>
      </c>
      <c r="C821" s="41" t="s">
        <v>87</v>
      </c>
      <c r="D821" s="41" t="s">
        <v>88</v>
      </c>
      <c r="E821" s="41">
        <v>100</v>
      </c>
      <c r="F821" s="41" t="s">
        <v>556</v>
      </c>
      <c r="G821" s="53">
        <v>4705000</v>
      </c>
      <c r="H821" s="41">
        <v>0.34</v>
      </c>
      <c r="I821" s="56">
        <f>1000*T821/G821/0.5</f>
        <v>0.14541976620616365</v>
      </c>
      <c r="J821" s="54">
        <f>1000*U821/G821/0.5</f>
        <v>1.7846971307120085</v>
      </c>
      <c r="R821" s="76">
        <f t="shared" si="145"/>
        <v>54250.204118660986</v>
      </c>
      <c r="S821" s="53">
        <f>29900000/2204.6</f>
        <v>13562.551029665246</v>
      </c>
      <c r="T821" s="53">
        <f>11000*31.1/1000</f>
        <v>342.1</v>
      </c>
      <c r="U821" s="53">
        <f>135000*31.1/1000</f>
        <v>4198.5</v>
      </c>
      <c r="AH821" s="53">
        <f t="shared" si="146"/>
        <v>4650749.7958813393</v>
      </c>
      <c r="AM821" s="53">
        <f>29323000-9743000</f>
        <v>19580000</v>
      </c>
      <c r="AO821" s="53">
        <f t="shared" si="150"/>
        <v>1599700</v>
      </c>
      <c r="AP821" s="53">
        <f t="shared" si="150"/>
        <v>684200</v>
      </c>
      <c r="AQ821" s="53">
        <f t="shared" si="150"/>
        <v>8397000</v>
      </c>
      <c r="AR821" s="53">
        <f t="shared" si="150"/>
        <v>0</v>
      </c>
      <c r="AS821" s="53">
        <f t="shared" si="150"/>
        <v>0</v>
      </c>
      <c r="AT821" s="53">
        <f t="shared" si="150"/>
        <v>0</v>
      </c>
      <c r="AU821" s="53">
        <f t="shared" si="150"/>
        <v>0</v>
      </c>
      <c r="AV821" s="53">
        <f t="shared" si="150"/>
        <v>0</v>
      </c>
      <c r="AW821" s="53">
        <f t="shared" si="150"/>
        <v>0</v>
      </c>
      <c r="AX821" s="53">
        <f t="shared" si="148"/>
        <v>470500000</v>
      </c>
      <c r="AY821" s="41" t="s">
        <v>557</v>
      </c>
    </row>
    <row r="822" spans="1:51" x14ac:dyDescent="0.2">
      <c r="A822" s="41" t="s">
        <v>129</v>
      </c>
      <c r="B822" s="60" t="s">
        <v>559</v>
      </c>
      <c r="C822" s="60" t="s">
        <v>87</v>
      </c>
      <c r="D822" s="60" t="s">
        <v>88</v>
      </c>
      <c r="E822" s="107">
        <v>100</v>
      </c>
      <c r="F822" s="60" t="s">
        <v>556</v>
      </c>
      <c r="G822" s="79">
        <f>SUM(G794:G821)</f>
        <v>172010133.09238866</v>
      </c>
      <c r="H822" s="80">
        <f>AO822/$G822</f>
        <v>0.41116798348528588</v>
      </c>
      <c r="I822" s="80">
        <f>AP822/$G822</f>
        <v>0.19535735827038672</v>
      </c>
      <c r="J822" s="80">
        <f>AQ822/$G822</f>
        <v>1.9578590614336038</v>
      </c>
      <c r="R822" s="79">
        <f>SUM(R794:R821)</f>
        <v>2324591.0913544409</v>
      </c>
      <c r="S822" s="79">
        <f>SUM(S794:S821)</f>
        <v>581147.77283861022</v>
      </c>
      <c r="T822" s="79">
        <f>SUM(T794:T821)</f>
        <v>17967.271400000001</v>
      </c>
      <c r="U822" s="79">
        <f>SUM(U794:U821)</f>
        <v>178745.64420000001</v>
      </c>
      <c r="AH822" s="79">
        <f>SUM(AH794:AH821)</f>
        <v>169685542.00103417</v>
      </c>
      <c r="AM822" s="79">
        <f>SUM(AM794:AM821)</f>
        <v>245054245.43510839</v>
      </c>
      <c r="AO822" s="79">
        <f t="shared" ref="AO822:AX822" si="151">SUM(AO794:AO821)</f>
        <v>70725059.562633082</v>
      </c>
      <c r="AP822" s="79">
        <f t="shared" si="151"/>
        <v>33603445.196666673</v>
      </c>
      <c r="AQ822" s="79">
        <f t="shared" si="151"/>
        <v>336771597.73333335</v>
      </c>
      <c r="AR822" s="79">
        <f t="shared" si="151"/>
        <v>0</v>
      </c>
      <c r="AS822" s="79">
        <f t="shared" si="151"/>
        <v>0</v>
      </c>
      <c r="AT822" s="79">
        <f t="shared" si="151"/>
        <v>0</v>
      </c>
      <c r="AU822" s="79">
        <f t="shared" si="151"/>
        <v>0</v>
      </c>
      <c r="AV822" s="79">
        <f t="shared" si="151"/>
        <v>0</v>
      </c>
      <c r="AW822" s="79">
        <f t="shared" si="151"/>
        <v>0</v>
      </c>
      <c r="AX822" s="79">
        <f t="shared" si="151"/>
        <v>17201013309.238865</v>
      </c>
      <c r="AY822" s="41" t="s">
        <v>557</v>
      </c>
    </row>
    <row r="823" spans="1:51" x14ac:dyDescent="0.2">
      <c r="A823" s="41" t="s">
        <v>129</v>
      </c>
      <c r="B823" s="43" t="s">
        <v>560</v>
      </c>
      <c r="G823" s="53">
        <f>STDEV(G794:G821)</f>
        <v>1645332.9916604056</v>
      </c>
      <c r="H823" s="46">
        <f>STDEV(H794:H821)</f>
        <v>6.2387804058470435E-2</v>
      </c>
      <c r="I823" s="46">
        <f>STDEV(I794:I821)</f>
        <v>7.507191105320335E-2</v>
      </c>
      <c r="J823" s="46">
        <f>STDEV(J794:J821)</f>
        <v>1.037780330523993</v>
      </c>
      <c r="R823" s="53">
        <f>STDEV(R794:R821)</f>
        <v>23119.637270102248</v>
      </c>
      <c r="S823" s="53">
        <f>STDEV(S794:S821)</f>
        <v>5779.9093175255621</v>
      </c>
      <c r="T823" s="53">
        <f>STDEV(T794:T821)</f>
        <v>313.7084432140764</v>
      </c>
      <c r="U823" s="53">
        <f>STDEV(U794:U821)</f>
        <v>3668.0095658792302</v>
      </c>
      <c r="AH823" s="53">
        <f>STDEV(AH794:AH821)</f>
        <v>1625802.7115237226</v>
      </c>
      <c r="AM823" s="53">
        <f>STDEV(AM794:AM821)</f>
        <v>8582682.6470861342</v>
      </c>
      <c r="AY823" s="41" t="s">
        <v>557</v>
      </c>
    </row>
    <row r="824" spans="1:51" x14ac:dyDescent="0.2">
      <c r="A824" s="41" t="s">
        <v>129</v>
      </c>
      <c r="B824" s="81" t="s">
        <v>249</v>
      </c>
      <c r="G824" s="41">
        <f>COUNT(G794:G821)</f>
        <v>28</v>
      </c>
      <c r="H824" s="41">
        <f>COUNT(H794:H821)</f>
        <v>28</v>
      </c>
      <c r="I824" s="41">
        <f>COUNT(I794:I821)</f>
        <v>28</v>
      </c>
      <c r="J824" s="41">
        <f>COUNT(J794:J821)</f>
        <v>28</v>
      </c>
      <c r="R824" s="41">
        <f>COUNT(R794:R821)</f>
        <v>28</v>
      </c>
      <c r="S824" s="41">
        <f>COUNT(S794:S821)</f>
        <v>28</v>
      </c>
      <c r="T824" s="41">
        <f>COUNT(T794:T821)</f>
        <v>28</v>
      </c>
      <c r="U824" s="41">
        <f>COUNT(U794:U821)</f>
        <v>28</v>
      </c>
      <c r="AH824" s="41">
        <f>COUNT(AH794:AH821)</f>
        <v>28</v>
      </c>
      <c r="AM824" s="41">
        <f>COUNT(AM794:AM821)</f>
        <v>28</v>
      </c>
      <c r="AY824" s="41" t="s">
        <v>557</v>
      </c>
    </row>
    <row r="825" spans="1:51" x14ac:dyDescent="0.2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  <c r="AA825" s="82"/>
      <c r="AB825" s="82"/>
      <c r="AC825" s="82"/>
      <c r="AD825" s="82"/>
      <c r="AE825" s="82"/>
      <c r="AF825" s="82"/>
      <c r="AG825" s="82"/>
      <c r="AH825" s="82"/>
      <c r="AI825" s="82"/>
      <c r="AJ825" s="82"/>
      <c r="AK825" s="82"/>
      <c r="AL825" s="82"/>
      <c r="AM825" s="82"/>
      <c r="AN825" s="82"/>
      <c r="AO825" s="82"/>
      <c r="AP825" s="82"/>
      <c r="AQ825" s="82"/>
      <c r="AR825" s="82"/>
      <c r="AS825" s="82"/>
      <c r="AT825" s="82"/>
      <c r="AU825" s="82"/>
      <c r="AV825" s="82"/>
      <c r="AW825" s="82"/>
      <c r="AX825" s="82"/>
      <c r="AY825" s="41" t="s">
        <v>557</v>
      </c>
    </row>
    <row r="826" spans="1:51" x14ac:dyDescent="0.2">
      <c r="A826" s="86" t="s">
        <v>611</v>
      </c>
      <c r="B826" s="58" t="s">
        <v>612</v>
      </c>
      <c r="AY826" s="41" t="s">
        <v>557</v>
      </c>
    </row>
    <row r="827" spans="1:51" x14ac:dyDescent="0.2">
      <c r="A827" s="86" t="s">
        <v>611</v>
      </c>
      <c r="B827" s="41">
        <v>1995</v>
      </c>
      <c r="C827" s="41" t="s">
        <v>96</v>
      </c>
      <c r="D827" s="41" t="s">
        <v>613</v>
      </c>
      <c r="F827" s="41" t="s">
        <v>390</v>
      </c>
      <c r="G827" s="53">
        <v>646000</v>
      </c>
      <c r="I827" s="41">
        <v>6.62</v>
      </c>
      <c r="T827" s="53">
        <f>111000*31.1/1000</f>
        <v>3452.1</v>
      </c>
      <c r="AO827" s="53">
        <f t="shared" ref="AO827:AW848" si="152">$G827*H827</f>
        <v>0</v>
      </c>
      <c r="AP827" s="53">
        <f t="shared" si="152"/>
        <v>4276520</v>
      </c>
      <c r="AQ827" s="53">
        <f t="shared" si="152"/>
        <v>0</v>
      </c>
      <c r="AR827" s="53">
        <f t="shared" si="152"/>
        <v>0</v>
      </c>
      <c r="AS827" s="53">
        <f t="shared" si="152"/>
        <v>0</v>
      </c>
      <c r="AT827" s="53">
        <f t="shared" si="152"/>
        <v>0</v>
      </c>
      <c r="AU827" s="53">
        <f t="shared" si="152"/>
        <v>0</v>
      </c>
      <c r="AV827" s="53">
        <f t="shared" si="152"/>
        <v>0</v>
      </c>
      <c r="AW827" s="53">
        <f t="shared" si="152"/>
        <v>0</v>
      </c>
      <c r="AX827" s="53">
        <f t="shared" ref="AX827:AX848" si="153">$G827*E827</f>
        <v>0</v>
      </c>
      <c r="AY827" s="41" t="s">
        <v>557</v>
      </c>
    </row>
    <row r="828" spans="1:51" x14ac:dyDescent="0.2">
      <c r="A828" s="86" t="s">
        <v>611</v>
      </c>
      <c r="B828" s="41">
        <v>1996</v>
      </c>
      <c r="C828" s="41" t="s">
        <v>96</v>
      </c>
      <c r="D828" s="41" t="s">
        <v>613</v>
      </c>
      <c r="F828" s="41" t="s">
        <v>390</v>
      </c>
      <c r="G828" s="53">
        <v>623000</v>
      </c>
      <c r="I828" s="41">
        <v>1.37</v>
      </c>
      <c r="T828" s="53">
        <f>161000*31.1/1000</f>
        <v>5007.1000000000004</v>
      </c>
      <c r="AO828" s="53">
        <f t="shared" si="152"/>
        <v>0</v>
      </c>
      <c r="AP828" s="53">
        <f t="shared" si="152"/>
        <v>853510.00000000012</v>
      </c>
      <c r="AQ828" s="53">
        <f t="shared" si="152"/>
        <v>0</v>
      </c>
      <c r="AR828" s="53">
        <f t="shared" si="152"/>
        <v>0</v>
      </c>
      <c r="AS828" s="53">
        <f t="shared" si="152"/>
        <v>0</v>
      </c>
      <c r="AT828" s="53">
        <f t="shared" si="152"/>
        <v>0</v>
      </c>
      <c r="AU828" s="53">
        <f t="shared" si="152"/>
        <v>0</v>
      </c>
      <c r="AV828" s="53">
        <f t="shared" si="152"/>
        <v>0</v>
      </c>
      <c r="AW828" s="53">
        <f t="shared" si="152"/>
        <v>0</v>
      </c>
      <c r="AX828" s="53">
        <f t="shared" si="153"/>
        <v>0</v>
      </c>
      <c r="AY828" s="41" t="s">
        <v>557</v>
      </c>
    </row>
    <row r="829" spans="1:51" x14ac:dyDescent="0.2">
      <c r="A829" s="86" t="s">
        <v>611</v>
      </c>
      <c r="B829" s="41">
        <v>1997</v>
      </c>
      <c r="C829" s="41" t="s">
        <v>96</v>
      </c>
      <c r="D829" s="41" t="s">
        <v>613</v>
      </c>
      <c r="F829" s="41" t="s">
        <v>390</v>
      </c>
      <c r="G829" s="53"/>
      <c r="T829" s="53">
        <f>1000*31.1/1000</f>
        <v>31.1</v>
      </c>
      <c r="AO829" s="53">
        <f t="shared" si="152"/>
        <v>0</v>
      </c>
      <c r="AP829" s="53">
        <f t="shared" si="152"/>
        <v>0</v>
      </c>
      <c r="AQ829" s="53">
        <f t="shared" si="152"/>
        <v>0</v>
      </c>
      <c r="AR829" s="53">
        <f t="shared" si="152"/>
        <v>0</v>
      </c>
      <c r="AS829" s="53">
        <f t="shared" si="152"/>
        <v>0</v>
      </c>
      <c r="AT829" s="53">
        <f t="shared" si="152"/>
        <v>0</v>
      </c>
      <c r="AU829" s="53">
        <f t="shared" si="152"/>
        <v>0</v>
      </c>
      <c r="AV829" s="53">
        <f t="shared" si="152"/>
        <v>0</v>
      </c>
      <c r="AW829" s="53">
        <f t="shared" si="152"/>
        <v>0</v>
      </c>
      <c r="AX829" s="53">
        <f t="shared" si="153"/>
        <v>0</v>
      </c>
      <c r="AY829" s="41" t="s">
        <v>557</v>
      </c>
    </row>
    <row r="830" spans="1:51" x14ac:dyDescent="0.2">
      <c r="A830" s="86" t="s">
        <v>611</v>
      </c>
      <c r="B830" s="41">
        <v>1998</v>
      </c>
      <c r="C830" s="41" t="s">
        <v>96</v>
      </c>
      <c r="D830" s="41" t="s">
        <v>613</v>
      </c>
      <c r="F830" s="41" t="s">
        <v>390</v>
      </c>
      <c r="G830" s="53"/>
      <c r="T830" s="53">
        <f>1000*31.1/1000</f>
        <v>31.1</v>
      </c>
      <c r="AO830" s="53">
        <f t="shared" si="152"/>
        <v>0</v>
      </c>
      <c r="AP830" s="53">
        <f t="shared" si="152"/>
        <v>0</v>
      </c>
      <c r="AQ830" s="53">
        <f t="shared" si="152"/>
        <v>0</v>
      </c>
      <c r="AR830" s="53">
        <f t="shared" si="152"/>
        <v>0</v>
      </c>
      <c r="AS830" s="53">
        <f t="shared" si="152"/>
        <v>0</v>
      </c>
      <c r="AT830" s="53">
        <f t="shared" si="152"/>
        <v>0</v>
      </c>
      <c r="AU830" s="53">
        <f t="shared" si="152"/>
        <v>0</v>
      </c>
      <c r="AV830" s="53">
        <f t="shared" si="152"/>
        <v>0</v>
      </c>
      <c r="AW830" s="53">
        <f t="shared" si="152"/>
        <v>0</v>
      </c>
      <c r="AX830" s="53">
        <f t="shared" si="153"/>
        <v>0</v>
      </c>
      <c r="AY830" s="41" t="s">
        <v>557</v>
      </c>
    </row>
    <row r="831" spans="1:51" x14ac:dyDescent="0.2">
      <c r="A831" s="86" t="s">
        <v>611</v>
      </c>
      <c r="B831" s="41">
        <v>1999</v>
      </c>
      <c r="C831" s="41" t="s">
        <v>96</v>
      </c>
      <c r="D831" s="41" t="s">
        <v>613</v>
      </c>
      <c r="F831" s="41" t="s">
        <v>390</v>
      </c>
      <c r="G831" s="53"/>
      <c r="T831" s="53">
        <f>1000*31.1/1000</f>
        <v>31.1</v>
      </c>
      <c r="AO831" s="53">
        <f t="shared" si="152"/>
        <v>0</v>
      </c>
      <c r="AP831" s="53">
        <f t="shared" si="152"/>
        <v>0</v>
      </c>
      <c r="AQ831" s="53">
        <f t="shared" si="152"/>
        <v>0</v>
      </c>
      <c r="AR831" s="53">
        <f t="shared" si="152"/>
        <v>0</v>
      </c>
      <c r="AS831" s="53">
        <f t="shared" si="152"/>
        <v>0</v>
      </c>
      <c r="AT831" s="53">
        <f t="shared" si="152"/>
        <v>0</v>
      </c>
      <c r="AU831" s="53">
        <f t="shared" si="152"/>
        <v>0</v>
      </c>
      <c r="AV831" s="53">
        <f t="shared" si="152"/>
        <v>0</v>
      </c>
      <c r="AW831" s="53">
        <f t="shared" si="152"/>
        <v>0</v>
      </c>
      <c r="AX831" s="53">
        <f t="shared" si="153"/>
        <v>0</v>
      </c>
      <c r="AY831" s="41" t="s">
        <v>557</v>
      </c>
    </row>
    <row r="832" spans="1:51" x14ac:dyDescent="0.2">
      <c r="A832" s="86" t="s">
        <v>611</v>
      </c>
      <c r="B832" s="41">
        <v>2000</v>
      </c>
      <c r="C832" s="41" t="s">
        <v>96</v>
      </c>
      <c r="D832" s="41" t="s">
        <v>613</v>
      </c>
      <c r="F832" s="41" t="s">
        <v>390</v>
      </c>
      <c r="G832" s="53"/>
      <c r="T832" s="53">
        <f>1000*31.1/1000</f>
        <v>31.1</v>
      </c>
      <c r="AO832" s="53">
        <f t="shared" si="152"/>
        <v>0</v>
      </c>
      <c r="AP832" s="53">
        <f t="shared" si="152"/>
        <v>0</v>
      </c>
      <c r="AQ832" s="53">
        <f t="shared" si="152"/>
        <v>0</v>
      </c>
      <c r="AR832" s="53">
        <f t="shared" si="152"/>
        <v>0</v>
      </c>
      <c r="AS832" s="53">
        <f t="shared" si="152"/>
        <v>0</v>
      </c>
      <c r="AT832" s="53">
        <f t="shared" si="152"/>
        <v>0</v>
      </c>
      <c r="AU832" s="53">
        <f t="shared" si="152"/>
        <v>0</v>
      </c>
      <c r="AV832" s="53">
        <f t="shared" si="152"/>
        <v>0</v>
      </c>
      <c r="AW832" s="53">
        <f t="shared" si="152"/>
        <v>0</v>
      </c>
      <c r="AX832" s="53">
        <f t="shared" si="153"/>
        <v>0</v>
      </c>
      <c r="AY832" s="41" t="s">
        <v>557</v>
      </c>
    </row>
    <row r="833" spans="1:51" x14ac:dyDescent="0.2">
      <c r="A833" s="86" t="s">
        <v>611</v>
      </c>
      <c r="B833" s="41">
        <v>2001</v>
      </c>
      <c r="C833" s="41" t="s">
        <v>96</v>
      </c>
      <c r="D833" s="41" t="s">
        <v>613</v>
      </c>
      <c r="F833" s="41" t="s">
        <v>390</v>
      </c>
      <c r="G833" s="53">
        <f>3199000+15554000+390000</f>
        <v>19143000</v>
      </c>
      <c r="I833" s="46">
        <f>(8.81*3199000+1.1*15554000+10.34*390000)/G833</f>
        <v>2.5766698009716347</v>
      </c>
      <c r="T833" s="53">
        <f>1188000*31.1/1000</f>
        <v>36946.800000000003</v>
      </c>
      <c r="AO833" s="53">
        <f t="shared" si="152"/>
        <v>0</v>
      </c>
      <c r="AP833" s="53">
        <f t="shared" si="152"/>
        <v>49325190</v>
      </c>
      <c r="AQ833" s="53">
        <f t="shared" si="152"/>
        <v>0</v>
      </c>
      <c r="AR833" s="53">
        <f t="shared" si="152"/>
        <v>0</v>
      </c>
      <c r="AS833" s="53">
        <f t="shared" si="152"/>
        <v>0</v>
      </c>
      <c r="AT833" s="53">
        <f t="shared" si="152"/>
        <v>0</v>
      </c>
      <c r="AU833" s="53">
        <f t="shared" si="152"/>
        <v>0</v>
      </c>
      <c r="AV833" s="53">
        <f t="shared" si="152"/>
        <v>0</v>
      </c>
      <c r="AW833" s="53">
        <f t="shared" si="152"/>
        <v>0</v>
      </c>
      <c r="AX833" s="53">
        <f t="shared" si="153"/>
        <v>0</v>
      </c>
      <c r="AY833" s="41" t="s">
        <v>557</v>
      </c>
    </row>
    <row r="834" spans="1:51" x14ac:dyDescent="0.2">
      <c r="A834" s="86" t="s">
        <v>611</v>
      </c>
      <c r="B834" s="41">
        <v>2002</v>
      </c>
      <c r="C834" s="41" t="s">
        <v>96</v>
      </c>
      <c r="D834" s="41" t="s">
        <v>613</v>
      </c>
      <c r="F834" s="41" t="s">
        <v>390</v>
      </c>
      <c r="G834" s="53">
        <f>3403000+10837000+293000</f>
        <v>14533000</v>
      </c>
      <c r="I834" s="46">
        <f>(7.43*3403000+1.03*10837000+8.61*293000)/G834</f>
        <v>2.6814236565058831</v>
      </c>
      <c r="T834" s="53">
        <f>1082000*31.1/1000</f>
        <v>33650.199999999997</v>
      </c>
      <c r="AO834" s="53">
        <f t="shared" si="152"/>
        <v>0</v>
      </c>
      <c r="AP834" s="53">
        <f t="shared" si="152"/>
        <v>38969130</v>
      </c>
      <c r="AQ834" s="53">
        <f t="shared" si="152"/>
        <v>0</v>
      </c>
      <c r="AR834" s="53">
        <f t="shared" si="152"/>
        <v>0</v>
      </c>
      <c r="AS834" s="53">
        <f t="shared" si="152"/>
        <v>0</v>
      </c>
      <c r="AT834" s="53">
        <f t="shared" si="152"/>
        <v>0</v>
      </c>
      <c r="AU834" s="53">
        <f t="shared" si="152"/>
        <v>0</v>
      </c>
      <c r="AV834" s="53">
        <f t="shared" si="152"/>
        <v>0</v>
      </c>
      <c r="AW834" s="53">
        <f t="shared" si="152"/>
        <v>0</v>
      </c>
      <c r="AX834" s="53">
        <f t="shared" si="153"/>
        <v>0</v>
      </c>
      <c r="AY834" s="41" t="s">
        <v>557</v>
      </c>
    </row>
    <row r="835" spans="1:51" x14ac:dyDescent="0.2">
      <c r="A835" s="86" t="s">
        <v>611</v>
      </c>
      <c r="B835" s="41">
        <v>2003</v>
      </c>
      <c r="C835" s="41" t="s">
        <v>96</v>
      </c>
      <c r="D835" s="41" t="s">
        <v>613</v>
      </c>
      <c r="F835" s="41" t="s">
        <v>390</v>
      </c>
      <c r="G835" s="53">
        <f>3452000+17468000+463000</f>
        <v>21383000</v>
      </c>
      <c r="I835" s="46">
        <f>(6.53*3452000+0.9*17468000+6.71*463000)/G835</f>
        <v>1.9346906420988637</v>
      </c>
      <c r="T835" s="53">
        <f>1085000*31.1/1000</f>
        <v>33743.5</v>
      </c>
      <c r="AO835" s="53">
        <f t="shared" si="152"/>
        <v>0</v>
      </c>
      <c r="AP835" s="53">
        <f t="shared" si="152"/>
        <v>41369490</v>
      </c>
      <c r="AQ835" s="53">
        <f t="shared" si="152"/>
        <v>0</v>
      </c>
      <c r="AR835" s="53">
        <f t="shared" si="152"/>
        <v>0</v>
      </c>
      <c r="AS835" s="53">
        <f t="shared" si="152"/>
        <v>0</v>
      </c>
      <c r="AT835" s="53">
        <f t="shared" si="152"/>
        <v>0</v>
      </c>
      <c r="AU835" s="53">
        <f t="shared" si="152"/>
        <v>0</v>
      </c>
      <c r="AV835" s="53">
        <f t="shared" si="152"/>
        <v>0</v>
      </c>
      <c r="AW835" s="53">
        <f t="shared" si="152"/>
        <v>0</v>
      </c>
      <c r="AX835" s="53">
        <f t="shared" si="153"/>
        <v>0</v>
      </c>
      <c r="AY835" s="41" t="s">
        <v>557</v>
      </c>
    </row>
    <row r="836" spans="1:51" x14ac:dyDescent="0.2">
      <c r="A836" s="86" t="s">
        <v>611</v>
      </c>
      <c r="B836" s="41">
        <v>2004</v>
      </c>
      <c r="C836" s="41" t="s">
        <v>96</v>
      </c>
      <c r="D836" s="41" t="s">
        <v>613</v>
      </c>
      <c r="F836" s="41" t="s">
        <v>390</v>
      </c>
      <c r="G836" s="53">
        <f>3093000+34649000+423000</f>
        <v>38165000</v>
      </c>
      <c r="I836" s="46">
        <f>(5.43*3093000+0.71*34649000+6.76*423000)/G836</f>
        <v>1.1595770994366565</v>
      </c>
      <c r="T836" s="53">
        <f>1051000*31.1/1000</f>
        <v>32686.1</v>
      </c>
      <c r="AO836" s="53">
        <f t="shared" si="152"/>
        <v>0</v>
      </c>
      <c r="AP836" s="53">
        <f t="shared" si="152"/>
        <v>44255260</v>
      </c>
      <c r="AQ836" s="53">
        <f t="shared" si="152"/>
        <v>0</v>
      </c>
      <c r="AR836" s="53">
        <f t="shared" si="152"/>
        <v>0</v>
      </c>
      <c r="AS836" s="53">
        <f t="shared" si="152"/>
        <v>0</v>
      </c>
      <c r="AT836" s="53">
        <f t="shared" si="152"/>
        <v>0</v>
      </c>
      <c r="AU836" s="53">
        <f t="shared" si="152"/>
        <v>0</v>
      </c>
      <c r="AV836" s="53">
        <f t="shared" si="152"/>
        <v>0</v>
      </c>
      <c r="AW836" s="53">
        <f t="shared" si="152"/>
        <v>0</v>
      </c>
      <c r="AX836" s="53">
        <f t="shared" si="153"/>
        <v>0</v>
      </c>
      <c r="AY836" s="41" t="s">
        <v>557</v>
      </c>
    </row>
    <row r="837" spans="1:51" x14ac:dyDescent="0.2">
      <c r="A837" s="86" t="s">
        <v>611</v>
      </c>
      <c r="B837" s="41">
        <v>2005</v>
      </c>
      <c r="C837" s="41" t="s">
        <v>96</v>
      </c>
      <c r="D837" s="41" t="s">
        <v>613</v>
      </c>
      <c r="F837" s="41" t="s">
        <v>390</v>
      </c>
      <c r="G837" s="53">
        <f>3247000+23059000+277000</f>
        <v>26583000</v>
      </c>
      <c r="I837" s="46">
        <f>(5*3247000+0.58*23059000+7.33*277000)/G837</f>
        <v>1.1902204416356319</v>
      </c>
      <c r="T837" s="53">
        <f>904000*31.1/1000</f>
        <v>28114.400000000001</v>
      </c>
      <c r="AO837" s="53">
        <f t="shared" si="152"/>
        <v>0</v>
      </c>
      <c r="AP837" s="53">
        <f t="shared" si="152"/>
        <v>31639630.000000004</v>
      </c>
      <c r="AQ837" s="53">
        <f t="shared" si="152"/>
        <v>0</v>
      </c>
      <c r="AR837" s="53">
        <f t="shared" si="152"/>
        <v>0</v>
      </c>
      <c r="AS837" s="53">
        <f t="shared" si="152"/>
        <v>0</v>
      </c>
      <c r="AT837" s="53">
        <f t="shared" si="152"/>
        <v>0</v>
      </c>
      <c r="AU837" s="53">
        <f t="shared" si="152"/>
        <v>0</v>
      </c>
      <c r="AV837" s="53">
        <f t="shared" si="152"/>
        <v>0</v>
      </c>
      <c r="AW837" s="53">
        <f t="shared" si="152"/>
        <v>0</v>
      </c>
      <c r="AX837" s="53">
        <f t="shared" si="153"/>
        <v>0</v>
      </c>
      <c r="AY837" s="41" t="s">
        <v>557</v>
      </c>
    </row>
    <row r="838" spans="1:51" x14ac:dyDescent="0.2">
      <c r="A838" s="86" t="s">
        <v>611</v>
      </c>
      <c r="B838" s="41">
        <v>2006</v>
      </c>
      <c r="C838" s="41" t="s">
        <v>96</v>
      </c>
      <c r="D838" s="41" t="s">
        <v>613</v>
      </c>
      <c r="F838" s="41" t="s">
        <v>390</v>
      </c>
      <c r="G838" s="53">
        <f>3298000+23040000+353000</f>
        <v>26691000</v>
      </c>
      <c r="I838" s="46">
        <f>(2.52*3298000+0.41*23040000+6.5*353000)/G838</f>
        <v>0.75125922595631489</v>
      </c>
      <c r="T838" s="53">
        <f>444000*31.1/1000</f>
        <v>13808.4</v>
      </c>
      <c r="AO838" s="53">
        <f t="shared" si="152"/>
        <v>0</v>
      </c>
      <c r="AP838" s="53">
        <f t="shared" si="152"/>
        <v>20051860</v>
      </c>
      <c r="AQ838" s="53">
        <f t="shared" si="152"/>
        <v>0</v>
      </c>
      <c r="AR838" s="53">
        <f t="shared" si="152"/>
        <v>0</v>
      </c>
      <c r="AS838" s="53">
        <f t="shared" si="152"/>
        <v>0</v>
      </c>
      <c r="AT838" s="53">
        <f t="shared" si="152"/>
        <v>0</v>
      </c>
      <c r="AU838" s="53">
        <f t="shared" si="152"/>
        <v>0</v>
      </c>
      <c r="AV838" s="53">
        <f t="shared" si="152"/>
        <v>0</v>
      </c>
      <c r="AW838" s="53">
        <f t="shared" si="152"/>
        <v>0</v>
      </c>
      <c r="AX838" s="53">
        <f t="shared" si="153"/>
        <v>0</v>
      </c>
      <c r="AY838" s="41" t="s">
        <v>557</v>
      </c>
    </row>
    <row r="839" spans="1:51" x14ac:dyDescent="0.2">
      <c r="A839" s="86" t="s">
        <v>611</v>
      </c>
      <c r="B839" s="41">
        <v>2007</v>
      </c>
      <c r="C839" s="41" t="s">
        <v>96</v>
      </c>
      <c r="D839" s="41" t="s">
        <v>613</v>
      </c>
      <c r="F839" s="41" t="s">
        <v>390</v>
      </c>
      <c r="G839" s="53">
        <f>3023000+30248000</f>
        <v>33271000</v>
      </c>
      <c r="I839" s="46">
        <f>(3.02*3023000+0.51*30248000)/G839</f>
        <v>0.73805836915031109</v>
      </c>
      <c r="T839" s="53">
        <f>538000*31.1/1000</f>
        <v>16731.8</v>
      </c>
      <c r="AO839" s="53">
        <f t="shared" si="152"/>
        <v>0</v>
      </c>
      <c r="AP839" s="53">
        <f t="shared" si="152"/>
        <v>24555940</v>
      </c>
      <c r="AQ839" s="53">
        <f t="shared" si="152"/>
        <v>0</v>
      </c>
      <c r="AR839" s="53">
        <f t="shared" si="152"/>
        <v>0</v>
      </c>
      <c r="AS839" s="53">
        <f t="shared" si="152"/>
        <v>0</v>
      </c>
      <c r="AT839" s="53">
        <f t="shared" si="152"/>
        <v>0</v>
      </c>
      <c r="AU839" s="53">
        <f t="shared" si="152"/>
        <v>0</v>
      </c>
      <c r="AV839" s="53">
        <f t="shared" si="152"/>
        <v>0</v>
      </c>
      <c r="AW839" s="53">
        <f t="shared" si="152"/>
        <v>0</v>
      </c>
      <c r="AX839" s="53">
        <f t="shared" si="153"/>
        <v>0</v>
      </c>
      <c r="AY839" s="41" t="s">
        <v>557</v>
      </c>
    </row>
    <row r="840" spans="1:51" x14ac:dyDescent="0.2">
      <c r="A840" s="86" t="s">
        <v>611</v>
      </c>
      <c r="B840" s="41">
        <v>2008</v>
      </c>
      <c r="C840" s="41" t="s">
        <v>96</v>
      </c>
      <c r="D840" s="41" t="s">
        <v>613</v>
      </c>
      <c r="E840" s="41">
        <v>100</v>
      </c>
      <c r="F840" s="41" t="s">
        <v>390</v>
      </c>
      <c r="G840" s="53">
        <f>(365/305)*40038000*0.9072</f>
        <v>43467878.242622949</v>
      </c>
      <c r="I840" s="46">
        <f>0.018*31.1/0.9072</f>
        <v>0.61706349206349198</v>
      </c>
      <c r="T840" s="53">
        <f>(365/305)*428000*31.1/1000</f>
        <v>15929.318032786885</v>
      </c>
      <c r="AM840" s="53">
        <f>(365/305)*(113465000-40038000)*0.9072</f>
        <v>79717166.085245907</v>
      </c>
      <c r="AO840" s="53">
        <f t="shared" si="152"/>
        <v>0</v>
      </c>
      <c r="AP840" s="53">
        <f t="shared" si="152"/>
        <v>26822440.740983602</v>
      </c>
      <c r="AQ840" s="53">
        <f t="shared" si="152"/>
        <v>0</v>
      </c>
      <c r="AR840" s="53">
        <f t="shared" si="152"/>
        <v>0</v>
      </c>
      <c r="AS840" s="53">
        <f t="shared" si="152"/>
        <v>0</v>
      </c>
      <c r="AT840" s="53">
        <f t="shared" si="152"/>
        <v>0</v>
      </c>
      <c r="AU840" s="53">
        <f t="shared" si="152"/>
        <v>0</v>
      </c>
      <c r="AV840" s="53">
        <f t="shared" si="152"/>
        <v>0</v>
      </c>
      <c r="AW840" s="53">
        <f t="shared" si="152"/>
        <v>0</v>
      </c>
      <c r="AX840" s="53">
        <f t="shared" si="153"/>
        <v>4346787824.2622948</v>
      </c>
      <c r="AY840" s="41" t="s">
        <v>557</v>
      </c>
    </row>
    <row r="841" spans="1:51" x14ac:dyDescent="0.2">
      <c r="A841" s="86" t="s">
        <v>611</v>
      </c>
      <c r="B841" s="41">
        <v>2009</v>
      </c>
      <c r="C841" s="41" t="s">
        <v>96</v>
      </c>
      <c r="D841" s="41" t="s">
        <v>613</v>
      </c>
      <c r="E841" s="41">
        <v>100</v>
      </c>
      <c r="F841" s="41" t="s">
        <v>390</v>
      </c>
      <c r="G841" s="53">
        <f>16049000*0.9072</f>
        <v>14559652.800000001</v>
      </c>
      <c r="I841" s="46">
        <f>0.038*31.1/0.9072</f>
        <v>1.3026895943562611</v>
      </c>
      <c r="T841" s="53">
        <f>518000*31.1/1000</f>
        <v>16109.8</v>
      </c>
      <c r="AM841" s="53">
        <f>(121543000-16049000)*0.9072</f>
        <v>95704156.799999997</v>
      </c>
      <c r="AO841" s="53">
        <f t="shared" si="152"/>
        <v>0</v>
      </c>
      <c r="AP841" s="53">
        <f t="shared" si="152"/>
        <v>18966708.200000003</v>
      </c>
      <c r="AQ841" s="53">
        <f t="shared" si="152"/>
        <v>0</v>
      </c>
      <c r="AR841" s="53">
        <f t="shared" si="152"/>
        <v>0</v>
      </c>
      <c r="AS841" s="53">
        <f t="shared" si="152"/>
        <v>0</v>
      </c>
      <c r="AT841" s="53">
        <f t="shared" si="152"/>
        <v>0</v>
      </c>
      <c r="AU841" s="53">
        <f t="shared" si="152"/>
        <v>0</v>
      </c>
      <c r="AV841" s="53">
        <f t="shared" si="152"/>
        <v>0</v>
      </c>
      <c r="AW841" s="53">
        <f t="shared" si="152"/>
        <v>0</v>
      </c>
      <c r="AX841" s="53">
        <f t="shared" si="153"/>
        <v>1455965280</v>
      </c>
      <c r="AY841" s="41" t="s">
        <v>557</v>
      </c>
    </row>
    <row r="842" spans="1:51" x14ac:dyDescent="0.2">
      <c r="A842" s="86" t="s">
        <v>611</v>
      </c>
      <c r="B842" s="41">
        <v>2010</v>
      </c>
      <c r="C842" s="41" t="s">
        <v>96</v>
      </c>
      <c r="D842" s="41" t="s">
        <v>613</v>
      </c>
      <c r="E842" s="58">
        <v>99</v>
      </c>
      <c r="F842" s="41" t="s">
        <v>390</v>
      </c>
      <c r="G842" s="53">
        <f>4860000*0.9072</f>
        <v>4408992</v>
      </c>
      <c r="I842" s="46">
        <f>0.252*31.1/0.9072</f>
        <v>8.6388888888888893</v>
      </c>
      <c r="T842" s="53">
        <f>1141000*31.1/1000</f>
        <v>35485.1</v>
      </c>
      <c r="AM842" s="53">
        <f>(121913000-4860000)*0.9072</f>
        <v>106190481.59999999</v>
      </c>
      <c r="AO842" s="53">
        <f t="shared" si="152"/>
        <v>0</v>
      </c>
      <c r="AP842" s="53">
        <f t="shared" si="152"/>
        <v>38088792</v>
      </c>
      <c r="AQ842" s="53">
        <f t="shared" si="152"/>
        <v>0</v>
      </c>
      <c r="AR842" s="53">
        <f t="shared" si="152"/>
        <v>0</v>
      </c>
      <c r="AS842" s="53">
        <f t="shared" si="152"/>
        <v>0</v>
      </c>
      <c r="AT842" s="53">
        <f t="shared" si="152"/>
        <v>0</v>
      </c>
      <c r="AU842" s="53">
        <f t="shared" si="152"/>
        <v>0</v>
      </c>
      <c r="AV842" s="53">
        <f t="shared" si="152"/>
        <v>0</v>
      </c>
      <c r="AW842" s="53">
        <f t="shared" si="152"/>
        <v>0</v>
      </c>
      <c r="AX842" s="53">
        <f t="shared" si="153"/>
        <v>436490208</v>
      </c>
      <c r="AY842" s="41" t="s">
        <v>557</v>
      </c>
    </row>
    <row r="843" spans="1:51" x14ac:dyDescent="0.2">
      <c r="A843" s="86" t="s">
        <v>611</v>
      </c>
      <c r="B843" s="41">
        <v>2011</v>
      </c>
      <c r="C843" s="41" t="s">
        <v>96</v>
      </c>
      <c r="D843" s="41" t="s">
        <v>613</v>
      </c>
      <c r="E843" s="58">
        <v>99</v>
      </c>
      <c r="F843" s="41" t="s">
        <v>390</v>
      </c>
      <c r="G843" s="53">
        <f>11502000*0.9072</f>
        <v>10434614.4</v>
      </c>
      <c r="I843" s="46">
        <f>0.136*31.1/0.9072</f>
        <v>4.6622574955908291</v>
      </c>
      <c r="T843" s="53">
        <f>1421000*31.1/1000</f>
        <v>44193.1</v>
      </c>
      <c r="AM843" s="53">
        <f>(119021000-11502000)*0.9072</f>
        <v>97541236.799999997</v>
      </c>
      <c r="AO843" s="53">
        <f t="shared" si="152"/>
        <v>0</v>
      </c>
      <c r="AP843" s="53">
        <f t="shared" si="152"/>
        <v>48648859.200000003</v>
      </c>
      <c r="AQ843" s="53">
        <f t="shared" si="152"/>
        <v>0</v>
      </c>
      <c r="AR843" s="53">
        <f t="shared" si="152"/>
        <v>0</v>
      </c>
      <c r="AS843" s="53">
        <f t="shared" si="152"/>
        <v>0</v>
      </c>
      <c r="AT843" s="53">
        <f t="shared" si="152"/>
        <v>0</v>
      </c>
      <c r="AU843" s="53">
        <f t="shared" si="152"/>
        <v>0</v>
      </c>
      <c r="AV843" s="53">
        <f t="shared" si="152"/>
        <v>0</v>
      </c>
      <c r="AW843" s="53">
        <f t="shared" si="152"/>
        <v>0</v>
      </c>
      <c r="AX843" s="53">
        <f t="shared" si="153"/>
        <v>1033026825.6</v>
      </c>
      <c r="AY843" s="41" t="s">
        <v>557</v>
      </c>
    </row>
    <row r="844" spans="1:51" x14ac:dyDescent="0.2">
      <c r="A844" s="86" t="s">
        <v>611</v>
      </c>
      <c r="B844" s="41">
        <v>2012</v>
      </c>
      <c r="C844" s="41" t="s">
        <v>96</v>
      </c>
      <c r="D844" s="41" t="s">
        <v>613</v>
      </c>
      <c r="E844" s="58">
        <v>99</v>
      </c>
      <c r="F844" s="41" t="s">
        <v>390</v>
      </c>
      <c r="G844" s="53">
        <f>9870000*0.9072</f>
        <v>8954064</v>
      </c>
      <c r="I844" s="46">
        <f>0.15*31.1/0.9072</f>
        <v>5.1421957671957674</v>
      </c>
      <c r="T844" s="53">
        <f>1370000*31.1/1000</f>
        <v>42607</v>
      </c>
      <c r="AM844" s="53">
        <f>(120203000-9870000)*0.9072</f>
        <v>100094097.59999999</v>
      </c>
      <c r="AO844" s="53">
        <f t="shared" si="152"/>
        <v>0</v>
      </c>
      <c r="AP844" s="53">
        <f t="shared" si="152"/>
        <v>46043550</v>
      </c>
      <c r="AQ844" s="53">
        <f t="shared" si="152"/>
        <v>0</v>
      </c>
      <c r="AR844" s="53">
        <f t="shared" si="152"/>
        <v>0</v>
      </c>
      <c r="AS844" s="53">
        <f t="shared" si="152"/>
        <v>0</v>
      </c>
      <c r="AT844" s="53">
        <f t="shared" si="152"/>
        <v>0</v>
      </c>
      <c r="AU844" s="53">
        <f t="shared" si="152"/>
        <v>0</v>
      </c>
      <c r="AV844" s="53">
        <f t="shared" si="152"/>
        <v>0</v>
      </c>
      <c r="AW844" s="53">
        <f t="shared" si="152"/>
        <v>0</v>
      </c>
      <c r="AX844" s="53">
        <f t="shared" si="153"/>
        <v>886452336</v>
      </c>
      <c r="AY844" s="41" t="s">
        <v>557</v>
      </c>
    </row>
    <row r="845" spans="1:51" x14ac:dyDescent="0.2">
      <c r="A845" s="86" t="s">
        <v>611</v>
      </c>
      <c r="B845" s="41">
        <v>2013</v>
      </c>
      <c r="C845" s="41" t="s">
        <v>96</v>
      </c>
      <c r="D845" s="41" t="s">
        <v>613</v>
      </c>
      <c r="E845" s="58">
        <v>98</v>
      </c>
      <c r="F845" s="41" t="s">
        <v>390</v>
      </c>
      <c r="G845" s="53">
        <v>19999000</v>
      </c>
      <c r="I845" s="41">
        <v>2.59</v>
      </c>
      <c r="T845" s="53">
        <f>1337000*31.1/1000</f>
        <v>41580.699999999997</v>
      </c>
      <c r="AM845" s="53">
        <f>134007000-19999000</f>
        <v>114008000</v>
      </c>
      <c r="AO845" s="53">
        <f t="shared" si="152"/>
        <v>0</v>
      </c>
      <c r="AP845" s="53">
        <f t="shared" si="152"/>
        <v>51797410</v>
      </c>
      <c r="AQ845" s="53">
        <f t="shared" si="152"/>
        <v>0</v>
      </c>
      <c r="AR845" s="53">
        <f t="shared" si="152"/>
        <v>0</v>
      </c>
      <c r="AS845" s="53">
        <f t="shared" si="152"/>
        <v>0</v>
      </c>
      <c r="AT845" s="53">
        <f t="shared" si="152"/>
        <v>0</v>
      </c>
      <c r="AU845" s="53">
        <f t="shared" si="152"/>
        <v>0</v>
      </c>
      <c r="AV845" s="53">
        <f t="shared" si="152"/>
        <v>0</v>
      </c>
      <c r="AW845" s="53">
        <f t="shared" si="152"/>
        <v>0</v>
      </c>
      <c r="AX845" s="53">
        <f t="shared" si="153"/>
        <v>1959902000</v>
      </c>
      <c r="AY845" s="41" t="s">
        <v>557</v>
      </c>
    </row>
    <row r="846" spans="1:51" x14ac:dyDescent="0.2">
      <c r="A846" s="86" t="s">
        <v>611</v>
      </c>
      <c r="B846" s="41">
        <v>2014</v>
      </c>
      <c r="C846" s="41" t="s">
        <v>96</v>
      </c>
      <c r="D846" s="41" t="s">
        <v>613</v>
      </c>
      <c r="E846" s="47">
        <f>100-(100*2000*365/G846)</f>
        <v>97.187656508841542</v>
      </c>
      <c r="F846" s="41" t="s">
        <v>390</v>
      </c>
      <c r="G846" s="53">
        <v>25957000</v>
      </c>
      <c r="I846" s="41">
        <v>1.34</v>
      </c>
      <c r="T846" s="53">
        <f>902000*31.1/1000</f>
        <v>28052.2</v>
      </c>
      <c r="AM846" s="53">
        <f>152146000-25957000</f>
        <v>126189000</v>
      </c>
      <c r="AO846" s="53">
        <f t="shared" si="152"/>
        <v>0</v>
      </c>
      <c r="AP846" s="53">
        <f t="shared" si="152"/>
        <v>34782380</v>
      </c>
      <c r="AQ846" s="53">
        <f t="shared" si="152"/>
        <v>0</v>
      </c>
      <c r="AR846" s="53">
        <f t="shared" si="152"/>
        <v>0</v>
      </c>
      <c r="AS846" s="53">
        <f t="shared" si="152"/>
        <v>0</v>
      </c>
      <c r="AT846" s="53">
        <f t="shared" si="152"/>
        <v>0</v>
      </c>
      <c r="AU846" s="53">
        <f t="shared" si="152"/>
        <v>0</v>
      </c>
      <c r="AV846" s="53">
        <f t="shared" si="152"/>
        <v>0</v>
      </c>
      <c r="AW846" s="53">
        <f t="shared" si="152"/>
        <v>0</v>
      </c>
      <c r="AX846" s="53">
        <f t="shared" si="153"/>
        <v>2522700000</v>
      </c>
      <c r="AY846" s="41" t="s">
        <v>557</v>
      </c>
    </row>
    <row r="847" spans="1:51" x14ac:dyDescent="0.2">
      <c r="A847" s="86" t="s">
        <v>611</v>
      </c>
      <c r="B847" s="41">
        <v>2015</v>
      </c>
      <c r="C847" s="41" t="s">
        <v>96</v>
      </c>
      <c r="D847" s="41" t="s">
        <v>613</v>
      </c>
      <c r="E847" s="47">
        <f>100-(100*2500*365/G847)</f>
        <v>95.927430152637683</v>
      </c>
      <c r="F847" s="41" t="s">
        <v>390</v>
      </c>
      <c r="G847" s="53">
        <v>22406000</v>
      </c>
      <c r="I847" s="41">
        <v>1.73</v>
      </c>
      <c r="T847" s="53">
        <f>999000*31.1/1000</f>
        <v>31068.9</v>
      </c>
      <c r="AM847" s="53">
        <f>151357000-22406000</f>
        <v>128951000</v>
      </c>
      <c r="AO847" s="53">
        <f t="shared" si="152"/>
        <v>0</v>
      </c>
      <c r="AP847" s="53">
        <f t="shared" si="152"/>
        <v>38762380</v>
      </c>
      <c r="AQ847" s="53">
        <f t="shared" si="152"/>
        <v>0</v>
      </c>
      <c r="AR847" s="53">
        <f t="shared" si="152"/>
        <v>0</v>
      </c>
      <c r="AS847" s="53">
        <f t="shared" si="152"/>
        <v>0</v>
      </c>
      <c r="AT847" s="53">
        <f t="shared" si="152"/>
        <v>0</v>
      </c>
      <c r="AU847" s="53">
        <f t="shared" si="152"/>
        <v>0</v>
      </c>
      <c r="AV847" s="53">
        <f t="shared" si="152"/>
        <v>0</v>
      </c>
      <c r="AW847" s="53">
        <f t="shared" si="152"/>
        <v>0</v>
      </c>
      <c r="AX847" s="53">
        <f t="shared" si="153"/>
        <v>2149350000</v>
      </c>
      <c r="AY847" s="41" t="s">
        <v>557</v>
      </c>
    </row>
    <row r="848" spans="1:51" x14ac:dyDescent="0.2">
      <c r="A848" s="86" t="s">
        <v>611</v>
      </c>
      <c r="B848" s="41">
        <v>2016</v>
      </c>
      <c r="C848" s="41" t="s">
        <v>96</v>
      </c>
      <c r="D848" s="41" t="s">
        <v>613</v>
      </c>
      <c r="E848" s="47">
        <f>100-(100*2800*365/G848)</f>
        <v>95.930232558139537</v>
      </c>
      <c r="F848" s="41" t="s">
        <v>390</v>
      </c>
      <c r="G848" s="53">
        <v>25112000</v>
      </c>
      <c r="I848" s="41">
        <v>1.73</v>
      </c>
      <c r="T848" s="53">
        <f>1059000*31.1/1000</f>
        <v>32934.9</v>
      </c>
      <c r="AM848" s="53">
        <f>124919000-25112000</f>
        <v>99807000</v>
      </c>
      <c r="AO848" s="53">
        <f t="shared" si="152"/>
        <v>0</v>
      </c>
      <c r="AP848" s="53">
        <f t="shared" si="152"/>
        <v>43443760</v>
      </c>
      <c r="AQ848" s="53">
        <f t="shared" si="152"/>
        <v>0</v>
      </c>
      <c r="AR848" s="53">
        <f t="shared" si="152"/>
        <v>0</v>
      </c>
      <c r="AS848" s="53">
        <f t="shared" si="152"/>
        <v>0</v>
      </c>
      <c r="AT848" s="53">
        <f t="shared" si="152"/>
        <v>0</v>
      </c>
      <c r="AU848" s="53">
        <f t="shared" si="152"/>
        <v>0</v>
      </c>
      <c r="AV848" s="53">
        <f t="shared" si="152"/>
        <v>0</v>
      </c>
      <c r="AW848" s="53">
        <f t="shared" si="152"/>
        <v>0</v>
      </c>
      <c r="AX848" s="53">
        <f t="shared" si="153"/>
        <v>2409000000</v>
      </c>
      <c r="AY848" s="41" t="s">
        <v>557</v>
      </c>
    </row>
    <row r="849" spans="1:51" x14ac:dyDescent="0.2">
      <c r="A849" s="86" t="s">
        <v>611</v>
      </c>
      <c r="B849" s="60" t="s">
        <v>559</v>
      </c>
      <c r="C849" s="60" t="s">
        <v>96</v>
      </c>
      <c r="D849" s="60" t="s">
        <v>613</v>
      </c>
      <c r="E849" s="78">
        <f>(G827*E827+G841*E841+G842*E842+G843*E843+G844*E844+G845*E845+G846*E846+G847*E847+G848*E848)/SUM(G827:G848)</f>
        <v>36.069449379872168</v>
      </c>
      <c r="F849" s="60" t="s">
        <v>390</v>
      </c>
      <c r="G849" s="79">
        <f>SUM(G827:G848)</f>
        <v>356337201.44262296</v>
      </c>
      <c r="I849" s="80">
        <f>AP849/SUM($G827:$G848)</f>
        <v>1.6912430352518837</v>
      </c>
      <c r="T849" s="79">
        <f>AVERAGE(T827:T848)</f>
        <v>22373.90081967213</v>
      </c>
      <c r="AM849" s="79">
        <f>AVERAGE(AM827:AM848)</f>
        <v>105355793.20947176</v>
      </c>
      <c r="AO849" s="79">
        <f>SUM(AO827:AO848)</f>
        <v>0</v>
      </c>
      <c r="AP849" s="79">
        <f t="shared" ref="AP849:AX849" si="154">SUM(AP827:AP848)</f>
        <v>602652810.14098358</v>
      </c>
      <c r="AQ849" s="79">
        <f t="shared" si="154"/>
        <v>0</v>
      </c>
      <c r="AR849" s="79">
        <f t="shared" si="154"/>
        <v>0</v>
      </c>
      <c r="AS849" s="79">
        <f t="shared" si="154"/>
        <v>0</v>
      </c>
      <c r="AT849" s="79">
        <f t="shared" si="154"/>
        <v>0</v>
      </c>
      <c r="AU849" s="79">
        <f t="shared" si="154"/>
        <v>0</v>
      </c>
      <c r="AV849" s="79">
        <f t="shared" si="154"/>
        <v>0</v>
      </c>
      <c r="AW849" s="79">
        <f t="shared" si="154"/>
        <v>0</v>
      </c>
      <c r="AX849" s="79">
        <f t="shared" si="154"/>
        <v>17199674473.862297</v>
      </c>
      <c r="AY849" s="41" t="s">
        <v>557</v>
      </c>
    </row>
    <row r="850" spans="1:51" x14ac:dyDescent="0.2">
      <c r="A850" s="86" t="s">
        <v>611</v>
      </c>
      <c r="B850" s="43" t="s">
        <v>560</v>
      </c>
      <c r="G850" s="53">
        <f>STDEV(G827:G848)</f>
        <v>12079058.496132551</v>
      </c>
      <c r="I850" s="46">
        <f>STDEV(I827:I848)</f>
        <v>2.2356790957825914</v>
      </c>
      <c r="T850" s="53">
        <f>STDEV(T827:T848)</f>
        <v>15577.982226469383</v>
      </c>
      <c r="AM850" s="53">
        <f>STDEV(AM827:AM848)</f>
        <v>15557750.482319094</v>
      </c>
      <c r="AY850" s="41" t="s">
        <v>557</v>
      </c>
    </row>
    <row r="851" spans="1:51" x14ac:dyDescent="0.2">
      <c r="A851" s="86" t="s">
        <v>611</v>
      </c>
      <c r="B851" s="81" t="s">
        <v>249</v>
      </c>
      <c r="G851" s="41">
        <f>COUNT(G827:G848)</f>
        <v>18</v>
      </c>
      <c r="I851" s="41">
        <f>COUNT(I827:I848)</f>
        <v>18</v>
      </c>
      <c r="T851" s="41">
        <f>COUNT(T827:T848)</f>
        <v>22</v>
      </c>
      <c r="AM851" s="41">
        <f>COUNT(AM827:AM848)</f>
        <v>9</v>
      </c>
      <c r="AY851" s="41" t="s">
        <v>557</v>
      </c>
    </row>
    <row r="852" spans="1:51" x14ac:dyDescent="0.2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  <c r="AA852" s="82"/>
      <c r="AB852" s="82"/>
      <c r="AC852" s="82"/>
      <c r="AD852" s="82"/>
      <c r="AE852" s="82"/>
      <c r="AF852" s="82"/>
      <c r="AG852" s="82"/>
      <c r="AH852" s="82"/>
      <c r="AI852" s="82"/>
      <c r="AJ852" s="82"/>
      <c r="AK852" s="82"/>
      <c r="AL852" s="82"/>
      <c r="AM852" s="82"/>
      <c r="AN852" s="82"/>
      <c r="AO852" s="82"/>
      <c r="AP852" s="82"/>
      <c r="AQ852" s="82"/>
      <c r="AR852" s="82"/>
      <c r="AS852" s="82"/>
      <c r="AT852" s="82"/>
      <c r="AU852" s="82"/>
      <c r="AV852" s="82"/>
      <c r="AW852" s="82"/>
      <c r="AX852" s="82"/>
      <c r="AY852" s="41" t="s">
        <v>557</v>
      </c>
    </row>
    <row r="853" spans="1:51" x14ac:dyDescent="0.2">
      <c r="A853" s="41" t="s">
        <v>397</v>
      </c>
      <c r="B853" s="41">
        <v>2006</v>
      </c>
      <c r="C853" s="41" t="s">
        <v>87</v>
      </c>
      <c r="D853" s="41" t="s">
        <v>398</v>
      </c>
      <c r="E853" s="41">
        <v>100</v>
      </c>
      <c r="F853" s="41" t="s">
        <v>390</v>
      </c>
      <c r="G853" s="53">
        <v>3678696</v>
      </c>
      <c r="I853" s="46">
        <v>1.199845679012346</v>
      </c>
      <c r="T853" s="53">
        <v>3794.2</v>
      </c>
      <c r="AM853" s="53">
        <v>17689492.800000001</v>
      </c>
      <c r="AO853" s="53">
        <f t="shared" ref="AO853:AW864" si="155">$G853*H853</f>
        <v>0</v>
      </c>
      <c r="AP853" s="53">
        <f t="shared" si="155"/>
        <v>4413867.5000000009</v>
      </c>
      <c r="AQ853" s="53">
        <f t="shared" si="155"/>
        <v>0</v>
      </c>
      <c r="AR853" s="53">
        <f t="shared" si="155"/>
        <v>0</v>
      </c>
      <c r="AS853" s="53">
        <f t="shared" si="155"/>
        <v>0</v>
      </c>
      <c r="AT853" s="53">
        <f t="shared" si="155"/>
        <v>0</v>
      </c>
      <c r="AU853" s="53">
        <f t="shared" si="155"/>
        <v>0</v>
      </c>
      <c r="AV853" s="53">
        <f t="shared" si="155"/>
        <v>0</v>
      </c>
      <c r="AW853" s="53">
        <f t="shared" si="155"/>
        <v>0</v>
      </c>
      <c r="AX853" s="53">
        <f t="shared" ref="AX853:AX864" si="156">$G853*E853</f>
        <v>367869600</v>
      </c>
      <c r="AY853" s="41" t="s">
        <v>557</v>
      </c>
    </row>
    <row r="854" spans="1:51" x14ac:dyDescent="0.2">
      <c r="A854" s="41" t="s">
        <v>397</v>
      </c>
      <c r="B854" s="41">
        <v>2007</v>
      </c>
      <c r="C854" s="41" t="s">
        <v>87</v>
      </c>
      <c r="D854" s="41" t="s">
        <v>398</v>
      </c>
      <c r="E854" s="41">
        <v>100</v>
      </c>
      <c r="F854" s="41" t="s">
        <v>390</v>
      </c>
      <c r="G854" s="53">
        <v>6614395.2000000002</v>
      </c>
      <c r="I854" s="46">
        <v>1.4055335097001764</v>
      </c>
      <c r="T854" s="53">
        <v>7464</v>
      </c>
      <c r="AM854" s="53">
        <v>23434790.399999999</v>
      </c>
      <c r="AO854" s="53">
        <f t="shared" si="155"/>
        <v>0</v>
      </c>
      <c r="AP854" s="53">
        <f t="shared" si="155"/>
        <v>9296754.1000000015</v>
      </c>
      <c r="AQ854" s="53">
        <f t="shared" si="155"/>
        <v>0</v>
      </c>
      <c r="AR854" s="53">
        <f t="shared" si="155"/>
        <v>0</v>
      </c>
      <c r="AS854" s="53">
        <f t="shared" si="155"/>
        <v>0</v>
      </c>
      <c r="AT854" s="53">
        <f t="shared" si="155"/>
        <v>0</v>
      </c>
      <c r="AU854" s="53">
        <f t="shared" si="155"/>
        <v>0</v>
      </c>
      <c r="AV854" s="53">
        <f t="shared" si="155"/>
        <v>0</v>
      </c>
      <c r="AW854" s="53">
        <f t="shared" si="155"/>
        <v>0</v>
      </c>
      <c r="AX854" s="53">
        <f t="shared" si="156"/>
        <v>661439520</v>
      </c>
      <c r="AY854" s="41" t="s">
        <v>557</v>
      </c>
    </row>
    <row r="855" spans="1:51" x14ac:dyDescent="0.2">
      <c r="A855" s="41" t="s">
        <v>397</v>
      </c>
      <c r="B855" s="41">
        <v>2008</v>
      </c>
      <c r="C855" s="41" t="s">
        <v>87</v>
      </c>
      <c r="D855" s="41" t="s">
        <v>398</v>
      </c>
      <c r="E855" s="41">
        <v>100</v>
      </c>
      <c r="F855" s="41" t="s">
        <v>390</v>
      </c>
      <c r="G855" s="53">
        <v>7245806.4000000004</v>
      </c>
      <c r="I855" s="46">
        <v>1.0627204585537919</v>
      </c>
      <c r="T855" s="53">
        <v>5940.1</v>
      </c>
      <c r="AM855" s="53">
        <v>31089744</v>
      </c>
      <c r="AO855" s="53">
        <f t="shared" si="155"/>
        <v>0</v>
      </c>
      <c r="AP855" s="53">
        <f t="shared" si="155"/>
        <v>7700266.7000000011</v>
      </c>
      <c r="AQ855" s="53">
        <f t="shared" si="155"/>
        <v>0</v>
      </c>
      <c r="AR855" s="53">
        <f t="shared" si="155"/>
        <v>0</v>
      </c>
      <c r="AS855" s="53">
        <f t="shared" si="155"/>
        <v>0</v>
      </c>
      <c r="AT855" s="53">
        <f t="shared" si="155"/>
        <v>0</v>
      </c>
      <c r="AU855" s="53">
        <f t="shared" si="155"/>
        <v>0</v>
      </c>
      <c r="AV855" s="53">
        <f t="shared" si="155"/>
        <v>0</v>
      </c>
      <c r="AW855" s="53">
        <f t="shared" si="155"/>
        <v>0</v>
      </c>
      <c r="AX855" s="53">
        <f t="shared" si="156"/>
        <v>724580640</v>
      </c>
      <c r="AY855" s="41" t="s">
        <v>557</v>
      </c>
    </row>
    <row r="856" spans="1:51" x14ac:dyDescent="0.2">
      <c r="A856" s="41" t="s">
        <v>397</v>
      </c>
      <c r="B856" s="41">
        <v>2009</v>
      </c>
      <c r="C856" s="41" t="s">
        <v>87</v>
      </c>
      <c r="D856" s="41" t="s">
        <v>398</v>
      </c>
      <c r="E856" s="41">
        <v>100</v>
      </c>
      <c r="F856" s="41" t="s">
        <v>390</v>
      </c>
      <c r="G856" s="53">
        <v>7393680</v>
      </c>
      <c r="I856" s="46">
        <v>1.2684082892416226</v>
      </c>
      <c r="T856" s="53">
        <v>7246.3</v>
      </c>
      <c r="AM856" s="53">
        <v>25335374.399999999</v>
      </c>
      <c r="AO856" s="53">
        <f t="shared" si="155"/>
        <v>0</v>
      </c>
      <c r="AP856" s="53">
        <f t="shared" si="155"/>
        <v>9378205</v>
      </c>
      <c r="AQ856" s="53">
        <f t="shared" si="155"/>
        <v>0</v>
      </c>
      <c r="AR856" s="53">
        <f t="shared" si="155"/>
        <v>0</v>
      </c>
      <c r="AS856" s="53">
        <f t="shared" si="155"/>
        <v>0</v>
      </c>
      <c r="AT856" s="53">
        <f t="shared" si="155"/>
        <v>0</v>
      </c>
      <c r="AU856" s="53">
        <f t="shared" si="155"/>
        <v>0</v>
      </c>
      <c r="AV856" s="53">
        <f t="shared" si="155"/>
        <v>0</v>
      </c>
      <c r="AW856" s="53">
        <f t="shared" si="155"/>
        <v>0</v>
      </c>
      <c r="AX856" s="53">
        <f t="shared" si="156"/>
        <v>739368000</v>
      </c>
      <c r="AY856" s="41" t="s">
        <v>557</v>
      </c>
    </row>
    <row r="857" spans="1:51" x14ac:dyDescent="0.2">
      <c r="A857" s="41" t="s">
        <v>397</v>
      </c>
      <c r="B857" s="41">
        <v>2010</v>
      </c>
      <c r="C857" s="41" t="s">
        <v>87</v>
      </c>
      <c r="D857" s="41" t="s">
        <v>398</v>
      </c>
      <c r="E857" s="41">
        <v>100</v>
      </c>
      <c r="F857" s="41" t="s">
        <v>390</v>
      </c>
      <c r="G857" s="53">
        <v>7210425.5999999996</v>
      </c>
      <c r="I857" s="46">
        <v>1.5769400352733687</v>
      </c>
      <c r="T857" s="53">
        <v>9267.7999999999993</v>
      </c>
      <c r="AM857" s="53">
        <v>27780278.399999999</v>
      </c>
      <c r="AO857" s="53">
        <f t="shared" si="155"/>
        <v>0</v>
      </c>
      <c r="AP857" s="53">
        <f t="shared" si="155"/>
        <v>11370408.800000001</v>
      </c>
      <c r="AQ857" s="53">
        <f t="shared" si="155"/>
        <v>0</v>
      </c>
      <c r="AR857" s="53">
        <f t="shared" si="155"/>
        <v>0</v>
      </c>
      <c r="AS857" s="53">
        <f t="shared" si="155"/>
        <v>0</v>
      </c>
      <c r="AT857" s="53">
        <f t="shared" si="155"/>
        <v>0</v>
      </c>
      <c r="AU857" s="53">
        <f t="shared" si="155"/>
        <v>0</v>
      </c>
      <c r="AV857" s="53">
        <f t="shared" si="155"/>
        <v>0</v>
      </c>
      <c r="AW857" s="53">
        <f t="shared" si="155"/>
        <v>0</v>
      </c>
      <c r="AX857" s="53">
        <f t="shared" si="156"/>
        <v>721042560</v>
      </c>
      <c r="AY857" s="41" t="s">
        <v>557</v>
      </c>
    </row>
    <row r="858" spans="1:51" x14ac:dyDescent="0.2">
      <c r="A858" s="41" t="s">
        <v>397</v>
      </c>
      <c r="B858" s="41">
        <v>2011</v>
      </c>
      <c r="C858" s="41" t="s">
        <v>87</v>
      </c>
      <c r="D858" s="41" t="s">
        <v>398</v>
      </c>
      <c r="E858" s="41">
        <v>100</v>
      </c>
      <c r="F858" s="41" t="s">
        <v>390</v>
      </c>
      <c r="G858" s="53">
        <v>7033521.5999999996</v>
      </c>
      <c r="I858" s="46">
        <v>1.4740961199294531</v>
      </c>
      <c r="T858" s="53">
        <v>8365.9</v>
      </c>
      <c r="AM858" s="53">
        <v>26166369.600000001</v>
      </c>
      <c r="AO858" s="53">
        <f t="shared" si="155"/>
        <v>0</v>
      </c>
      <c r="AP858" s="53">
        <f t="shared" si="155"/>
        <v>10368086.899999999</v>
      </c>
      <c r="AQ858" s="53">
        <f t="shared" si="155"/>
        <v>0</v>
      </c>
      <c r="AR858" s="53">
        <f t="shared" si="155"/>
        <v>0</v>
      </c>
      <c r="AS858" s="53">
        <f t="shared" si="155"/>
        <v>0</v>
      </c>
      <c r="AT858" s="53">
        <f t="shared" si="155"/>
        <v>0</v>
      </c>
      <c r="AU858" s="53">
        <f t="shared" si="155"/>
        <v>0</v>
      </c>
      <c r="AV858" s="53">
        <f t="shared" si="155"/>
        <v>0</v>
      </c>
      <c r="AW858" s="53">
        <f t="shared" si="155"/>
        <v>0</v>
      </c>
      <c r="AX858" s="53">
        <f t="shared" si="156"/>
        <v>703352160</v>
      </c>
      <c r="AY858" s="41" t="s">
        <v>557</v>
      </c>
    </row>
    <row r="859" spans="1:51" x14ac:dyDescent="0.2">
      <c r="A859" s="41" t="s">
        <v>397</v>
      </c>
      <c r="B859" s="41">
        <v>2012</v>
      </c>
      <c r="C859" s="41" t="s">
        <v>87</v>
      </c>
      <c r="D859" s="41" t="s">
        <v>398</v>
      </c>
      <c r="E859" s="41">
        <v>100</v>
      </c>
      <c r="F859" s="41" t="s">
        <v>390</v>
      </c>
      <c r="G859" s="53">
        <v>7289352</v>
      </c>
      <c r="I859" s="46">
        <v>1.4055335097001764</v>
      </c>
      <c r="T859" s="53">
        <v>8334.7999999999993</v>
      </c>
      <c r="AM859" s="53">
        <v>26072928</v>
      </c>
      <c r="AO859" s="53">
        <f t="shared" si="155"/>
        <v>0</v>
      </c>
      <c r="AP859" s="53">
        <f t="shared" si="155"/>
        <v>10245428.5</v>
      </c>
      <c r="AQ859" s="53">
        <f t="shared" si="155"/>
        <v>0</v>
      </c>
      <c r="AR859" s="53">
        <f t="shared" si="155"/>
        <v>0</v>
      </c>
      <c r="AS859" s="53">
        <f t="shared" si="155"/>
        <v>0</v>
      </c>
      <c r="AT859" s="53">
        <f t="shared" si="155"/>
        <v>0</v>
      </c>
      <c r="AU859" s="53">
        <f t="shared" si="155"/>
        <v>0</v>
      </c>
      <c r="AV859" s="53">
        <f t="shared" si="155"/>
        <v>0</v>
      </c>
      <c r="AW859" s="53">
        <f t="shared" si="155"/>
        <v>0</v>
      </c>
      <c r="AX859" s="53">
        <f t="shared" si="156"/>
        <v>728935200</v>
      </c>
      <c r="AY859" s="41" t="s">
        <v>557</v>
      </c>
    </row>
    <row r="860" spans="1:51" x14ac:dyDescent="0.2">
      <c r="A860" s="41" t="s">
        <v>397</v>
      </c>
      <c r="B860" s="41" t="s">
        <v>614</v>
      </c>
      <c r="C860" s="41" t="s">
        <v>87</v>
      </c>
      <c r="D860" s="41" t="s">
        <v>398</v>
      </c>
      <c r="E860" s="41">
        <v>100</v>
      </c>
      <c r="F860" s="41" t="s">
        <v>390</v>
      </c>
      <c r="G860" s="53">
        <f>1810000*0.9072</f>
        <v>1642032</v>
      </c>
      <c r="I860" s="46">
        <f>0.052*31.1/0.9072</f>
        <v>1.7826278659611992</v>
      </c>
      <c r="T860" s="53">
        <f>79000*31.1/1000</f>
        <v>2456.9</v>
      </c>
      <c r="AM860" s="53">
        <f>(7364000-1810000)*0.9072</f>
        <v>5038588.8</v>
      </c>
      <c r="AO860" s="53">
        <f t="shared" si="155"/>
        <v>0</v>
      </c>
      <c r="AP860" s="53">
        <f t="shared" si="155"/>
        <v>2927132</v>
      </c>
      <c r="AQ860" s="53">
        <f t="shared" si="155"/>
        <v>0</v>
      </c>
      <c r="AR860" s="53">
        <f t="shared" si="155"/>
        <v>0</v>
      </c>
      <c r="AS860" s="53">
        <f t="shared" si="155"/>
        <v>0</v>
      </c>
      <c r="AT860" s="53">
        <f t="shared" si="155"/>
        <v>0</v>
      </c>
      <c r="AU860" s="53">
        <f t="shared" si="155"/>
        <v>0</v>
      </c>
      <c r="AV860" s="53">
        <f t="shared" si="155"/>
        <v>0</v>
      </c>
      <c r="AW860" s="53">
        <f t="shared" si="155"/>
        <v>0</v>
      </c>
      <c r="AX860" s="53">
        <f t="shared" si="156"/>
        <v>164203200</v>
      </c>
      <c r="AY860" s="41" t="s">
        <v>557</v>
      </c>
    </row>
    <row r="861" spans="1:51" x14ac:dyDescent="0.2">
      <c r="A861" s="41" t="s">
        <v>397</v>
      </c>
      <c r="B861" s="41">
        <v>2013</v>
      </c>
      <c r="C861" s="41" t="s">
        <v>87</v>
      </c>
      <c r="D861" s="41" t="s">
        <v>398</v>
      </c>
      <c r="E861" s="41">
        <v>100</v>
      </c>
      <c r="F861" s="41" t="s">
        <v>390</v>
      </c>
      <c r="G861" s="53">
        <v>7032614.4000000004</v>
      </c>
      <c r="I861" s="41">
        <v>1.59</v>
      </c>
      <c r="T861" s="53">
        <v>9236.7000000000007</v>
      </c>
      <c r="AM861" s="53">
        <v>22005950.399999999</v>
      </c>
      <c r="AO861" s="53">
        <f t="shared" si="155"/>
        <v>0</v>
      </c>
      <c r="AP861" s="53">
        <f t="shared" si="155"/>
        <v>11181856.896000002</v>
      </c>
      <c r="AQ861" s="53">
        <f t="shared" si="155"/>
        <v>0</v>
      </c>
      <c r="AR861" s="53">
        <f t="shared" si="155"/>
        <v>0</v>
      </c>
      <c r="AS861" s="53">
        <f t="shared" si="155"/>
        <v>0</v>
      </c>
      <c r="AT861" s="53">
        <f t="shared" si="155"/>
        <v>0</v>
      </c>
      <c r="AU861" s="53">
        <f t="shared" si="155"/>
        <v>0</v>
      </c>
      <c r="AV861" s="53">
        <f t="shared" si="155"/>
        <v>0</v>
      </c>
      <c r="AW861" s="53">
        <f t="shared" si="155"/>
        <v>0</v>
      </c>
      <c r="AX861" s="53">
        <f t="shared" si="156"/>
        <v>703261440</v>
      </c>
      <c r="AY861" s="41" t="s">
        <v>557</v>
      </c>
    </row>
    <row r="862" spans="1:51" x14ac:dyDescent="0.2">
      <c r="A862" s="41" t="s">
        <v>397</v>
      </c>
      <c r="B862" s="41">
        <v>2014</v>
      </c>
      <c r="C862" s="41" t="s">
        <v>87</v>
      </c>
      <c r="D862" s="41" t="s">
        <v>398</v>
      </c>
      <c r="E862" s="41">
        <v>100</v>
      </c>
      <c r="F862" s="41" t="s">
        <v>390</v>
      </c>
      <c r="G862" s="53">
        <v>7358000</v>
      </c>
      <c r="I862" s="46">
        <v>1.44</v>
      </c>
      <c r="T862" s="53">
        <v>8334.7999999999993</v>
      </c>
      <c r="AM862" s="53">
        <v>20764000</v>
      </c>
      <c r="AO862" s="53">
        <f t="shared" si="155"/>
        <v>0</v>
      </c>
      <c r="AP862" s="53">
        <f t="shared" si="155"/>
        <v>10595520</v>
      </c>
      <c r="AQ862" s="53">
        <f t="shared" si="155"/>
        <v>0</v>
      </c>
      <c r="AR862" s="53">
        <f t="shared" si="155"/>
        <v>0</v>
      </c>
      <c r="AS862" s="53">
        <f t="shared" si="155"/>
        <v>0</v>
      </c>
      <c r="AT862" s="53">
        <f t="shared" si="155"/>
        <v>0</v>
      </c>
      <c r="AU862" s="53">
        <f t="shared" si="155"/>
        <v>0</v>
      </c>
      <c r="AV862" s="53">
        <f t="shared" si="155"/>
        <v>0</v>
      </c>
      <c r="AW862" s="53">
        <f t="shared" si="155"/>
        <v>0</v>
      </c>
      <c r="AX862" s="53">
        <f t="shared" si="156"/>
        <v>735800000</v>
      </c>
      <c r="AY862" s="41" t="s">
        <v>557</v>
      </c>
    </row>
    <row r="863" spans="1:51" x14ac:dyDescent="0.2">
      <c r="A863" s="41" t="s">
        <v>397</v>
      </c>
      <c r="B863" s="41">
        <v>2015</v>
      </c>
      <c r="C863" s="41" t="s">
        <v>87</v>
      </c>
      <c r="D863" s="41" t="s">
        <v>398</v>
      </c>
      <c r="E863" s="41">
        <v>100</v>
      </c>
      <c r="F863" s="41" t="s">
        <v>390</v>
      </c>
      <c r="G863" s="53">
        <v>7018000</v>
      </c>
      <c r="I863" s="46">
        <v>1.3653548019378741</v>
      </c>
      <c r="T863" s="53">
        <v>7999.2621000000008</v>
      </c>
      <c r="AM863" s="53">
        <v>8286000</v>
      </c>
      <c r="AO863" s="53">
        <f t="shared" si="155"/>
        <v>0</v>
      </c>
      <c r="AP863" s="53">
        <f t="shared" si="155"/>
        <v>9582060</v>
      </c>
      <c r="AQ863" s="53">
        <f t="shared" si="155"/>
        <v>0</v>
      </c>
      <c r="AR863" s="53">
        <f t="shared" si="155"/>
        <v>0</v>
      </c>
      <c r="AS863" s="53">
        <f t="shared" si="155"/>
        <v>0</v>
      </c>
      <c r="AT863" s="53">
        <f t="shared" si="155"/>
        <v>0</v>
      </c>
      <c r="AU863" s="53">
        <f t="shared" si="155"/>
        <v>0</v>
      </c>
      <c r="AV863" s="53">
        <f t="shared" si="155"/>
        <v>0</v>
      </c>
      <c r="AW863" s="53">
        <f t="shared" si="155"/>
        <v>0</v>
      </c>
      <c r="AX863" s="53">
        <f t="shared" si="156"/>
        <v>701800000</v>
      </c>
      <c r="AY863" s="41" t="s">
        <v>557</v>
      </c>
    </row>
    <row r="864" spans="1:51" x14ac:dyDescent="0.2">
      <c r="A864" s="41" t="s">
        <v>397</v>
      </c>
      <c r="B864" s="41">
        <v>2016</v>
      </c>
      <c r="C864" s="41" t="s">
        <v>87</v>
      </c>
      <c r="D864" s="41" t="s">
        <v>398</v>
      </c>
      <c r="E864" s="41">
        <v>100</v>
      </c>
      <c r="F864" s="41" t="s">
        <v>390</v>
      </c>
      <c r="G864" s="53">
        <v>7205000</v>
      </c>
      <c r="I864" s="46">
        <v>1.4079541984732824</v>
      </c>
      <c r="T864" s="53">
        <v>8479.8504000000012</v>
      </c>
      <c r="AM864" s="53">
        <v>3065000</v>
      </c>
      <c r="AO864" s="53">
        <f t="shared" si="155"/>
        <v>0</v>
      </c>
      <c r="AP864" s="53">
        <f t="shared" si="155"/>
        <v>10144310</v>
      </c>
      <c r="AQ864" s="53">
        <f t="shared" si="155"/>
        <v>0</v>
      </c>
      <c r="AR864" s="53">
        <f t="shared" si="155"/>
        <v>0</v>
      </c>
      <c r="AS864" s="53">
        <f t="shared" si="155"/>
        <v>0</v>
      </c>
      <c r="AT864" s="53">
        <f t="shared" si="155"/>
        <v>0</v>
      </c>
      <c r="AU864" s="53">
        <f t="shared" si="155"/>
        <v>0</v>
      </c>
      <c r="AV864" s="53">
        <f t="shared" si="155"/>
        <v>0</v>
      </c>
      <c r="AW864" s="53">
        <f t="shared" si="155"/>
        <v>0</v>
      </c>
      <c r="AX864" s="53">
        <f t="shared" si="156"/>
        <v>720500000</v>
      </c>
      <c r="AY864" s="41" t="s">
        <v>557</v>
      </c>
    </row>
    <row r="865" spans="1:51" x14ac:dyDescent="0.2">
      <c r="A865" s="84"/>
      <c r="B865" s="85" t="s">
        <v>615</v>
      </c>
      <c r="C865" s="60" t="s">
        <v>87</v>
      </c>
      <c r="D865" s="60" t="s">
        <v>398</v>
      </c>
      <c r="E865" s="60">
        <v>100</v>
      </c>
      <c r="F865" s="60" t="s">
        <v>390</v>
      </c>
      <c r="G865" s="79">
        <f>SUM(G853:G860)</f>
        <v>48107908.800000004</v>
      </c>
      <c r="I865" s="80">
        <f>AP865/$G865</f>
        <v>1.3656829228045764</v>
      </c>
      <c r="T865" s="79">
        <f>SUM(T853:T860)</f>
        <v>52870.000000000007</v>
      </c>
      <c r="AM865" s="79">
        <f>SUM(AM853:AM860)</f>
        <v>182607566.40000001</v>
      </c>
      <c r="AO865" s="79">
        <f t="shared" ref="AO865:AX865" si="157">SUM(AO853:AO860)</f>
        <v>0</v>
      </c>
      <c r="AP865" s="79">
        <f t="shared" si="157"/>
        <v>65700149.500000007</v>
      </c>
      <c r="AQ865" s="79">
        <f t="shared" si="157"/>
        <v>0</v>
      </c>
      <c r="AR865" s="79">
        <f t="shared" si="157"/>
        <v>0</v>
      </c>
      <c r="AS865" s="79">
        <f t="shared" si="157"/>
        <v>0</v>
      </c>
      <c r="AT865" s="79">
        <f t="shared" si="157"/>
        <v>0</v>
      </c>
      <c r="AU865" s="79">
        <f t="shared" si="157"/>
        <v>0</v>
      </c>
      <c r="AV865" s="79">
        <f t="shared" si="157"/>
        <v>0</v>
      </c>
      <c r="AW865" s="79">
        <f t="shared" si="157"/>
        <v>0</v>
      </c>
      <c r="AX865" s="79">
        <f t="shared" si="157"/>
        <v>4810790880</v>
      </c>
      <c r="AY865" s="41" t="s">
        <v>557</v>
      </c>
    </row>
    <row r="866" spans="1:51" x14ac:dyDescent="0.2">
      <c r="A866" s="41" t="s">
        <v>397</v>
      </c>
      <c r="B866" s="43" t="s">
        <v>560</v>
      </c>
      <c r="G866" s="53">
        <f>STDEV(G853:G860)</f>
        <v>2152953.6658795755</v>
      </c>
      <c r="I866" s="46">
        <f>STDEV(I853:I860)</f>
        <v>0.22498418227873743</v>
      </c>
      <c r="T866" s="53">
        <f>STDEV(T853:T860)</f>
        <v>2386.9268089802322</v>
      </c>
      <c r="AM866" s="53">
        <f>STDEV(AM853:AM860)</f>
        <v>8141412.9949867465</v>
      </c>
      <c r="AY866" s="41" t="s">
        <v>557</v>
      </c>
    </row>
    <row r="867" spans="1:51" x14ac:dyDescent="0.2">
      <c r="A867" s="41" t="s">
        <v>397</v>
      </c>
      <c r="B867" s="81" t="s">
        <v>249</v>
      </c>
      <c r="G867" s="41">
        <f>COUNT(G853:G860)</f>
        <v>8</v>
      </c>
      <c r="I867" s="41">
        <f>COUNT(I853:I860)</f>
        <v>8</v>
      </c>
      <c r="T867" s="41">
        <f>COUNT(T853:T860)</f>
        <v>8</v>
      </c>
      <c r="AM867" s="41">
        <f>COUNT(AM853:AM860)</f>
        <v>8</v>
      </c>
      <c r="AY867" s="41" t="s">
        <v>557</v>
      </c>
    </row>
    <row r="868" spans="1:51" x14ac:dyDescent="0.2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  <c r="AA868" s="82"/>
      <c r="AB868" s="82"/>
      <c r="AC868" s="82"/>
      <c r="AD868" s="82"/>
      <c r="AE868" s="82"/>
      <c r="AF868" s="82"/>
      <c r="AG868" s="82"/>
      <c r="AH868" s="82"/>
      <c r="AI868" s="82"/>
      <c r="AJ868" s="82"/>
      <c r="AK868" s="82"/>
      <c r="AL868" s="82"/>
      <c r="AM868" s="82"/>
      <c r="AN868" s="82"/>
      <c r="AO868" s="82"/>
      <c r="AP868" s="82"/>
      <c r="AQ868" s="82"/>
      <c r="AR868" s="82"/>
      <c r="AS868" s="82"/>
      <c r="AT868" s="82"/>
      <c r="AU868" s="82"/>
      <c r="AV868" s="82"/>
      <c r="AW868" s="82"/>
      <c r="AX868" s="82"/>
      <c r="AY868" s="41" t="s">
        <v>557</v>
      </c>
    </row>
    <row r="869" spans="1:51" x14ac:dyDescent="0.2">
      <c r="A869" s="86" t="s">
        <v>402</v>
      </c>
      <c r="B869" s="58" t="s">
        <v>616</v>
      </c>
      <c r="AY869" s="41" t="s">
        <v>557</v>
      </c>
    </row>
    <row r="870" spans="1:51" x14ac:dyDescent="0.2">
      <c r="A870" s="86" t="s">
        <v>402</v>
      </c>
      <c r="B870" s="41" t="s">
        <v>593</v>
      </c>
      <c r="C870" s="41" t="s">
        <v>91</v>
      </c>
      <c r="D870" s="41" t="s">
        <v>401</v>
      </c>
      <c r="E870" s="41">
        <v>0</v>
      </c>
      <c r="F870" s="41" t="s">
        <v>390</v>
      </c>
      <c r="G870" s="53">
        <f>94000/0.7</f>
        <v>134285.71428571429</v>
      </c>
      <c r="I870" s="41">
        <v>9.68</v>
      </c>
      <c r="J870" s="77">
        <v>10</v>
      </c>
      <c r="T870" s="53">
        <f>26128*31.1/1000/0.7</f>
        <v>1160.8297142857145</v>
      </c>
      <c r="U870" s="76">
        <f t="shared" ref="U870:U875" si="158">0.5*J870*G870/1000</f>
        <v>671.42857142857144</v>
      </c>
      <c r="AO870" s="53">
        <f t="shared" ref="AO870:AW881" si="159">$G870*H870</f>
        <v>0</v>
      </c>
      <c r="AP870" s="53">
        <f t="shared" si="159"/>
        <v>1299885.7142857143</v>
      </c>
      <c r="AQ870" s="53">
        <f t="shared" si="159"/>
        <v>1342857.142857143</v>
      </c>
      <c r="AR870" s="53">
        <f t="shared" si="159"/>
        <v>0</v>
      </c>
      <c r="AS870" s="53">
        <f t="shared" si="159"/>
        <v>0</v>
      </c>
      <c r="AT870" s="53">
        <f t="shared" si="159"/>
        <v>0</v>
      </c>
      <c r="AU870" s="53">
        <f t="shared" si="159"/>
        <v>0</v>
      </c>
      <c r="AV870" s="53">
        <f t="shared" si="159"/>
        <v>0</v>
      </c>
      <c r="AW870" s="53">
        <f t="shared" si="159"/>
        <v>0</v>
      </c>
      <c r="AX870" s="53">
        <f t="shared" ref="AX870:AX933" si="160">$G870*E870</f>
        <v>0</v>
      </c>
      <c r="AY870" s="41" t="s">
        <v>557</v>
      </c>
    </row>
    <row r="871" spans="1:51" x14ac:dyDescent="0.2">
      <c r="A871" s="86" t="s">
        <v>402</v>
      </c>
      <c r="B871" s="41" t="s">
        <v>594</v>
      </c>
      <c r="C871" s="41" t="s">
        <v>91</v>
      </c>
      <c r="D871" s="41" t="s">
        <v>401</v>
      </c>
      <c r="E871" s="41">
        <v>0</v>
      </c>
      <c r="F871" s="41" t="s">
        <v>390</v>
      </c>
      <c r="G871" s="53">
        <f>221000/0.7</f>
        <v>315714.28571428574</v>
      </c>
      <c r="I871" s="41">
        <v>11.57</v>
      </c>
      <c r="J871" s="77">
        <v>10</v>
      </c>
      <c r="T871" s="53">
        <f>77702*31.1/1000/0.7</f>
        <v>3452.1888571428576</v>
      </c>
      <c r="U871" s="76">
        <f t="shared" si="158"/>
        <v>1578.5714285714287</v>
      </c>
      <c r="AO871" s="53">
        <f t="shared" si="159"/>
        <v>0</v>
      </c>
      <c r="AP871" s="53">
        <f t="shared" si="159"/>
        <v>3652814.2857142859</v>
      </c>
      <c r="AQ871" s="53">
        <f t="shared" si="159"/>
        <v>3157142.8571428573</v>
      </c>
      <c r="AR871" s="53">
        <f t="shared" si="159"/>
        <v>0</v>
      </c>
      <c r="AS871" s="53">
        <f t="shared" si="159"/>
        <v>0</v>
      </c>
      <c r="AT871" s="53">
        <f t="shared" si="159"/>
        <v>0</v>
      </c>
      <c r="AU871" s="53">
        <f t="shared" si="159"/>
        <v>0</v>
      </c>
      <c r="AV871" s="53">
        <f t="shared" si="159"/>
        <v>0</v>
      </c>
      <c r="AW871" s="53">
        <f t="shared" si="159"/>
        <v>0</v>
      </c>
      <c r="AX871" s="53">
        <f t="shared" si="160"/>
        <v>0</v>
      </c>
      <c r="AY871" s="41" t="s">
        <v>557</v>
      </c>
    </row>
    <row r="872" spans="1:51" x14ac:dyDescent="0.2">
      <c r="A872" s="86" t="s">
        <v>402</v>
      </c>
      <c r="B872" s="41" t="s">
        <v>595</v>
      </c>
      <c r="C872" s="41" t="s">
        <v>91</v>
      </c>
      <c r="D872" s="41" t="s">
        <v>401</v>
      </c>
      <c r="E872" s="41">
        <v>0</v>
      </c>
      <c r="F872" s="41" t="s">
        <v>390</v>
      </c>
      <c r="G872" s="53">
        <f>270000/0.7</f>
        <v>385714.28571428574</v>
      </c>
      <c r="I872" s="41">
        <v>10.11</v>
      </c>
      <c r="J872" s="77">
        <v>10</v>
      </c>
      <c r="T872" s="53">
        <f>81678*31.1/1000/0.7</f>
        <v>3628.8368571428578</v>
      </c>
      <c r="U872" s="76">
        <f t="shared" si="158"/>
        <v>1928.5714285714287</v>
      </c>
      <c r="AO872" s="53">
        <f t="shared" si="159"/>
        <v>0</v>
      </c>
      <c r="AP872" s="53">
        <f t="shared" si="159"/>
        <v>3899571.4285714286</v>
      </c>
      <c r="AQ872" s="53">
        <f t="shared" si="159"/>
        <v>3857142.8571428573</v>
      </c>
      <c r="AR872" s="53">
        <f t="shared" si="159"/>
        <v>0</v>
      </c>
      <c r="AS872" s="53">
        <f t="shared" si="159"/>
        <v>0</v>
      </c>
      <c r="AT872" s="53">
        <f t="shared" si="159"/>
        <v>0</v>
      </c>
      <c r="AU872" s="53">
        <f t="shared" si="159"/>
        <v>0</v>
      </c>
      <c r="AV872" s="53">
        <f t="shared" si="159"/>
        <v>0</v>
      </c>
      <c r="AW872" s="53">
        <f t="shared" si="159"/>
        <v>0</v>
      </c>
      <c r="AX872" s="53">
        <f t="shared" si="160"/>
        <v>0</v>
      </c>
      <c r="AY872" s="41" t="s">
        <v>557</v>
      </c>
    </row>
    <row r="873" spans="1:51" x14ac:dyDescent="0.2">
      <c r="A873" s="86" t="s">
        <v>402</v>
      </c>
      <c r="B873" s="41" t="s">
        <v>596</v>
      </c>
      <c r="C873" s="41" t="s">
        <v>91</v>
      </c>
      <c r="D873" s="41" t="s">
        <v>401</v>
      </c>
      <c r="E873" s="41">
        <v>0</v>
      </c>
      <c r="F873" s="41" t="s">
        <v>390</v>
      </c>
      <c r="G873" s="53">
        <f>290000/0.7</f>
        <v>414285.71428571432</v>
      </c>
      <c r="I873" s="41">
        <v>8.6999999999999993</v>
      </c>
      <c r="J873" s="77">
        <v>10</v>
      </c>
      <c r="T873" s="53">
        <f>75175*31.1/1000/0.7</f>
        <v>3339.9178571428574</v>
      </c>
      <c r="U873" s="76">
        <f t="shared" si="158"/>
        <v>2071.4285714285716</v>
      </c>
      <c r="AO873" s="53">
        <f t="shared" si="159"/>
        <v>0</v>
      </c>
      <c r="AP873" s="53">
        <f t="shared" si="159"/>
        <v>3604285.7142857141</v>
      </c>
      <c r="AQ873" s="53">
        <f t="shared" si="159"/>
        <v>4142857.1428571432</v>
      </c>
      <c r="AR873" s="53">
        <f t="shared" si="159"/>
        <v>0</v>
      </c>
      <c r="AS873" s="53">
        <f t="shared" si="159"/>
        <v>0</v>
      </c>
      <c r="AT873" s="53">
        <f t="shared" si="159"/>
        <v>0</v>
      </c>
      <c r="AU873" s="53">
        <f t="shared" si="159"/>
        <v>0</v>
      </c>
      <c r="AV873" s="53">
        <f t="shared" si="159"/>
        <v>0</v>
      </c>
      <c r="AW873" s="53">
        <f t="shared" si="159"/>
        <v>0</v>
      </c>
      <c r="AX873" s="53">
        <f t="shared" si="160"/>
        <v>0</v>
      </c>
      <c r="AY873" s="41" t="s">
        <v>557</v>
      </c>
    </row>
    <row r="874" spans="1:51" x14ac:dyDescent="0.2">
      <c r="A874" s="86" t="s">
        <v>402</v>
      </c>
      <c r="B874" s="41" t="s">
        <v>576</v>
      </c>
      <c r="C874" s="41" t="s">
        <v>91</v>
      </c>
      <c r="D874" s="41" t="s">
        <v>401</v>
      </c>
      <c r="E874" s="41">
        <v>0</v>
      </c>
      <c r="F874" s="41" t="s">
        <v>390</v>
      </c>
      <c r="G874" s="53">
        <f>306000/0.7</f>
        <v>437142.85714285716</v>
      </c>
      <c r="I874" s="41">
        <v>7.58</v>
      </c>
      <c r="J874" s="77">
        <v>10</v>
      </c>
      <c r="T874" s="53">
        <f>69443*31.1/1000/0.7</f>
        <v>3085.2532857142864</v>
      </c>
      <c r="U874" s="76">
        <f t="shared" si="158"/>
        <v>2185.7142857142858</v>
      </c>
      <c r="AO874" s="53">
        <f t="shared" si="159"/>
        <v>0</v>
      </c>
      <c r="AP874" s="53">
        <f t="shared" si="159"/>
        <v>3313542.8571428573</v>
      </c>
      <c r="AQ874" s="53">
        <f t="shared" si="159"/>
        <v>4371428.5714285718</v>
      </c>
      <c r="AR874" s="53">
        <f t="shared" si="159"/>
        <v>0</v>
      </c>
      <c r="AS874" s="53">
        <f t="shared" si="159"/>
        <v>0</v>
      </c>
      <c r="AT874" s="53">
        <f t="shared" si="159"/>
        <v>0</v>
      </c>
      <c r="AU874" s="53">
        <f t="shared" si="159"/>
        <v>0</v>
      </c>
      <c r="AV874" s="53">
        <f t="shared" si="159"/>
        <v>0</v>
      </c>
      <c r="AW874" s="53">
        <f t="shared" si="159"/>
        <v>0</v>
      </c>
      <c r="AX874" s="53">
        <f t="shared" si="160"/>
        <v>0</v>
      </c>
      <c r="AY874" s="41" t="s">
        <v>557</v>
      </c>
    </row>
    <row r="875" spans="1:51" x14ac:dyDescent="0.2">
      <c r="A875" s="86" t="s">
        <v>402</v>
      </c>
      <c r="B875" s="41" t="s">
        <v>578</v>
      </c>
      <c r="C875" s="41" t="s">
        <v>91</v>
      </c>
      <c r="D875" s="41" t="s">
        <v>401</v>
      </c>
      <c r="E875" s="41">
        <v>0</v>
      </c>
      <c r="F875" s="41" t="s">
        <v>390</v>
      </c>
      <c r="G875" s="53">
        <f>336000/0.7</f>
        <v>480000.00000000006</v>
      </c>
      <c r="I875" s="41">
        <v>7.24</v>
      </c>
      <c r="J875" s="77">
        <v>10</v>
      </c>
      <c r="T875" s="53">
        <f>71932*31.1/1000/0.7</f>
        <v>3195.8360000000002</v>
      </c>
      <c r="U875" s="76">
        <f t="shared" si="158"/>
        <v>2400.0000000000005</v>
      </c>
      <c r="AO875" s="53">
        <f t="shared" si="159"/>
        <v>0</v>
      </c>
      <c r="AP875" s="53">
        <f t="shared" si="159"/>
        <v>3475200.0000000005</v>
      </c>
      <c r="AQ875" s="53">
        <f t="shared" si="159"/>
        <v>4800000.0000000009</v>
      </c>
      <c r="AR875" s="53">
        <f t="shared" si="159"/>
        <v>0</v>
      </c>
      <c r="AS875" s="53">
        <f t="shared" si="159"/>
        <v>0</v>
      </c>
      <c r="AT875" s="53">
        <f t="shared" si="159"/>
        <v>0</v>
      </c>
      <c r="AU875" s="53">
        <f t="shared" si="159"/>
        <v>0</v>
      </c>
      <c r="AV875" s="53">
        <f t="shared" si="159"/>
        <v>0</v>
      </c>
      <c r="AW875" s="53">
        <f t="shared" si="159"/>
        <v>0</v>
      </c>
      <c r="AX875" s="53">
        <f t="shared" si="160"/>
        <v>0</v>
      </c>
      <c r="AY875" s="41" t="s">
        <v>557</v>
      </c>
    </row>
    <row r="876" spans="1:51" x14ac:dyDescent="0.2">
      <c r="A876" s="86" t="s">
        <v>402</v>
      </c>
      <c r="B876" s="41" t="s">
        <v>579</v>
      </c>
      <c r="C876" s="41" t="s">
        <v>91</v>
      </c>
      <c r="D876" s="41" t="s">
        <v>401</v>
      </c>
      <c r="E876" s="41">
        <v>0</v>
      </c>
      <c r="F876" s="41" t="s">
        <v>390</v>
      </c>
      <c r="G876" s="53">
        <f>350000/0.7</f>
        <v>500000.00000000006</v>
      </c>
      <c r="I876" s="41">
        <v>6.86</v>
      </c>
      <c r="J876" s="77">
        <v>10</v>
      </c>
      <c r="T876" s="53">
        <f>71206*31.1/1000/0.7</f>
        <v>3163.5808571428574</v>
      </c>
      <c r="U876" s="76">
        <f>0.5*J876*G876/1000</f>
        <v>2500.0000000000005</v>
      </c>
      <c r="AO876" s="53">
        <f t="shared" si="159"/>
        <v>0</v>
      </c>
      <c r="AP876" s="53">
        <f t="shared" si="159"/>
        <v>3430000.0000000005</v>
      </c>
      <c r="AQ876" s="53">
        <f t="shared" si="159"/>
        <v>5000000.0000000009</v>
      </c>
      <c r="AR876" s="53">
        <f t="shared" si="159"/>
        <v>0</v>
      </c>
      <c r="AS876" s="53">
        <f t="shared" si="159"/>
        <v>0</v>
      </c>
      <c r="AT876" s="53">
        <f t="shared" si="159"/>
        <v>0</v>
      </c>
      <c r="AU876" s="53">
        <f t="shared" si="159"/>
        <v>0</v>
      </c>
      <c r="AV876" s="53">
        <f t="shared" si="159"/>
        <v>0</v>
      </c>
      <c r="AW876" s="53">
        <f t="shared" si="159"/>
        <v>0</v>
      </c>
      <c r="AX876" s="53">
        <f t="shared" si="160"/>
        <v>0</v>
      </c>
      <c r="AY876" s="41" t="s">
        <v>557</v>
      </c>
    </row>
    <row r="877" spans="1:51" x14ac:dyDescent="0.2">
      <c r="A877" s="86" t="s">
        <v>402</v>
      </c>
      <c r="B877" s="41" t="s">
        <v>571</v>
      </c>
      <c r="C877" s="41" t="s">
        <v>91</v>
      </c>
      <c r="D877" s="41" t="s">
        <v>401</v>
      </c>
      <c r="E877" s="41">
        <v>0</v>
      </c>
      <c r="F877" s="41" t="s">
        <v>390</v>
      </c>
      <c r="G877" s="53">
        <f>(124000/0.7)+133000+125000+136000</f>
        <v>571142.85714285716</v>
      </c>
      <c r="I877" s="46">
        <f>(6.46*(124000/0.7)+6.44*133000+6.37*125000+6.32*136000)/G877</f>
        <v>6.4023086543271637</v>
      </c>
      <c r="J877" s="54">
        <f>1000*U877/G877/0.5</f>
        <v>5.9015322661330671</v>
      </c>
      <c r="T877" s="53">
        <f>((23787/0.7)+25724+24119+26215)*31.1/1000/0.7</f>
        <v>4888.8946122448988</v>
      </c>
      <c r="U877" s="53">
        <f>(17117+20816)*31.1/1000/0.7</f>
        <v>1685.3090000000002</v>
      </c>
      <c r="AO877" s="53">
        <f t="shared" si="159"/>
        <v>0</v>
      </c>
      <c r="AP877" s="53">
        <f t="shared" si="159"/>
        <v>3656632.8571428573</v>
      </c>
      <c r="AQ877" s="53">
        <f t="shared" si="159"/>
        <v>3370618.0000000005</v>
      </c>
      <c r="AR877" s="53">
        <f t="shared" si="159"/>
        <v>0</v>
      </c>
      <c r="AS877" s="53">
        <f t="shared" si="159"/>
        <v>0</v>
      </c>
      <c r="AT877" s="53">
        <f t="shared" si="159"/>
        <v>0</v>
      </c>
      <c r="AU877" s="53">
        <f t="shared" si="159"/>
        <v>0</v>
      </c>
      <c r="AV877" s="53">
        <f t="shared" si="159"/>
        <v>0</v>
      </c>
      <c r="AW877" s="53">
        <f t="shared" si="159"/>
        <v>0</v>
      </c>
      <c r="AX877" s="53">
        <f t="shared" si="160"/>
        <v>0</v>
      </c>
      <c r="AY877" s="41" t="s">
        <v>557</v>
      </c>
    </row>
    <row r="878" spans="1:51" x14ac:dyDescent="0.2">
      <c r="A878" s="86" t="s">
        <v>402</v>
      </c>
      <c r="B878" s="41" t="s">
        <v>573</v>
      </c>
      <c r="C878" s="41" t="s">
        <v>91</v>
      </c>
      <c r="D878" s="41" t="s">
        <v>401</v>
      </c>
      <c r="E878" s="41">
        <v>0</v>
      </c>
      <c r="F878" s="41" t="s">
        <v>390</v>
      </c>
      <c r="G878" s="53">
        <v>522000</v>
      </c>
      <c r="I878" s="41">
        <v>6.53</v>
      </c>
      <c r="J878" s="54">
        <f>1000*U878/G878/0.5</f>
        <v>14.46277668308703</v>
      </c>
      <c r="T878" s="53">
        <f>102560*31.1/1000/0.7</f>
        <v>4556.5942857142863</v>
      </c>
      <c r="U878" s="53">
        <f>84963*31.1/1000/0.7</f>
        <v>3774.7847142857149</v>
      </c>
      <c r="AO878" s="53">
        <f t="shared" si="159"/>
        <v>0</v>
      </c>
      <c r="AP878" s="53">
        <f t="shared" si="159"/>
        <v>3408660</v>
      </c>
      <c r="AQ878" s="53">
        <f t="shared" si="159"/>
        <v>7549569.42857143</v>
      </c>
      <c r="AR878" s="53">
        <f t="shared" si="159"/>
        <v>0</v>
      </c>
      <c r="AS878" s="53">
        <f t="shared" si="159"/>
        <v>0</v>
      </c>
      <c r="AT878" s="53">
        <f t="shared" si="159"/>
        <v>0</v>
      </c>
      <c r="AU878" s="53">
        <f t="shared" si="159"/>
        <v>0</v>
      </c>
      <c r="AV878" s="53">
        <f t="shared" si="159"/>
        <v>0</v>
      </c>
      <c r="AW878" s="53">
        <f t="shared" si="159"/>
        <v>0</v>
      </c>
      <c r="AX878" s="53">
        <f t="shared" si="160"/>
        <v>0</v>
      </c>
      <c r="AY878" s="41" t="s">
        <v>557</v>
      </c>
    </row>
    <row r="879" spans="1:51" x14ac:dyDescent="0.2">
      <c r="A879" s="86" t="s">
        <v>402</v>
      </c>
      <c r="B879" s="41" t="s">
        <v>580</v>
      </c>
      <c r="C879" s="41" t="s">
        <v>91</v>
      </c>
      <c r="D879" s="41" t="s">
        <v>401</v>
      </c>
      <c r="E879" s="41">
        <v>0</v>
      </c>
      <c r="F879" s="41" t="s">
        <v>390</v>
      </c>
      <c r="G879" s="53">
        <v>514000</v>
      </c>
      <c r="I879" s="41">
        <v>6.12</v>
      </c>
      <c r="J879" s="54">
        <f>1000*U879/G879/0.5</f>
        <v>15.110036131183994</v>
      </c>
      <c r="T879" s="53">
        <f>95064*31.1/1000/0.7</f>
        <v>4223.5577142857137</v>
      </c>
      <c r="U879" s="53">
        <f>87405*31.1/1000/0.7</f>
        <v>3883.2792857142863</v>
      </c>
      <c r="AO879" s="53">
        <f t="shared" si="159"/>
        <v>0</v>
      </c>
      <c r="AP879" s="53">
        <f t="shared" si="159"/>
        <v>3145680</v>
      </c>
      <c r="AQ879" s="53">
        <f t="shared" si="159"/>
        <v>7766558.5714285728</v>
      </c>
      <c r="AR879" s="53">
        <f t="shared" si="159"/>
        <v>0</v>
      </c>
      <c r="AS879" s="53">
        <f t="shared" si="159"/>
        <v>0</v>
      </c>
      <c r="AT879" s="53">
        <f t="shared" si="159"/>
        <v>0</v>
      </c>
      <c r="AU879" s="53">
        <f t="shared" si="159"/>
        <v>0</v>
      </c>
      <c r="AV879" s="53">
        <f t="shared" si="159"/>
        <v>0</v>
      </c>
      <c r="AW879" s="53">
        <f t="shared" si="159"/>
        <v>0</v>
      </c>
      <c r="AX879" s="53">
        <f t="shared" si="160"/>
        <v>0</v>
      </c>
      <c r="AY879" s="41" t="s">
        <v>557</v>
      </c>
    </row>
    <row r="880" spans="1:51" x14ac:dyDescent="0.2">
      <c r="A880" s="86" t="s">
        <v>402</v>
      </c>
      <c r="B880" s="41" t="s">
        <v>581</v>
      </c>
      <c r="C880" s="41" t="s">
        <v>91</v>
      </c>
      <c r="D880" s="41" t="s">
        <v>401</v>
      </c>
      <c r="E880" s="41">
        <v>0</v>
      </c>
      <c r="F880" s="41" t="s">
        <v>390</v>
      </c>
      <c r="G880" s="53">
        <v>541000</v>
      </c>
      <c r="I880" s="41">
        <v>5.72</v>
      </c>
      <c r="J880" s="54">
        <f>1000*U880/G880/0.5</f>
        <v>8.421719038817006</v>
      </c>
      <c r="T880" s="53">
        <f>93064*31.1/1000/0.7</f>
        <v>4134.7005714285715</v>
      </c>
      <c r="U880" s="53">
        <f>51275*31.1/1000/0.7</f>
        <v>2278.0749999999998</v>
      </c>
      <c r="AO880" s="53">
        <f t="shared" si="159"/>
        <v>0</v>
      </c>
      <c r="AP880" s="53">
        <f t="shared" si="159"/>
        <v>3094520</v>
      </c>
      <c r="AQ880" s="53">
        <f t="shared" si="159"/>
        <v>4556150</v>
      </c>
      <c r="AR880" s="53">
        <f t="shared" si="159"/>
        <v>0</v>
      </c>
      <c r="AS880" s="53">
        <f t="shared" si="159"/>
        <v>0</v>
      </c>
      <c r="AT880" s="53">
        <f t="shared" si="159"/>
        <v>0</v>
      </c>
      <c r="AU880" s="53">
        <f t="shared" si="159"/>
        <v>0</v>
      </c>
      <c r="AV880" s="53">
        <f t="shared" si="159"/>
        <v>0</v>
      </c>
      <c r="AW880" s="53">
        <f t="shared" si="159"/>
        <v>0</v>
      </c>
      <c r="AX880" s="53">
        <f t="shared" si="160"/>
        <v>0</v>
      </c>
      <c r="AY880" s="41" t="s">
        <v>557</v>
      </c>
    </row>
    <row r="881" spans="1:51" x14ac:dyDescent="0.2">
      <c r="A881" s="86" t="s">
        <v>402</v>
      </c>
      <c r="B881" s="41" t="s">
        <v>597</v>
      </c>
      <c r="C881" s="41" t="s">
        <v>91</v>
      </c>
      <c r="D881" s="41" t="s">
        <v>401</v>
      </c>
      <c r="E881" s="41">
        <v>0</v>
      </c>
      <c r="F881" s="41" t="s">
        <v>390</v>
      </c>
      <c r="G881" s="53">
        <v>511000</v>
      </c>
      <c r="I881" s="41">
        <v>5.92</v>
      </c>
      <c r="J881" s="54">
        <f>1000*U881/G881/0.5</f>
        <v>8.7867715963097588</v>
      </c>
      <c r="T881" s="53">
        <f>90626*31.1/1000/0.7</f>
        <v>4026.3837142857146</v>
      </c>
      <c r="U881" s="53">
        <f>50531*31.1/1000/0.7</f>
        <v>2245.0201428571431</v>
      </c>
      <c r="AO881" s="53">
        <f t="shared" si="159"/>
        <v>0</v>
      </c>
      <c r="AP881" s="53">
        <f t="shared" si="159"/>
        <v>3025120</v>
      </c>
      <c r="AQ881" s="53">
        <f t="shared" si="159"/>
        <v>4490040.2857142864</v>
      </c>
      <c r="AR881" s="53">
        <f t="shared" si="159"/>
        <v>0</v>
      </c>
      <c r="AS881" s="53">
        <f t="shared" si="159"/>
        <v>0</v>
      </c>
      <c r="AT881" s="53">
        <f t="shared" si="159"/>
        <v>0</v>
      </c>
      <c r="AU881" s="53">
        <f t="shared" si="159"/>
        <v>0</v>
      </c>
      <c r="AV881" s="53">
        <f t="shared" si="159"/>
        <v>0</v>
      </c>
      <c r="AW881" s="53">
        <f t="shared" si="159"/>
        <v>0</v>
      </c>
      <c r="AX881" s="53">
        <f t="shared" si="160"/>
        <v>0</v>
      </c>
      <c r="AY881" s="41" t="s">
        <v>557</v>
      </c>
    </row>
    <row r="882" spans="1:51" x14ac:dyDescent="0.2">
      <c r="A882" s="86" t="s">
        <v>402</v>
      </c>
      <c r="B882" s="60" t="s">
        <v>559</v>
      </c>
      <c r="C882" s="60" t="s">
        <v>91</v>
      </c>
      <c r="D882" s="60" t="s">
        <v>401</v>
      </c>
      <c r="E882" s="60">
        <v>0</v>
      </c>
      <c r="F882" s="60" t="s">
        <v>390</v>
      </c>
      <c r="G882" s="79">
        <f>SUM(G870:G881)</f>
        <v>5326285.7142857146</v>
      </c>
      <c r="I882" s="80">
        <f>AP882/$G882</f>
        <v>7.323285859886278</v>
      </c>
      <c r="J882" s="78">
        <f>AQ882/$G882</f>
        <v>10.214315899581589</v>
      </c>
      <c r="T882" s="79">
        <f>SUM(T870:T881)</f>
        <v>42856.574326530616</v>
      </c>
      <c r="U882" s="79">
        <f>SUM(U870:U881)</f>
        <v>27202.182428571428</v>
      </c>
      <c r="AO882" s="79">
        <f>SUM(AO870:AO881)</f>
        <v>0</v>
      </c>
      <c r="AP882" s="79">
        <f t="shared" ref="AP882:AX882" si="161">SUM(AP870:AP881)</f>
        <v>39005912.857142858</v>
      </c>
      <c r="AQ882" s="79">
        <f t="shared" si="161"/>
        <v>54404364.857142858</v>
      </c>
      <c r="AR882" s="79">
        <f t="shared" si="161"/>
        <v>0</v>
      </c>
      <c r="AS882" s="79">
        <f t="shared" si="161"/>
        <v>0</v>
      </c>
      <c r="AT882" s="79">
        <f t="shared" si="161"/>
        <v>0</v>
      </c>
      <c r="AU882" s="79">
        <f t="shared" si="161"/>
        <v>0</v>
      </c>
      <c r="AV882" s="79">
        <f t="shared" si="161"/>
        <v>0</v>
      </c>
      <c r="AW882" s="79">
        <f t="shared" si="161"/>
        <v>0</v>
      </c>
      <c r="AX882" s="79">
        <f t="shared" si="161"/>
        <v>0</v>
      </c>
      <c r="AY882" s="41" t="s">
        <v>557</v>
      </c>
    </row>
    <row r="883" spans="1:51" x14ac:dyDescent="0.2">
      <c r="A883" s="86" t="s">
        <v>402</v>
      </c>
      <c r="B883" s="43" t="s">
        <v>560</v>
      </c>
      <c r="G883" s="53">
        <f>STDEV(G870:G881)</f>
        <v>121425.7753688779</v>
      </c>
      <c r="I883" s="46">
        <f>STDEV(I870:I881)</f>
        <v>1.8895650254924048</v>
      </c>
      <c r="J883" s="47">
        <f>STDEV(J870:J881)</f>
        <v>2.4530014282983092</v>
      </c>
      <c r="T883" s="53">
        <f>STDEV(T870:T881)</f>
        <v>957.34832651782983</v>
      </c>
      <c r="U883" s="53">
        <f>STDEV(U870:U881)</f>
        <v>877.8016403909694</v>
      </c>
      <c r="AY883" s="41" t="s">
        <v>557</v>
      </c>
    </row>
    <row r="884" spans="1:51" x14ac:dyDescent="0.2">
      <c r="A884" s="86" t="s">
        <v>402</v>
      </c>
      <c r="B884" s="81" t="s">
        <v>249</v>
      </c>
      <c r="G884" s="41">
        <f>COUNT(G870:G881)</f>
        <v>12</v>
      </c>
      <c r="I884" s="41">
        <f>COUNT(I870:I881)</f>
        <v>12</v>
      </c>
      <c r="J884" s="41">
        <f>COUNT(J870:J881)</f>
        <v>12</v>
      </c>
      <c r="T884" s="41">
        <f>COUNT(T870:T881)</f>
        <v>12</v>
      </c>
      <c r="U884" s="41">
        <f>COUNT(U870:U881)</f>
        <v>12</v>
      </c>
      <c r="AY884" s="41" t="s">
        <v>557</v>
      </c>
    </row>
    <row r="885" spans="1:51" x14ac:dyDescent="0.2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  <c r="AA885" s="82"/>
      <c r="AB885" s="82"/>
      <c r="AC885" s="82"/>
      <c r="AD885" s="82"/>
      <c r="AE885" s="82"/>
      <c r="AF885" s="82"/>
      <c r="AG885" s="82"/>
      <c r="AH885" s="82"/>
      <c r="AI885" s="82"/>
      <c r="AJ885" s="82"/>
      <c r="AK885" s="82"/>
      <c r="AL885" s="82"/>
      <c r="AM885" s="82"/>
      <c r="AN885" s="82"/>
      <c r="AO885" s="82"/>
      <c r="AP885" s="82"/>
      <c r="AQ885" s="82"/>
      <c r="AR885" s="82"/>
      <c r="AS885" s="82"/>
      <c r="AT885" s="82"/>
      <c r="AU885" s="82"/>
      <c r="AV885" s="82"/>
      <c r="AW885" s="82"/>
      <c r="AX885" s="82"/>
      <c r="AY885" s="41" t="s">
        <v>557</v>
      </c>
    </row>
    <row r="886" spans="1:51" x14ac:dyDescent="0.2">
      <c r="A886" s="86" t="s">
        <v>617</v>
      </c>
      <c r="B886" s="41">
        <v>2002</v>
      </c>
      <c r="C886" s="41" t="s">
        <v>91</v>
      </c>
      <c r="D886" s="41" t="s">
        <v>401</v>
      </c>
      <c r="E886" s="41">
        <v>0</v>
      </c>
      <c r="F886" s="41" t="s">
        <v>390</v>
      </c>
      <c r="G886" s="53">
        <f>220000*0.9072</f>
        <v>199584</v>
      </c>
      <c r="I886" s="46">
        <f>0.182*31.1/0.9072</f>
        <v>6.2391975308641969</v>
      </c>
      <c r="T886" s="53">
        <f>40000*31.1/1000</f>
        <v>1244</v>
      </c>
      <c r="AO886" s="53">
        <f t="shared" ref="AO886:AW887" si="162">$G886*H886</f>
        <v>0</v>
      </c>
      <c r="AP886" s="53">
        <f t="shared" si="162"/>
        <v>1245243.9999999998</v>
      </c>
      <c r="AQ886" s="53">
        <f t="shared" si="162"/>
        <v>0</v>
      </c>
      <c r="AR886" s="53">
        <f t="shared" si="162"/>
        <v>0</v>
      </c>
      <c r="AS886" s="53">
        <f t="shared" si="162"/>
        <v>0</v>
      </c>
      <c r="AT886" s="53">
        <f t="shared" si="162"/>
        <v>0</v>
      </c>
      <c r="AU886" s="53">
        <f t="shared" si="162"/>
        <v>0</v>
      </c>
      <c r="AV886" s="53">
        <f t="shared" si="162"/>
        <v>0</v>
      </c>
      <c r="AW886" s="53">
        <f t="shared" si="162"/>
        <v>0</v>
      </c>
      <c r="AX886" s="53">
        <f t="shared" si="160"/>
        <v>0</v>
      </c>
      <c r="AY886" s="41" t="s">
        <v>557</v>
      </c>
    </row>
    <row r="887" spans="1:51" x14ac:dyDescent="0.2">
      <c r="A887" s="86" t="s">
        <v>617</v>
      </c>
      <c r="B887" s="41">
        <v>2003</v>
      </c>
      <c r="C887" s="41" t="s">
        <v>91</v>
      </c>
      <c r="D887" s="41" t="s">
        <v>401</v>
      </c>
      <c r="E887" s="41">
        <v>0</v>
      </c>
      <c r="F887" s="41" t="s">
        <v>390</v>
      </c>
      <c r="G887" s="53">
        <f>224000*0.9072</f>
        <v>203212.79999999999</v>
      </c>
      <c r="I887" s="46">
        <f>0.172*31.1/0.9072</f>
        <v>5.8963844797178124</v>
      </c>
      <c r="T887" s="53">
        <f>37000*31.1/1000</f>
        <v>1150.7</v>
      </c>
      <c r="AO887" s="53">
        <f t="shared" si="162"/>
        <v>0</v>
      </c>
      <c r="AP887" s="53">
        <f t="shared" si="162"/>
        <v>1198220.7999999998</v>
      </c>
      <c r="AQ887" s="53">
        <f t="shared" si="162"/>
        <v>0</v>
      </c>
      <c r="AR887" s="53">
        <f t="shared" si="162"/>
        <v>0</v>
      </c>
      <c r="AS887" s="53">
        <f t="shared" si="162"/>
        <v>0</v>
      </c>
      <c r="AT887" s="53">
        <f t="shared" si="162"/>
        <v>0</v>
      </c>
      <c r="AU887" s="53">
        <f t="shared" si="162"/>
        <v>0</v>
      </c>
      <c r="AV887" s="53">
        <f t="shared" si="162"/>
        <v>0</v>
      </c>
      <c r="AW887" s="53">
        <f t="shared" si="162"/>
        <v>0</v>
      </c>
      <c r="AX887" s="53">
        <f t="shared" si="160"/>
        <v>0</v>
      </c>
      <c r="AY887" s="41" t="s">
        <v>557</v>
      </c>
    </row>
    <row r="888" spans="1:51" x14ac:dyDescent="0.2">
      <c r="A888" s="86" t="s">
        <v>617</v>
      </c>
      <c r="B888" s="60" t="s">
        <v>248</v>
      </c>
      <c r="C888" s="60" t="s">
        <v>91</v>
      </c>
      <c r="D888" s="60" t="s">
        <v>401</v>
      </c>
      <c r="E888" s="60">
        <v>0</v>
      </c>
      <c r="F888" s="60" t="s">
        <v>390</v>
      </c>
      <c r="G888" s="79">
        <f>AVERAGE(G886:G887)</f>
        <v>201398.39999999999</v>
      </c>
      <c r="I888" s="80">
        <f>AP888/SUM($G886:$G887)</f>
        <v>6.066246802357913</v>
      </c>
      <c r="T888" s="79">
        <f>AVERAGE(T886:T887)</f>
        <v>1197.3499999999999</v>
      </c>
      <c r="AO888" s="79">
        <f>SUM(AO886:AO887)</f>
        <v>0</v>
      </c>
      <c r="AP888" s="79">
        <f t="shared" ref="AP888:AX888" si="163">SUM(AP886:AP887)</f>
        <v>2443464.7999999998</v>
      </c>
      <c r="AQ888" s="79">
        <f t="shared" si="163"/>
        <v>0</v>
      </c>
      <c r="AR888" s="79">
        <f t="shared" si="163"/>
        <v>0</v>
      </c>
      <c r="AS888" s="79">
        <f t="shared" si="163"/>
        <v>0</v>
      </c>
      <c r="AT888" s="79">
        <f t="shared" si="163"/>
        <v>0</v>
      </c>
      <c r="AU888" s="79">
        <f t="shared" si="163"/>
        <v>0</v>
      </c>
      <c r="AV888" s="79">
        <f t="shared" si="163"/>
        <v>0</v>
      </c>
      <c r="AW888" s="79">
        <f t="shared" si="163"/>
        <v>0</v>
      </c>
      <c r="AX888" s="79">
        <f t="shared" si="163"/>
        <v>0</v>
      </c>
      <c r="AY888" s="41" t="s">
        <v>557</v>
      </c>
    </row>
    <row r="889" spans="1:51" x14ac:dyDescent="0.2">
      <c r="A889" s="86" t="s">
        <v>617</v>
      </c>
      <c r="B889" s="43" t="s">
        <v>560</v>
      </c>
      <c r="G889" s="53">
        <f>STDEV(G886:G887)</f>
        <v>2565.9490875697356</v>
      </c>
      <c r="I889" s="47">
        <f>STDEV(I886:I887)</f>
        <v>0.24240543314485924</v>
      </c>
      <c r="T889" s="53">
        <f>STDEV(T886:T887)</f>
        <v>65.973062684704857</v>
      </c>
      <c r="AY889" s="41" t="s">
        <v>557</v>
      </c>
    </row>
    <row r="890" spans="1:51" x14ac:dyDescent="0.2">
      <c r="A890" s="86" t="s">
        <v>617</v>
      </c>
      <c r="B890" s="81" t="s">
        <v>249</v>
      </c>
      <c r="G890" s="41">
        <f>COUNT(G886:G887)</f>
        <v>2</v>
      </c>
      <c r="I890" s="41">
        <f>COUNT(I886:I887)</f>
        <v>2</v>
      </c>
      <c r="T890" s="41">
        <f>COUNT(T886:T887)</f>
        <v>2</v>
      </c>
      <c r="AY890" s="41" t="s">
        <v>557</v>
      </c>
    </row>
    <row r="891" spans="1:51" x14ac:dyDescent="0.2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  <c r="AA891" s="82"/>
      <c r="AB891" s="82"/>
      <c r="AC891" s="82"/>
      <c r="AD891" s="82"/>
      <c r="AE891" s="82"/>
      <c r="AF891" s="82"/>
      <c r="AG891" s="82"/>
      <c r="AH891" s="82"/>
      <c r="AI891" s="82"/>
      <c r="AJ891" s="82"/>
      <c r="AK891" s="82"/>
      <c r="AL891" s="82"/>
      <c r="AM891" s="82"/>
      <c r="AN891" s="82"/>
      <c r="AO891" s="82"/>
      <c r="AP891" s="82"/>
      <c r="AQ891" s="82"/>
      <c r="AR891" s="82"/>
      <c r="AS891" s="82"/>
      <c r="AT891" s="82"/>
      <c r="AU891" s="82"/>
      <c r="AV891" s="82"/>
      <c r="AW891" s="82"/>
      <c r="AX891" s="82"/>
      <c r="AY891" s="41" t="s">
        <v>557</v>
      </c>
    </row>
    <row r="892" spans="1:51" x14ac:dyDescent="0.2">
      <c r="A892" s="41" t="s">
        <v>618</v>
      </c>
      <c r="B892" s="41">
        <v>2011</v>
      </c>
      <c r="C892" s="41" t="s">
        <v>96</v>
      </c>
      <c r="D892" s="41" t="s">
        <v>619</v>
      </c>
      <c r="E892" s="41">
        <v>100</v>
      </c>
      <c r="F892" s="41" t="s">
        <v>570</v>
      </c>
      <c r="AM892" s="53">
        <v>13440000</v>
      </c>
      <c r="AO892" s="53">
        <f t="shared" ref="AO892:AV897" si="164">$G892*H892</f>
        <v>0</v>
      </c>
      <c r="AP892" s="53">
        <f t="shared" si="164"/>
        <v>0</v>
      </c>
      <c r="AQ892" s="53">
        <f t="shared" si="164"/>
        <v>0</v>
      </c>
      <c r="AR892" s="53">
        <f t="shared" si="164"/>
        <v>0</v>
      </c>
      <c r="AS892" s="53">
        <f t="shared" si="164"/>
        <v>0</v>
      </c>
      <c r="AT892" s="53">
        <f t="shared" si="164"/>
        <v>0</v>
      </c>
      <c r="AU892" s="53">
        <f t="shared" si="164"/>
        <v>0</v>
      </c>
      <c r="AV892" s="53">
        <f t="shared" si="164"/>
        <v>0</v>
      </c>
      <c r="AW892" s="53">
        <f t="shared" ref="AW892:AW897" si="165">P892*Q892</f>
        <v>0</v>
      </c>
      <c r="AX892" s="53">
        <f t="shared" ref="AX892:AX897" si="166">$G892*E892</f>
        <v>0</v>
      </c>
      <c r="AY892" s="41" t="s">
        <v>557</v>
      </c>
    </row>
    <row r="893" spans="1:51" x14ac:dyDescent="0.2">
      <c r="A893" s="41" t="s">
        <v>618</v>
      </c>
      <c r="B893" s="41">
        <v>2012</v>
      </c>
      <c r="C893" s="41" t="s">
        <v>96</v>
      </c>
      <c r="D893" s="41" t="s">
        <v>619</v>
      </c>
      <c r="E893" s="41">
        <v>100</v>
      </c>
      <c r="F893" s="41" t="s">
        <v>570</v>
      </c>
      <c r="G893" s="53">
        <v>358743</v>
      </c>
      <c r="H893" s="47">
        <v>11.829168513392597</v>
      </c>
      <c r="I893" s="47">
        <v>2.230969802895109</v>
      </c>
      <c r="P893" s="53">
        <f>19501+33819</f>
        <v>53320</v>
      </c>
      <c r="Q893" s="47">
        <f>(2.1*19501+4.7*33819)/P893</f>
        <v>3.749088522130533</v>
      </c>
      <c r="R893" s="53">
        <f>6500+40660+60567+36578</f>
        <v>144305</v>
      </c>
      <c r="S893" s="53">
        <v>38110.094000000005</v>
      </c>
      <c r="T893" s="53">
        <v>792.34135200000003</v>
      </c>
      <c r="AH893" s="53">
        <f>G893-R893</f>
        <v>214438</v>
      </c>
      <c r="AM893" s="53">
        <v>20720000</v>
      </c>
      <c r="AO893" s="53">
        <f t="shared" si="164"/>
        <v>4243631.4000000004</v>
      </c>
      <c r="AP893" s="53">
        <f t="shared" si="164"/>
        <v>800344.8</v>
      </c>
      <c r="AQ893" s="53">
        <f t="shared" si="164"/>
        <v>0</v>
      </c>
      <c r="AR893" s="53">
        <f t="shared" si="164"/>
        <v>0</v>
      </c>
      <c r="AS893" s="53">
        <f t="shared" si="164"/>
        <v>0</v>
      </c>
      <c r="AT893" s="53">
        <f t="shared" si="164"/>
        <v>0</v>
      </c>
      <c r="AU893" s="53">
        <f t="shared" si="164"/>
        <v>0</v>
      </c>
      <c r="AV893" s="53">
        <f t="shared" si="164"/>
        <v>0</v>
      </c>
      <c r="AW893" s="53">
        <f t="shared" si="165"/>
        <v>199901.40000000002</v>
      </c>
      <c r="AX893" s="53">
        <f t="shared" si="166"/>
        <v>35874300</v>
      </c>
      <c r="AY893" s="41" t="s">
        <v>557</v>
      </c>
    </row>
    <row r="894" spans="1:51" x14ac:dyDescent="0.2">
      <c r="A894" s="41" t="s">
        <v>618</v>
      </c>
      <c r="B894" s="41">
        <v>2013</v>
      </c>
      <c r="C894" s="41" t="s">
        <v>96</v>
      </c>
      <c r="D894" s="41" t="s">
        <v>619</v>
      </c>
      <c r="E894" s="47">
        <v>24.331477803458331</v>
      </c>
      <c r="F894" s="41" t="s">
        <v>570</v>
      </c>
      <c r="G894" s="53">
        <v>1439481</v>
      </c>
      <c r="H894" s="47">
        <v>5.0602242058075104</v>
      </c>
      <c r="I894" s="47">
        <v>1.5995148946043747</v>
      </c>
      <c r="P894" s="53">
        <f>25251+29876</f>
        <v>55127</v>
      </c>
      <c r="Q894" s="47">
        <f>(3.5*25251+4.1*29876)/P894</f>
        <v>3.8251691548605944</v>
      </c>
      <c r="R894" s="53">
        <f>(17649+48085)+(19595+59939)+68018+62159</f>
        <v>275445</v>
      </c>
      <c r="S894" s="53">
        <v>61288</v>
      </c>
      <c r="T894" s="53">
        <v>2279.4465869999999</v>
      </c>
      <c r="AH894" s="53">
        <f>G894-R894</f>
        <v>1164036</v>
      </c>
      <c r="AM894" s="53">
        <v>15100074.999999998</v>
      </c>
      <c r="AO894" s="53">
        <f t="shared" si="164"/>
        <v>7284096.6000000006</v>
      </c>
      <c r="AP894" s="53">
        <f t="shared" si="164"/>
        <v>2302471.2999999998</v>
      </c>
      <c r="AQ894" s="53">
        <f t="shared" si="164"/>
        <v>0</v>
      </c>
      <c r="AR894" s="53">
        <f t="shared" si="164"/>
        <v>0</v>
      </c>
      <c r="AS894" s="53">
        <f t="shared" si="164"/>
        <v>0</v>
      </c>
      <c r="AT894" s="53">
        <f t="shared" si="164"/>
        <v>0</v>
      </c>
      <c r="AU894" s="53">
        <f t="shared" si="164"/>
        <v>0</v>
      </c>
      <c r="AV894" s="53">
        <f t="shared" si="164"/>
        <v>0</v>
      </c>
      <c r="AW894" s="53">
        <f t="shared" si="165"/>
        <v>210870.09999999998</v>
      </c>
      <c r="AX894" s="53">
        <f t="shared" si="166"/>
        <v>35024700</v>
      </c>
      <c r="AY894" s="41" t="s">
        <v>557</v>
      </c>
    </row>
    <row r="895" spans="1:51" x14ac:dyDescent="0.2">
      <c r="A895" s="41" t="s">
        <v>618</v>
      </c>
      <c r="B895" s="41">
        <v>2014</v>
      </c>
      <c r="C895" s="41" t="s">
        <v>96</v>
      </c>
      <c r="D895" s="41" t="s">
        <v>88</v>
      </c>
      <c r="E895" s="41">
        <v>0</v>
      </c>
      <c r="F895" s="41" t="s">
        <v>570</v>
      </c>
      <c r="G895" s="53">
        <v>1477252</v>
      </c>
      <c r="H895" s="47">
        <v>5.0751727531930912</v>
      </c>
      <c r="I895" s="47">
        <v>1.6453842675454156</v>
      </c>
      <c r="R895" s="53">
        <f>74213+74064+66146+64001</f>
        <v>278424</v>
      </c>
      <c r="S895" s="53">
        <v>67166</v>
      </c>
      <c r="T895" s="53">
        <v>2409.5347000000002</v>
      </c>
      <c r="AH895" s="53">
        <f>G895-R895</f>
        <v>1198828</v>
      </c>
      <c r="AO895" s="53">
        <f t="shared" si="164"/>
        <v>7497309.1000000006</v>
      </c>
      <c r="AP895" s="53">
        <f t="shared" si="164"/>
        <v>2430647.2000000002</v>
      </c>
      <c r="AQ895" s="53">
        <f t="shared" si="164"/>
        <v>0</v>
      </c>
      <c r="AR895" s="53">
        <f t="shared" si="164"/>
        <v>0</v>
      </c>
      <c r="AS895" s="53">
        <f t="shared" si="164"/>
        <v>0</v>
      </c>
      <c r="AT895" s="53">
        <f t="shared" si="164"/>
        <v>0</v>
      </c>
      <c r="AU895" s="53">
        <f t="shared" si="164"/>
        <v>0</v>
      </c>
      <c r="AV895" s="53">
        <f t="shared" si="164"/>
        <v>0</v>
      </c>
      <c r="AW895" s="53">
        <f t="shared" si="165"/>
        <v>0</v>
      </c>
      <c r="AX895" s="53">
        <f t="shared" si="166"/>
        <v>0</v>
      </c>
      <c r="AY895" s="41" t="s">
        <v>557</v>
      </c>
    </row>
    <row r="896" spans="1:51" x14ac:dyDescent="0.2">
      <c r="A896" s="41" t="s">
        <v>618</v>
      </c>
      <c r="B896" s="41">
        <v>2015</v>
      </c>
      <c r="C896" s="41" t="s">
        <v>96</v>
      </c>
      <c r="D896" s="41" t="s">
        <v>88</v>
      </c>
      <c r="E896" s="41">
        <v>0</v>
      </c>
      <c r="F896" s="41" t="s">
        <v>570</v>
      </c>
      <c r="G896" s="53">
        <v>1555036</v>
      </c>
      <c r="H896" s="47">
        <v>4.922327328756376</v>
      </c>
      <c r="I896" s="47">
        <v>1.7077691641865527</v>
      </c>
      <c r="R896" s="53">
        <f>70217+75082+67204+72039</f>
        <v>284542</v>
      </c>
      <c r="S896" s="53">
        <v>70020</v>
      </c>
      <c r="T896" s="53">
        <v>2613.5818000000004</v>
      </c>
      <c r="AH896" s="53">
        <f>G896-R896</f>
        <v>1270494</v>
      </c>
      <c r="AO896" s="53">
        <f t="shared" si="164"/>
        <v>7654396.2000000002</v>
      </c>
      <c r="AP896" s="53">
        <f t="shared" si="164"/>
        <v>2655642.5300000003</v>
      </c>
      <c r="AQ896" s="53">
        <f t="shared" si="164"/>
        <v>0</v>
      </c>
      <c r="AR896" s="53">
        <f t="shared" si="164"/>
        <v>0</v>
      </c>
      <c r="AS896" s="53">
        <f t="shared" si="164"/>
        <v>0</v>
      </c>
      <c r="AT896" s="53">
        <f t="shared" si="164"/>
        <v>0</v>
      </c>
      <c r="AU896" s="53">
        <f t="shared" si="164"/>
        <v>0</v>
      </c>
      <c r="AV896" s="53">
        <f t="shared" si="164"/>
        <v>0</v>
      </c>
      <c r="AW896" s="53">
        <f t="shared" si="165"/>
        <v>0</v>
      </c>
      <c r="AX896" s="53">
        <f t="shared" si="166"/>
        <v>0</v>
      </c>
      <c r="AY896" s="41" t="s">
        <v>557</v>
      </c>
    </row>
    <row r="897" spans="1:51" x14ac:dyDescent="0.2">
      <c r="A897" s="41" t="s">
        <v>618</v>
      </c>
      <c r="B897" s="41">
        <v>2016</v>
      </c>
      <c r="C897" s="41" t="s">
        <v>96</v>
      </c>
      <c r="D897" s="41" t="s">
        <v>88</v>
      </c>
      <c r="E897" s="41">
        <v>0</v>
      </c>
      <c r="F897" s="41" t="s">
        <v>570</v>
      </c>
      <c r="G897" s="53">
        <v>1587848</v>
      </c>
      <c r="H897" s="47">
        <v>4.7029603589260436</v>
      </c>
      <c r="I897" s="47">
        <v>1.87234691229891</v>
      </c>
      <c r="R897" s="53">
        <f>66024+73084+64285+73763</f>
        <v>277156</v>
      </c>
      <c r="S897" s="53">
        <v>74521</v>
      </c>
      <c r="T897" s="53">
        <v>3004.4466000000002</v>
      </c>
      <c r="AH897" s="53">
        <f>G897-R897</f>
        <v>1310692</v>
      </c>
      <c r="AO897" s="53">
        <f t="shared" si="164"/>
        <v>7467586.2000000002</v>
      </c>
      <c r="AP897" s="53">
        <f t="shared" si="164"/>
        <v>2973002.3</v>
      </c>
      <c r="AQ897" s="53">
        <f t="shared" si="164"/>
        <v>0</v>
      </c>
      <c r="AR897" s="53">
        <f t="shared" si="164"/>
        <v>0</v>
      </c>
      <c r="AS897" s="53">
        <f t="shared" si="164"/>
        <v>0</v>
      </c>
      <c r="AT897" s="53">
        <f t="shared" si="164"/>
        <v>0</v>
      </c>
      <c r="AU897" s="53">
        <f t="shared" si="164"/>
        <v>0</v>
      </c>
      <c r="AV897" s="53">
        <f t="shared" si="164"/>
        <v>0</v>
      </c>
      <c r="AW897" s="53">
        <f t="shared" si="165"/>
        <v>0</v>
      </c>
      <c r="AX897" s="53">
        <f t="shared" si="166"/>
        <v>0</v>
      </c>
      <c r="AY897" s="41" t="s">
        <v>557</v>
      </c>
    </row>
    <row r="898" spans="1:51" x14ac:dyDescent="0.2">
      <c r="A898" s="41" t="s">
        <v>618</v>
      </c>
      <c r="B898" s="60" t="s">
        <v>559</v>
      </c>
      <c r="C898" s="60" t="s">
        <v>96</v>
      </c>
      <c r="D898" s="60" t="s">
        <v>88</v>
      </c>
      <c r="E898" s="78">
        <f>(AX898+P898)/G898</f>
        <v>17.063187246917593</v>
      </c>
      <c r="F898" s="60" t="s">
        <v>570</v>
      </c>
      <c r="G898" s="79">
        <f>SUM(G892:G895)+0.5*G896+P898</f>
        <v>4161441</v>
      </c>
      <c r="H898" s="80">
        <f>AO898/$G898</f>
        <v>5.4914235717867932</v>
      </c>
      <c r="I898" s="80">
        <f>(AP898+AW898)/$G898</f>
        <v>1.7474850814898011</v>
      </c>
      <c r="P898" s="79">
        <f>SUM(P892:P895)+0.5*P896</f>
        <v>108447</v>
      </c>
      <c r="Q898" s="78">
        <f>AW898/P898</f>
        <v>3.7877626859203115</v>
      </c>
      <c r="R898" s="79">
        <f>SUM(R892:R895)+0.5*R896</f>
        <v>840445</v>
      </c>
      <c r="S898" s="79">
        <f>SUM(S892:S895)+0.5*S896</f>
        <v>201574.09400000001</v>
      </c>
      <c r="T898" s="79">
        <f>SUM(T892:T895)+0.5*T896</f>
        <v>6788.1135389999999</v>
      </c>
      <c r="AH898" s="79">
        <f>SUM(AH892:AH895)+0.5*AH896</f>
        <v>3212549</v>
      </c>
      <c r="AM898" s="79">
        <f t="shared" ref="AM898:AX898" si="167">SUM(AM892:AM895)+0.5*AM896</f>
        <v>49260075</v>
      </c>
      <c r="AO898" s="79">
        <f t="shared" si="167"/>
        <v>22852235.200000003</v>
      </c>
      <c r="AP898" s="79">
        <f t="shared" si="167"/>
        <v>6861284.5649999995</v>
      </c>
      <c r="AQ898" s="79">
        <f t="shared" si="167"/>
        <v>0</v>
      </c>
      <c r="AR898" s="79">
        <f t="shared" si="167"/>
        <v>0</v>
      </c>
      <c r="AS898" s="79">
        <f t="shared" si="167"/>
        <v>0</v>
      </c>
      <c r="AT898" s="79">
        <f t="shared" si="167"/>
        <v>0</v>
      </c>
      <c r="AU898" s="79">
        <f t="shared" si="167"/>
        <v>0</v>
      </c>
      <c r="AV898" s="79">
        <f t="shared" si="167"/>
        <v>0</v>
      </c>
      <c r="AW898" s="79">
        <f t="shared" si="167"/>
        <v>410771.5</v>
      </c>
      <c r="AX898" s="79">
        <f t="shared" si="167"/>
        <v>70899000</v>
      </c>
      <c r="AY898" s="41" t="s">
        <v>557</v>
      </c>
    </row>
    <row r="899" spans="1:51" x14ac:dyDescent="0.2">
      <c r="A899" s="41" t="s">
        <v>618</v>
      </c>
      <c r="B899" s="43" t="s">
        <v>560</v>
      </c>
      <c r="G899" s="53">
        <f>STDEV(G892:G896)</f>
        <v>567964.48735051497</v>
      </c>
      <c r="H899" s="46">
        <f>STDEV(H892:H896)</f>
        <v>3.4056585468074227</v>
      </c>
      <c r="I899" s="46">
        <f>STDEV(I892:I896)</f>
        <v>0.29341374234261414</v>
      </c>
      <c r="P899" s="53">
        <f>STDEV(P892:P896)</f>
        <v>1277.7419536040913</v>
      </c>
      <c r="Q899" s="47">
        <f>STDEV(Q892:Q896)</f>
        <v>5.3797131320389595E-2</v>
      </c>
      <c r="R899" s="53">
        <f>STDEV(R892:R896)</f>
        <v>67688.675630910875</v>
      </c>
      <c r="S899" s="53">
        <f>STDEV(S892:S896)</f>
        <v>14487.486338660508</v>
      </c>
      <c r="T899" s="53">
        <f>STDEV(T892:T896)</f>
        <v>832.36197809506575</v>
      </c>
      <c r="AH899" s="53">
        <f>STDEV(AH892:AH896)</f>
        <v>500307.74807645479</v>
      </c>
      <c r="AM899" s="53">
        <f>STDEV(AM892:AM896)</f>
        <v>3815272.0744233956</v>
      </c>
      <c r="AY899" s="41" t="s">
        <v>557</v>
      </c>
    </row>
    <row r="900" spans="1:51" x14ac:dyDescent="0.2">
      <c r="A900" s="41" t="s">
        <v>618</v>
      </c>
      <c r="B900" s="81" t="s">
        <v>249</v>
      </c>
      <c r="G900" s="41">
        <f>COUNT(G892:G896)</f>
        <v>4</v>
      </c>
      <c r="H900" s="41">
        <f>COUNT(H892:H896)</f>
        <v>4</v>
      </c>
      <c r="I900" s="41">
        <f>COUNT(I892:I896)</f>
        <v>4</v>
      </c>
      <c r="P900" s="41">
        <f>COUNT(P892:P896)</f>
        <v>2</v>
      </c>
      <c r="Q900" s="59">
        <f>COUNT(Q892:Q896)</f>
        <v>2</v>
      </c>
      <c r="R900" s="41">
        <f>COUNT(R892:R896)</f>
        <v>4</v>
      </c>
      <c r="S900" s="41">
        <f>COUNT(S892:S896)</f>
        <v>4</v>
      </c>
      <c r="T900" s="41">
        <f>COUNT(T892:T896)</f>
        <v>4</v>
      </c>
      <c r="AH900" s="41">
        <f>COUNT(AH892:AH896)</f>
        <v>4</v>
      </c>
      <c r="AM900" s="41">
        <f>COUNT(AM892:AM896)</f>
        <v>3</v>
      </c>
      <c r="AY900" s="41" t="s">
        <v>557</v>
      </c>
    </row>
    <row r="901" spans="1:51" x14ac:dyDescent="0.2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  <c r="AA901" s="82"/>
      <c r="AB901" s="82"/>
      <c r="AC901" s="82"/>
      <c r="AD901" s="82"/>
      <c r="AE901" s="82"/>
      <c r="AF901" s="82"/>
      <c r="AG901" s="82"/>
      <c r="AH901" s="82"/>
      <c r="AI901" s="82"/>
      <c r="AJ901" s="82"/>
      <c r="AK901" s="82"/>
      <c r="AL901" s="82"/>
      <c r="AM901" s="82"/>
      <c r="AN901" s="82"/>
      <c r="AO901" s="82"/>
      <c r="AP901" s="82"/>
      <c r="AQ901" s="82"/>
      <c r="AR901" s="82"/>
      <c r="AS901" s="82"/>
      <c r="AT901" s="82"/>
      <c r="AU901" s="82"/>
      <c r="AV901" s="82"/>
      <c r="AW901" s="82"/>
      <c r="AX901" s="82"/>
      <c r="AY901" s="41" t="s">
        <v>557</v>
      </c>
    </row>
    <row r="902" spans="1:51" x14ac:dyDescent="0.2">
      <c r="AM902" s="53">
        <v>1496000</v>
      </c>
      <c r="AO902" s="53">
        <f t="shared" ref="AO902:AW916" si="168">$G902*H902</f>
        <v>0</v>
      </c>
      <c r="AP902" s="53">
        <f t="shared" si="168"/>
        <v>0</v>
      </c>
      <c r="AQ902" s="53">
        <f t="shared" si="168"/>
        <v>0</v>
      </c>
      <c r="AR902" s="53">
        <f t="shared" si="168"/>
        <v>0</v>
      </c>
      <c r="AS902" s="53">
        <f t="shared" si="168"/>
        <v>0</v>
      </c>
      <c r="AT902" s="53">
        <f t="shared" si="168"/>
        <v>0</v>
      </c>
      <c r="AU902" s="53">
        <f t="shared" si="168"/>
        <v>0</v>
      </c>
      <c r="AV902" s="53">
        <f t="shared" si="168"/>
        <v>0</v>
      </c>
      <c r="AW902" s="53">
        <f t="shared" si="168"/>
        <v>0</v>
      </c>
      <c r="AX902" s="53">
        <f t="shared" ref="AX902:AX916" si="169">$G902*E902</f>
        <v>0</v>
      </c>
      <c r="AY902" s="41" t="s">
        <v>557</v>
      </c>
    </row>
    <row r="903" spans="1:51" x14ac:dyDescent="0.2">
      <c r="A903" s="41" t="s">
        <v>476</v>
      </c>
      <c r="B903" s="41">
        <v>2003</v>
      </c>
      <c r="C903" s="41" t="s">
        <v>96</v>
      </c>
      <c r="D903" s="41" t="s">
        <v>175</v>
      </c>
      <c r="E903" s="41">
        <v>100</v>
      </c>
      <c r="F903" s="41" t="s">
        <v>475</v>
      </c>
      <c r="G903" s="53">
        <v>1194000</v>
      </c>
      <c r="P903" s="90">
        <f t="shared" ref="P903:P916" si="170">AF903/G903</f>
        <v>3.2102177554438862</v>
      </c>
      <c r="AF903" s="53">
        <v>3833000</v>
      </c>
      <c r="AG903" s="41" t="s">
        <v>472</v>
      </c>
      <c r="AM903" s="53">
        <v>25978000</v>
      </c>
      <c r="AO903" s="53">
        <f t="shared" si="168"/>
        <v>0</v>
      </c>
      <c r="AP903" s="53">
        <f t="shared" si="168"/>
        <v>0</v>
      </c>
      <c r="AQ903" s="53">
        <f t="shared" si="168"/>
        <v>0</v>
      </c>
      <c r="AR903" s="53">
        <f t="shared" si="168"/>
        <v>0</v>
      </c>
      <c r="AS903" s="53">
        <f t="shared" si="168"/>
        <v>0</v>
      </c>
      <c r="AT903" s="53">
        <f t="shared" si="168"/>
        <v>0</v>
      </c>
      <c r="AU903" s="53">
        <f t="shared" si="168"/>
        <v>0</v>
      </c>
      <c r="AV903" s="53">
        <f t="shared" si="168"/>
        <v>0</v>
      </c>
      <c r="AW903" s="53">
        <f t="shared" si="168"/>
        <v>3833000</v>
      </c>
      <c r="AX903" s="53">
        <f t="shared" si="169"/>
        <v>119400000</v>
      </c>
      <c r="AY903" s="41" t="s">
        <v>557</v>
      </c>
    </row>
    <row r="904" spans="1:51" x14ac:dyDescent="0.2">
      <c r="A904" s="41" t="s">
        <v>476</v>
      </c>
      <c r="B904" s="41">
        <v>2004</v>
      </c>
      <c r="C904" s="41" t="s">
        <v>96</v>
      </c>
      <c r="D904" s="41" t="s">
        <v>175</v>
      </c>
      <c r="E904" s="41">
        <v>100</v>
      </c>
      <c r="F904" s="41" t="s">
        <v>475</v>
      </c>
      <c r="G904" s="53">
        <v>1950000</v>
      </c>
      <c r="P904" s="90">
        <f t="shared" si="170"/>
        <v>3.8846153846153846</v>
      </c>
      <c r="AF904" s="53">
        <v>7575000</v>
      </c>
      <c r="AG904" s="41" t="s">
        <v>472</v>
      </c>
      <c r="AM904" s="53">
        <v>29755000</v>
      </c>
      <c r="AO904" s="53">
        <f t="shared" si="168"/>
        <v>0</v>
      </c>
      <c r="AP904" s="53">
        <f t="shared" si="168"/>
        <v>0</v>
      </c>
      <c r="AQ904" s="53">
        <f t="shared" si="168"/>
        <v>0</v>
      </c>
      <c r="AR904" s="53">
        <f t="shared" si="168"/>
        <v>0</v>
      </c>
      <c r="AS904" s="53">
        <f t="shared" si="168"/>
        <v>0</v>
      </c>
      <c r="AT904" s="53">
        <f t="shared" si="168"/>
        <v>0</v>
      </c>
      <c r="AU904" s="53">
        <f t="shared" si="168"/>
        <v>0</v>
      </c>
      <c r="AV904" s="53">
        <f t="shared" si="168"/>
        <v>0</v>
      </c>
      <c r="AW904" s="53">
        <f t="shared" si="168"/>
        <v>7575000</v>
      </c>
      <c r="AX904" s="53">
        <f t="shared" si="169"/>
        <v>195000000</v>
      </c>
      <c r="AY904" s="41" t="s">
        <v>557</v>
      </c>
    </row>
    <row r="905" spans="1:51" x14ac:dyDescent="0.2">
      <c r="A905" s="41" t="s">
        <v>476</v>
      </c>
      <c r="B905" s="41">
        <v>2005</v>
      </c>
      <c r="C905" s="41" t="s">
        <v>96</v>
      </c>
      <c r="D905" s="41" t="s">
        <v>175</v>
      </c>
      <c r="E905" s="41">
        <v>100</v>
      </c>
      <c r="F905" s="41" t="s">
        <v>475</v>
      </c>
      <c r="G905" s="53">
        <v>2222000</v>
      </c>
      <c r="P905" s="90">
        <f t="shared" si="170"/>
        <v>3.722772277227723</v>
      </c>
      <c r="AF905" s="53">
        <v>8272000</v>
      </c>
      <c r="AG905" s="41" t="s">
        <v>472</v>
      </c>
      <c r="AM905" s="53">
        <v>26353000</v>
      </c>
      <c r="AO905" s="53">
        <f t="shared" si="168"/>
        <v>0</v>
      </c>
      <c r="AP905" s="53">
        <f t="shared" si="168"/>
        <v>0</v>
      </c>
      <c r="AQ905" s="53">
        <f t="shared" si="168"/>
        <v>0</v>
      </c>
      <c r="AR905" s="53">
        <f t="shared" si="168"/>
        <v>0</v>
      </c>
      <c r="AS905" s="53">
        <f t="shared" si="168"/>
        <v>0</v>
      </c>
      <c r="AT905" s="53">
        <f t="shared" si="168"/>
        <v>0</v>
      </c>
      <c r="AU905" s="53">
        <f t="shared" si="168"/>
        <v>0</v>
      </c>
      <c r="AV905" s="53">
        <f t="shared" si="168"/>
        <v>0</v>
      </c>
      <c r="AW905" s="53">
        <f t="shared" si="168"/>
        <v>8272000</v>
      </c>
      <c r="AX905" s="53">
        <f t="shared" si="169"/>
        <v>222200000</v>
      </c>
      <c r="AY905" s="41" t="s">
        <v>557</v>
      </c>
    </row>
    <row r="906" spans="1:51" x14ac:dyDescent="0.2">
      <c r="A906" s="41" t="s">
        <v>476</v>
      </c>
      <c r="B906" s="41">
        <v>2006</v>
      </c>
      <c r="C906" s="41" t="s">
        <v>96</v>
      </c>
      <c r="D906" s="41" t="s">
        <v>175</v>
      </c>
      <c r="E906" s="41">
        <v>100</v>
      </c>
      <c r="F906" s="41" t="s">
        <v>475</v>
      </c>
      <c r="G906" s="53">
        <v>2331000</v>
      </c>
      <c r="P906" s="90">
        <f t="shared" si="170"/>
        <v>4.2166452166452171</v>
      </c>
      <c r="AF906" s="53">
        <v>9829000</v>
      </c>
      <c r="AG906" s="41" t="s">
        <v>472</v>
      </c>
      <c r="AM906" s="53">
        <v>23133000</v>
      </c>
      <c r="AO906" s="53">
        <f t="shared" si="168"/>
        <v>0</v>
      </c>
      <c r="AP906" s="53">
        <f t="shared" si="168"/>
        <v>0</v>
      </c>
      <c r="AQ906" s="53">
        <f t="shared" si="168"/>
        <v>0</v>
      </c>
      <c r="AR906" s="53">
        <f t="shared" si="168"/>
        <v>0</v>
      </c>
      <c r="AS906" s="53">
        <f t="shared" si="168"/>
        <v>0</v>
      </c>
      <c r="AT906" s="53">
        <f t="shared" si="168"/>
        <v>0</v>
      </c>
      <c r="AU906" s="53">
        <f t="shared" si="168"/>
        <v>0</v>
      </c>
      <c r="AV906" s="53">
        <f t="shared" si="168"/>
        <v>0</v>
      </c>
      <c r="AW906" s="53">
        <f t="shared" si="168"/>
        <v>9829000.0000000019</v>
      </c>
      <c r="AX906" s="53">
        <f t="shared" si="169"/>
        <v>233100000</v>
      </c>
      <c r="AY906" s="41" t="s">
        <v>557</v>
      </c>
    </row>
    <row r="907" spans="1:51" x14ac:dyDescent="0.2">
      <c r="A907" s="41" t="s">
        <v>476</v>
      </c>
      <c r="B907" s="41">
        <v>2007</v>
      </c>
      <c r="C907" s="41" t="s">
        <v>96</v>
      </c>
      <c r="D907" s="41" t="s">
        <v>175</v>
      </c>
      <c r="E907" s="41">
        <v>100</v>
      </c>
      <c r="F907" s="41" t="s">
        <v>475</v>
      </c>
      <c r="G907" s="53">
        <v>2400000</v>
      </c>
      <c r="P907" s="90">
        <f t="shared" si="170"/>
        <v>4.9762500000000003</v>
      </c>
      <c r="AF907" s="53">
        <v>11943000</v>
      </c>
      <c r="AG907" s="41" t="s">
        <v>472</v>
      </c>
      <c r="AM907" s="53">
        <v>22276000</v>
      </c>
      <c r="AO907" s="53">
        <f t="shared" si="168"/>
        <v>0</v>
      </c>
      <c r="AP907" s="53">
        <f t="shared" si="168"/>
        <v>0</v>
      </c>
      <c r="AQ907" s="53">
        <f t="shared" si="168"/>
        <v>0</v>
      </c>
      <c r="AR907" s="53">
        <f t="shared" si="168"/>
        <v>0</v>
      </c>
      <c r="AS907" s="53">
        <f t="shared" si="168"/>
        <v>0</v>
      </c>
      <c r="AT907" s="53">
        <f t="shared" si="168"/>
        <v>0</v>
      </c>
      <c r="AU907" s="53">
        <f t="shared" si="168"/>
        <v>0</v>
      </c>
      <c r="AV907" s="53">
        <f t="shared" si="168"/>
        <v>0</v>
      </c>
      <c r="AW907" s="53">
        <f t="shared" si="168"/>
        <v>11943000</v>
      </c>
      <c r="AX907" s="53">
        <f t="shared" si="169"/>
        <v>240000000</v>
      </c>
      <c r="AY907" s="41" t="s">
        <v>557</v>
      </c>
    </row>
    <row r="908" spans="1:51" x14ac:dyDescent="0.2">
      <c r="A908" s="41" t="s">
        <v>476</v>
      </c>
      <c r="B908" s="41">
        <v>2008</v>
      </c>
      <c r="C908" s="41" t="s">
        <v>96</v>
      </c>
      <c r="D908" s="41" t="s">
        <v>175</v>
      </c>
      <c r="E908" s="41">
        <v>100</v>
      </c>
      <c r="F908" s="41" t="s">
        <v>475</v>
      </c>
      <c r="G908" s="53">
        <v>2414000</v>
      </c>
      <c r="P908" s="90">
        <f t="shared" si="170"/>
        <v>3.8214581607290805</v>
      </c>
      <c r="AF908" s="53">
        <v>9225000</v>
      </c>
      <c r="AG908" s="41" t="s">
        <v>472</v>
      </c>
      <c r="AM908" s="53">
        <v>21089000</v>
      </c>
      <c r="AO908" s="53">
        <f t="shared" si="168"/>
        <v>0</v>
      </c>
      <c r="AP908" s="53">
        <f t="shared" si="168"/>
        <v>0</v>
      </c>
      <c r="AQ908" s="53">
        <f t="shared" si="168"/>
        <v>0</v>
      </c>
      <c r="AR908" s="53">
        <f t="shared" si="168"/>
        <v>0</v>
      </c>
      <c r="AS908" s="53">
        <f t="shared" si="168"/>
        <v>0</v>
      </c>
      <c r="AT908" s="53">
        <f t="shared" si="168"/>
        <v>0</v>
      </c>
      <c r="AU908" s="53">
        <f t="shared" si="168"/>
        <v>0</v>
      </c>
      <c r="AV908" s="53">
        <f t="shared" si="168"/>
        <v>0</v>
      </c>
      <c r="AW908" s="53">
        <f t="shared" si="168"/>
        <v>9225000</v>
      </c>
      <c r="AX908" s="53">
        <f t="shared" si="169"/>
        <v>241400000</v>
      </c>
      <c r="AY908" s="41" t="s">
        <v>557</v>
      </c>
    </row>
    <row r="909" spans="1:51" x14ac:dyDescent="0.2">
      <c r="A909" s="41" t="s">
        <v>476</v>
      </c>
      <c r="B909" s="41">
        <v>2009</v>
      </c>
      <c r="C909" s="41" t="s">
        <v>96</v>
      </c>
      <c r="D909" s="41" t="s">
        <v>175</v>
      </c>
      <c r="E909" s="41">
        <v>100</v>
      </c>
      <c r="F909" s="41" t="s">
        <v>475</v>
      </c>
      <c r="G909" s="53">
        <v>1359000</v>
      </c>
      <c r="P909" s="90">
        <f t="shared" si="170"/>
        <v>4.0949227373068435</v>
      </c>
      <c r="AF909" s="53">
        <v>5565000</v>
      </c>
      <c r="AG909" s="41" t="s">
        <v>472</v>
      </c>
      <c r="AM909" s="53">
        <v>17340000</v>
      </c>
      <c r="AO909" s="53">
        <f t="shared" si="168"/>
        <v>0</v>
      </c>
      <c r="AP909" s="53">
        <f t="shared" si="168"/>
        <v>0</v>
      </c>
      <c r="AQ909" s="53">
        <f t="shared" si="168"/>
        <v>0</v>
      </c>
      <c r="AR909" s="53">
        <f t="shared" si="168"/>
        <v>0</v>
      </c>
      <c r="AS909" s="53">
        <f t="shared" si="168"/>
        <v>0</v>
      </c>
      <c r="AT909" s="53">
        <f t="shared" si="168"/>
        <v>0</v>
      </c>
      <c r="AU909" s="53">
        <f t="shared" si="168"/>
        <v>0</v>
      </c>
      <c r="AV909" s="53">
        <f t="shared" si="168"/>
        <v>0</v>
      </c>
      <c r="AW909" s="53">
        <f t="shared" si="168"/>
        <v>5565000</v>
      </c>
      <c r="AX909" s="53">
        <f t="shared" si="169"/>
        <v>135900000</v>
      </c>
      <c r="AY909" s="41" t="s">
        <v>557</v>
      </c>
    </row>
    <row r="910" spans="1:51" x14ac:dyDescent="0.2">
      <c r="A910" s="41" t="s">
        <v>476</v>
      </c>
      <c r="B910" s="41">
        <v>2010</v>
      </c>
      <c r="C910" s="41" t="s">
        <v>96</v>
      </c>
      <c r="D910" s="41" t="s">
        <v>175</v>
      </c>
      <c r="E910" s="41">
        <v>100</v>
      </c>
      <c r="F910" s="41" t="s">
        <v>475</v>
      </c>
      <c r="G910" s="53">
        <v>2091000</v>
      </c>
      <c r="P910" s="90">
        <f t="shared" si="170"/>
        <v>3.1085604973696794</v>
      </c>
      <c r="AF910" s="53">
        <v>6500000</v>
      </c>
      <c r="AG910" s="41" t="s">
        <v>472</v>
      </c>
      <c r="AM910" s="53">
        <v>18098000</v>
      </c>
      <c r="AO910" s="53">
        <f t="shared" si="168"/>
        <v>0</v>
      </c>
      <c r="AP910" s="53">
        <f t="shared" si="168"/>
        <v>0</v>
      </c>
      <c r="AQ910" s="53">
        <f t="shared" si="168"/>
        <v>0</v>
      </c>
      <c r="AR910" s="53">
        <f t="shared" si="168"/>
        <v>0</v>
      </c>
      <c r="AS910" s="53">
        <f t="shared" si="168"/>
        <v>0</v>
      </c>
      <c r="AT910" s="53">
        <f t="shared" si="168"/>
        <v>0</v>
      </c>
      <c r="AU910" s="53">
        <f t="shared" si="168"/>
        <v>0</v>
      </c>
      <c r="AV910" s="53">
        <f t="shared" si="168"/>
        <v>0</v>
      </c>
      <c r="AW910" s="53">
        <f t="shared" si="168"/>
        <v>6500000</v>
      </c>
      <c r="AX910" s="53">
        <f t="shared" si="169"/>
        <v>209100000</v>
      </c>
      <c r="AY910" s="41" t="s">
        <v>557</v>
      </c>
    </row>
    <row r="911" spans="1:51" x14ac:dyDescent="0.2">
      <c r="A911" s="41" t="s">
        <v>476</v>
      </c>
      <c r="B911" s="41">
        <v>2011</v>
      </c>
      <c r="C911" s="41" t="s">
        <v>96</v>
      </c>
      <c r="D911" s="41" t="s">
        <v>175</v>
      </c>
      <c r="E911" s="41">
        <v>100</v>
      </c>
      <c r="F911" s="41" t="s">
        <v>475</v>
      </c>
      <c r="G911" s="53">
        <v>2234000</v>
      </c>
      <c r="P911" s="90">
        <f t="shared" si="170"/>
        <v>2.9888093106535361</v>
      </c>
      <c r="AF911" s="53">
        <v>6677000</v>
      </c>
      <c r="AG911" s="41" t="s">
        <v>472</v>
      </c>
      <c r="AM911" s="53">
        <v>8888000</v>
      </c>
      <c r="AO911" s="53">
        <f t="shared" si="168"/>
        <v>0</v>
      </c>
      <c r="AP911" s="53">
        <f t="shared" si="168"/>
        <v>0</v>
      </c>
      <c r="AQ911" s="53">
        <f t="shared" si="168"/>
        <v>0</v>
      </c>
      <c r="AR911" s="53">
        <f t="shared" si="168"/>
        <v>0</v>
      </c>
      <c r="AS911" s="53">
        <f t="shared" si="168"/>
        <v>0</v>
      </c>
      <c r="AT911" s="53">
        <f t="shared" si="168"/>
        <v>0</v>
      </c>
      <c r="AU911" s="53">
        <f t="shared" si="168"/>
        <v>0</v>
      </c>
      <c r="AV911" s="53">
        <f t="shared" si="168"/>
        <v>0</v>
      </c>
      <c r="AW911" s="53">
        <f t="shared" si="168"/>
        <v>6677000</v>
      </c>
      <c r="AX911" s="53">
        <f t="shared" si="169"/>
        <v>223400000</v>
      </c>
      <c r="AY911" s="41" t="s">
        <v>557</v>
      </c>
    </row>
    <row r="912" spans="1:51" x14ac:dyDescent="0.2">
      <c r="A912" s="41" t="s">
        <v>476</v>
      </c>
      <c r="B912" s="41">
        <v>2012</v>
      </c>
      <c r="C912" s="41" t="s">
        <v>96</v>
      </c>
      <c r="D912" s="41" t="s">
        <v>175</v>
      </c>
      <c r="E912" s="41">
        <v>100</v>
      </c>
      <c r="F912" s="41" t="s">
        <v>475</v>
      </c>
      <c r="G912" s="53">
        <v>2058000</v>
      </c>
      <c r="P912" s="90">
        <f t="shared" si="170"/>
        <v>3.5131195335276968</v>
      </c>
      <c r="AF912" s="53">
        <v>7230000</v>
      </c>
      <c r="AG912" s="41" t="s">
        <v>472</v>
      </c>
      <c r="AM912" s="53">
        <v>516000</v>
      </c>
      <c r="AO912" s="53">
        <f t="shared" si="168"/>
        <v>0</v>
      </c>
      <c r="AP912" s="53">
        <f t="shared" si="168"/>
        <v>0</v>
      </c>
      <c r="AQ912" s="53">
        <f t="shared" si="168"/>
        <v>0</v>
      </c>
      <c r="AR912" s="53">
        <f t="shared" si="168"/>
        <v>0</v>
      </c>
      <c r="AS912" s="53">
        <f t="shared" si="168"/>
        <v>0</v>
      </c>
      <c r="AT912" s="53">
        <f t="shared" si="168"/>
        <v>0</v>
      </c>
      <c r="AU912" s="53">
        <f t="shared" si="168"/>
        <v>0</v>
      </c>
      <c r="AV912" s="53">
        <f t="shared" si="168"/>
        <v>0</v>
      </c>
      <c r="AW912" s="53">
        <f t="shared" si="168"/>
        <v>7230000</v>
      </c>
      <c r="AX912" s="53">
        <f t="shared" si="169"/>
        <v>205800000</v>
      </c>
      <c r="AY912" s="41" t="s">
        <v>557</v>
      </c>
    </row>
    <row r="913" spans="1:51" x14ac:dyDescent="0.2">
      <c r="A913" s="41" t="s">
        <v>476</v>
      </c>
      <c r="B913" s="41">
        <v>2013</v>
      </c>
      <c r="C913" s="41" t="s">
        <v>96</v>
      </c>
      <c r="D913" s="41" t="s">
        <v>175</v>
      </c>
      <c r="E913" s="41">
        <v>75</v>
      </c>
      <c r="F913" s="41" t="s">
        <v>475</v>
      </c>
      <c r="G913" s="53">
        <v>2116000</v>
      </c>
      <c r="P913" s="90">
        <f t="shared" si="170"/>
        <v>3.4229678638941401</v>
      </c>
      <c r="AF913" s="53">
        <v>7243000</v>
      </c>
      <c r="AG913" s="41" t="s">
        <v>472</v>
      </c>
      <c r="AM913" s="53">
        <v>368000</v>
      </c>
      <c r="AO913" s="53">
        <f t="shared" si="168"/>
        <v>0</v>
      </c>
      <c r="AP913" s="53">
        <f t="shared" si="168"/>
        <v>0</v>
      </c>
      <c r="AQ913" s="53">
        <f t="shared" si="168"/>
        <v>0</v>
      </c>
      <c r="AR913" s="53">
        <f t="shared" si="168"/>
        <v>0</v>
      </c>
      <c r="AS913" s="53">
        <f t="shared" si="168"/>
        <v>0</v>
      </c>
      <c r="AT913" s="53">
        <f t="shared" si="168"/>
        <v>0</v>
      </c>
      <c r="AU913" s="53">
        <f t="shared" si="168"/>
        <v>0</v>
      </c>
      <c r="AV913" s="53">
        <f t="shared" si="168"/>
        <v>0</v>
      </c>
      <c r="AW913" s="53">
        <f t="shared" si="168"/>
        <v>7243000</v>
      </c>
      <c r="AX913" s="53">
        <f t="shared" si="169"/>
        <v>158700000</v>
      </c>
      <c r="AY913" s="41" t="s">
        <v>557</v>
      </c>
    </row>
    <row r="914" spans="1:51" x14ac:dyDescent="0.2">
      <c r="A914" s="41" t="s">
        <v>476</v>
      </c>
      <c r="B914" s="41">
        <v>2014</v>
      </c>
      <c r="C914" s="41" t="s">
        <v>96</v>
      </c>
      <c r="D914" s="41" t="s">
        <v>175</v>
      </c>
      <c r="E914" s="41">
        <v>50</v>
      </c>
      <c r="F914" s="41" t="s">
        <v>475</v>
      </c>
      <c r="G914" s="53">
        <v>2277000</v>
      </c>
      <c r="P914" s="90">
        <f t="shared" si="170"/>
        <v>3.1765480895915679</v>
      </c>
      <c r="AF914" s="53">
        <v>7233000</v>
      </c>
      <c r="AG914" s="41" t="s">
        <v>472</v>
      </c>
      <c r="AM914" s="53">
        <v>370000</v>
      </c>
      <c r="AO914" s="53">
        <f t="shared" si="168"/>
        <v>0</v>
      </c>
      <c r="AP914" s="53">
        <f t="shared" si="168"/>
        <v>0</v>
      </c>
      <c r="AQ914" s="53">
        <f t="shared" si="168"/>
        <v>0</v>
      </c>
      <c r="AR914" s="53">
        <f t="shared" si="168"/>
        <v>0</v>
      </c>
      <c r="AS914" s="53">
        <f t="shared" si="168"/>
        <v>0</v>
      </c>
      <c r="AT914" s="53">
        <f t="shared" si="168"/>
        <v>0</v>
      </c>
      <c r="AU914" s="53">
        <f t="shared" si="168"/>
        <v>0</v>
      </c>
      <c r="AV914" s="53">
        <f t="shared" si="168"/>
        <v>0</v>
      </c>
      <c r="AW914" s="53">
        <f t="shared" si="168"/>
        <v>7233000</v>
      </c>
      <c r="AX914" s="53">
        <f t="shared" si="169"/>
        <v>113850000</v>
      </c>
      <c r="AY914" s="41" t="s">
        <v>557</v>
      </c>
    </row>
    <row r="915" spans="1:51" x14ac:dyDescent="0.2">
      <c r="A915" s="41" t="s">
        <v>476</v>
      </c>
      <c r="B915" s="41">
        <v>2015</v>
      </c>
      <c r="C915" s="41" t="s">
        <v>96</v>
      </c>
      <c r="D915" s="41" t="s">
        <v>175</v>
      </c>
      <c r="E915" s="41">
        <v>25</v>
      </c>
      <c r="F915" s="41" t="s">
        <v>475</v>
      </c>
      <c r="G915" s="53">
        <v>1984000</v>
      </c>
      <c r="P915" s="90">
        <f t="shared" si="170"/>
        <v>3.2288306451612905</v>
      </c>
      <c r="AF915" s="53">
        <v>6406000</v>
      </c>
      <c r="AG915" s="41" t="s">
        <v>472</v>
      </c>
      <c r="AM915" s="53">
        <v>302000</v>
      </c>
      <c r="AO915" s="53">
        <f t="shared" si="168"/>
        <v>0</v>
      </c>
      <c r="AP915" s="53">
        <f t="shared" si="168"/>
        <v>0</v>
      </c>
      <c r="AQ915" s="53">
        <f t="shared" si="168"/>
        <v>0</v>
      </c>
      <c r="AR915" s="53">
        <f t="shared" si="168"/>
        <v>0</v>
      </c>
      <c r="AS915" s="53">
        <f t="shared" si="168"/>
        <v>0</v>
      </c>
      <c r="AT915" s="53">
        <f t="shared" si="168"/>
        <v>0</v>
      </c>
      <c r="AU915" s="53">
        <f t="shared" si="168"/>
        <v>0</v>
      </c>
      <c r="AV915" s="53">
        <f t="shared" si="168"/>
        <v>0</v>
      </c>
      <c r="AW915" s="53">
        <f t="shared" si="168"/>
        <v>6406000</v>
      </c>
      <c r="AX915" s="53">
        <f t="shared" si="169"/>
        <v>49600000</v>
      </c>
      <c r="AY915" s="41" t="s">
        <v>557</v>
      </c>
    </row>
    <row r="916" spans="1:51" x14ac:dyDescent="0.2">
      <c r="A916" s="41" t="s">
        <v>476</v>
      </c>
      <c r="B916" s="41">
        <v>2016</v>
      </c>
      <c r="C916" s="41" t="s">
        <v>96</v>
      </c>
      <c r="D916" s="41" t="s">
        <v>175</v>
      </c>
      <c r="E916" s="41">
        <v>0</v>
      </c>
      <c r="F916" s="41" t="s">
        <v>475</v>
      </c>
      <c r="G916" s="53">
        <v>2214000</v>
      </c>
      <c r="P916" s="90">
        <f t="shared" si="170"/>
        <v>3.0072267389340559</v>
      </c>
      <c r="AF916" s="53">
        <v>6658000</v>
      </c>
      <c r="AG916" s="41" t="s">
        <v>472</v>
      </c>
      <c r="AM916" s="53">
        <v>402000</v>
      </c>
      <c r="AO916" s="53">
        <f t="shared" si="168"/>
        <v>0</v>
      </c>
      <c r="AP916" s="53">
        <f t="shared" si="168"/>
        <v>0</v>
      </c>
      <c r="AQ916" s="53">
        <f t="shared" si="168"/>
        <v>0</v>
      </c>
      <c r="AR916" s="53">
        <f t="shared" si="168"/>
        <v>0</v>
      </c>
      <c r="AS916" s="53">
        <f t="shared" si="168"/>
        <v>0</v>
      </c>
      <c r="AT916" s="53">
        <f t="shared" si="168"/>
        <v>0</v>
      </c>
      <c r="AU916" s="53">
        <f t="shared" si="168"/>
        <v>0</v>
      </c>
      <c r="AV916" s="53">
        <f t="shared" si="168"/>
        <v>0</v>
      </c>
      <c r="AW916" s="53">
        <f t="shared" si="168"/>
        <v>6658000</v>
      </c>
      <c r="AX916" s="53">
        <f t="shared" si="169"/>
        <v>0</v>
      </c>
      <c r="AY916" s="41" t="s">
        <v>557</v>
      </c>
    </row>
    <row r="917" spans="1:51" x14ac:dyDescent="0.2">
      <c r="A917" s="84"/>
      <c r="B917" s="85" t="s">
        <v>620</v>
      </c>
      <c r="C917" s="60" t="s">
        <v>96</v>
      </c>
      <c r="D917" s="60" t="s">
        <v>175</v>
      </c>
      <c r="E917" s="78">
        <f>AX917/G917</f>
        <v>94.607945744547237</v>
      </c>
      <c r="F917" s="60" t="s">
        <v>475</v>
      </c>
      <c r="G917" s="79">
        <f>SUM(G902:G913)+(8/12)*G914</f>
        <v>23887000</v>
      </c>
      <c r="P917" s="80">
        <f>AW917/$G917</f>
        <v>3.7139029597689119</v>
      </c>
      <c r="AF917" s="79">
        <f>SUM(AF902:AF913)+(8/12)*AF914</f>
        <v>88714000</v>
      </c>
      <c r="AM917" s="79">
        <f>SUM(AM902:AM913)+(8/12)*AM914</f>
        <v>195536666.66666666</v>
      </c>
      <c r="AO917" s="79">
        <f>SUM(AO902:AO913)+(8/12)*AO914</f>
        <v>0</v>
      </c>
      <c r="AP917" s="79">
        <f t="shared" ref="AP917:AX917" si="171">SUM(AP902:AP913)+(8/12)*AP914</f>
        <v>0</v>
      </c>
      <c r="AQ917" s="79">
        <f t="shared" si="171"/>
        <v>0</v>
      </c>
      <c r="AR917" s="79">
        <f t="shared" si="171"/>
        <v>0</v>
      </c>
      <c r="AS917" s="79">
        <f t="shared" si="171"/>
        <v>0</v>
      </c>
      <c r="AT917" s="79">
        <f t="shared" si="171"/>
        <v>0</v>
      </c>
      <c r="AU917" s="79">
        <f t="shared" si="171"/>
        <v>0</v>
      </c>
      <c r="AV917" s="79">
        <f t="shared" si="171"/>
        <v>0</v>
      </c>
      <c r="AW917" s="79">
        <f t="shared" si="171"/>
        <v>88714000</v>
      </c>
      <c r="AX917" s="79">
        <f t="shared" si="171"/>
        <v>2259900000</v>
      </c>
      <c r="AY917" s="41" t="s">
        <v>557</v>
      </c>
    </row>
    <row r="918" spans="1:51" x14ac:dyDescent="0.2">
      <c r="A918" s="41" t="s">
        <v>476</v>
      </c>
      <c r="B918" s="43" t="s">
        <v>560</v>
      </c>
      <c r="G918" s="53">
        <f>STDEV(G902:G914)</f>
        <v>390229.26439194503</v>
      </c>
      <c r="P918" s="46">
        <f>STDEV(P903:P914)</f>
        <v>0.57020230157933471</v>
      </c>
      <c r="AF918" s="53">
        <f>STDEV(AF902:AF914)</f>
        <v>2082719.7308501995</v>
      </c>
      <c r="AM918" s="53">
        <f>STDEV(AM902:AM914)</f>
        <v>11165242.721304407</v>
      </c>
      <c r="AY918" s="41" t="s">
        <v>557</v>
      </c>
    </row>
    <row r="919" spans="1:51" x14ac:dyDescent="0.2">
      <c r="A919" s="41" t="s">
        <v>476</v>
      </c>
      <c r="B919" s="81" t="s">
        <v>249</v>
      </c>
      <c r="G919" s="41">
        <f>COUNT(G902:G914)</f>
        <v>12</v>
      </c>
      <c r="P919" s="41">
        <f>COUNT(P903:P914)</f>
        <v>12</v>
      </c>
      <c r="AF919" s="41">
        <f>COUNT(AF902:AF914)</f>
        <v>12</v>
      </c>
      <c r="AM919" s="41">
        <f>COUNT(AM902:AM914)</f>
        <v>13</v>
      </c>
      <c r="AY919" s="41" t="s">
        <v>557</v>
      </c>
    </row>
    <row r="920" spans="1:51" x14ac:dyDescent="0.2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  <c r="AA920" s="82"/>
      <c r="AB920" s="82"/>
      <c r="AC920" s="82"/>
      <c r="AD920" s="82"/>
      <c r="AE920" s="82"/>
      <c r="AF920" s="82"/>
      <c r="AG920" s="82"/>
      <c r="AH920" s="82"/>
      <c r="AI920" s="82"/>
      <c r="AJ920" s="82"/>
      <c r="AK920" s="82"/>
      <c r="AL920" s="82"/>
      <c r="AM920" s="82"/>
      <c r="AN920" s="82"/>
      <c r="AO920" s="82"/>
      <c r="AP920" s="82"/>
      <c r="AQ920" s="82"/>
      <c r="AR920" s="82"/>
      <c r="AS920" s="82"/>
      <c r="AT920" s="82"/>
      <c r="AU920" s="82"/>
      <c r="AV920" s="82"/>
      <c r="AW920" s="82"/>
      <c r="AX920" s="82"/>
      <c r="AY920" s="41" t="s">
        <v>557</v>
      </c>
    </row>
    <row r="921" spans="1:51" x14ac:dyDescent="0.2">
      <c r="A921" s="86" t="s">
        <v>136</v>
      </c>
      <c r="B921" s="58" t="s">
        <v>621</v>
      </c>
      <c r="AY921" s="41" t="s">
        <v>557</v>
      </c>
    </row>
    <row r="922" spans="1:51" x14ac:dyDescent="0.2">
      <c r="A922" s="86" t="s">
        <v>136</v>
      </c>
      <c r="B922" s="41">
        <v>2002</v>
      </c>
      <c r="C922" s="41" t="s">
        <v>91</v>
      </c>
      <c r="D922" s="41" t="s">
        <v>137</v>
      </c>
      <c r="E922" s="41">
        <v>0</v>
      </c>
      <c r="F922" s="41" t="s">
        <v>563</v>
      </c>
      <c r="G922" s="76">
        <v>33998718.587598771</v>
      </c>
      <c r="H922" s="58">
        <v>1.1000000000000001</v>
      </c>
      <c r="I922" s="58">
        <v>0.03</v>
      </c>
      <c r="J922" s="58">
        <v>3.5</v>
      </c>
      <c r="K922" s="55">
        <v>1.5298615799098234E-2</v>
      </c>
      <c r="S922" s="53">
        <v>334306</v>
      </c>
      <c r="T922" s="76">
        <v>509.98077881398154</v>
      </c>
      <c r="U922" s="76">
        <v>59497.757528297851</v>
      </c>
      <c r="W922" s="53">
        <v>3901</v>
      </c>
      <c r="AH922" s="53"/>
      <c r="AM922" s="53"/>
      <c r="AO922" s="53">
        <f t="shared" ref="AO922:AW936" si="172">$G922*H922</f>
        <v>37398590.446358651</v>
      </c>
      <c r="AP922" s="53">
        <f t="shared" si="172"/>
        <v>1019961.5576279631</v>
      </c>
      <c r="AQ922" s="53">
        <f t="shared" si="172"/>
        <v>118995515.0565957</v>
      </c>
      <c r="AR922" s="53">
        <f t="shared" si="172"/>
        <v>520133.33333333331</v>
      </c>
      <c r="AS922" s="53">
        <f t="shared" si="172"/>
        <v>0</v>
      </c>
      <c r="AT922" s="53">
        <f t="shared" si="172"/>
        <v>0</v>
      </c>
      <c r="AU922" s="53">
        <f t="shared" si="172"/>
        <v>0</v>
      </c>
      <c r="AV922" s="53">
        <f t="shared" si="172"/>
        <v>0</v>
      </c>
      <c r="AW922" s="53">
        <f t="shared" si="172"/>
        <v>0</v>
      </c>
      <c r="AX922" s="53">
        <f t="shared" si="160"/>
        <v>0</v>
      </c>
      <c r="AY922" s="41" t="s">
        <v>557</v>
      </c>
    </row>
    <row r="923" spans="1:51" x14ac:dyDescent="0.2">
      <c r="A923" s="86" t="s">
        <v>136</v>
      </c>
      <c r="B923" s="41">
        <v>2003</v>
      </c>
      <c r="C923" s="41" t="s">
        <v>91</v>
      </c>
      <c r="D923" s="41" t="s">
        <v>137</v>
      </c>
      <c r="E923" s="41">
        <v>0</v>
      </c>
      <c r="F923" s="41" t="s">
        <v>563</v>
      </c>
      <c r="G923" s="76">
        <v>34520843.291399278</v>
      </c>
      <c r="H923" s="58">
        <v>1.1000000000000001</v>
      </c>
      <c r="I923" s="58">
        <v>0.03</v>
      </c>
      <c r="J923" s="58">
        <v>3.5</v>
      </c>
      <c r="K923" s="55">
        <v>1.3564751669416295E-2</v>
      </c>
      <c r="S923" s="53">
        <v>339440</v>
      </c>
      <c r="T923" s="76">
        <v>517.81264937098911</v>
      </c>
      <c r="U923" s="76">
        <v>60411.475759948735</v>
      </c>
      <c r="W923" s="53">
        <v>3512</v>
      </c>
      <c r="AH923" s="53"/>
      <c r="AM923" s="53"/>
      <c r="AO923" s="53">
        <f t="shared" si="172"/>
        <v>37972927.620539211</v>
      </c>
      <c r="AP923" s="53">
        <f t="shared" si="172"/>
        <v>1035625.2987419782</v>
      </c>
      <c r="AQ923" s="53">
        <f t="shared" si="172"/>
        <v>120822951.51989748</v>
      </c>
      <c r="AR923" s="53">
        <f t="shared" si="172"/>
        <v>468266.66666666663</v>
      </c>
      <c r="AS923" s="53">
        <f t="shared" si="172"/>
        <v>0</v>
      </c>
      <c r="AT923" s="53">
        <f t="shared" si="172"/>
        <v>0</v>
      </c>
      <c r="AU923" s="53">
        <f t="shared" si="172"/>
        <v>0</v>
      </c>
      <c r="AV923" s="53">
        <f t="shared" si="172"/>
        <v>0</v>
      </c>
      <c r="AW923" s="53">
        <f t="shared" si="172"/>
        <v>0</v>
      </c>
      <c r="AX923" s="53">
        <f t="shared" si="160"/>
        <v>0</v>
      </c>
      <c r="AY923" s="41" t="s">
        <v>557</v>
      </c>
    </row>
    <row r="924" spans="1:51" x14ac:dyDescent="0.2">
      <c r="A924" s="86" t="s">
        <v>136</v>
      </c>
      <c r="B924" s="41">
        <v>2004</v>
      </c>
      <c r="C924" s="41" t="s">
        <v>91</v>
      </c>
      <c r="D924" s="41" t="s">
        <v>137</v>
      </c>
      <c r="E924" s="41">
        <v>0</v>
      </c>
      <c r="F924" s="41" t="s">
        <v>563</v>
      </c>
      <c r="G924" s="53">
        <v>44300000</v>
      </c>
      <c r="H924" s="41">
        <v>1.0900000000000001</v>
      </c>
      <c r="I924" s="58">
        <v>0.03</v>
      </c>
      <c r="J924" s="58">
        <v>3.5</v>
      </c>
      <c r="K924" s="55">
        <v>1.1795334838224229E-2</v>
      </c>
      <c r="S924" s="53">
        <v>435658</v>
      </c>
      <c r="T924" s="76">
        <v>664.5</v>
      </c>
      <c r="U924" s="76">
        <v>77525</v>
      </c>
      <c r="W924" s="53">
        <v>3919</v>
      </c>
      <c r="AH924" s="53"/>
      <c r="AM924" s="53">
        <v>18000</v>
      </c>
      <c r="AO924" s="53">
        <f t="shared" si="172"/>
        <v>48287000</v>
      </c>
      <c r="AP924" s="53">
        <f t="shared" si="172"/>
        <v>1329000</v>
      </c>
      <c r="AQ924" s="53">
        <f t="shared" si="172"/>
        <v>155050000</v>
      </c>
      <c r="AR924" s="53">
        <f t="shared" si="172"/>
        <v>522533.33333333331</v>
      </c>
      <c r="AS924" s="53">
        <f t="shared" si="172"/>
        <v>0</v>
      </c>
      <c r="AT924" s="53">
        <f t="shared" si="172"/>
        <v>0</v>
      </c>
      <c r="AU924" s="53">
        <f t="shared" si="172"/>
        <v>0</v>
      </c>
      <c r="AV924" s="53">
        <f t="shared" si="172"/>
        <v>0</v>
      </c>
      <c r="AW924" s="53">
        <f t="shared" si="172"/>
        <v>0</v>
      </c>
      <c r="AX924" s="53">
        <f t="shared" si="160"/>
        <v>0</v>
      </c>
      <c r="AY924" s="41" t="s">
        <v>557</v>
      </c>
    </row>
    <row r="925" spans="1:51" x14ac:dyDescent="0.2">
      <c r="A925" s="86" t="s">
        <v>136</v>
      </c>
      <c r="B925" s="41">
        <v>2005</v>
      </c>
      <c r="C925" s="41" t="s">
        <v>91</v>
      </c>
      <c r="D925" s="41" t="s">
        <v>137</v>
      </c>
      <c r="E925" s="41">
        <v>0</v>
      </c>
      <c r="F925" s="41" t="s">
        <v>563</v>
      </c>
      <c r="G925" s="53">
        <v>47700000</v>
      </c>
      <c r="H925" s="41">
        <v>1.04</v>
      </c>
      <c r="I925" s="58">
        <v>0.03</v>
      </c>
      <c r="J925" s="58">
        <v>3.5</v>
      </c>
      <c r="K925" s="55">
        <v>1.46722571628232E-2</v>
      </c>
      <c r="S925" s="53">
        <v>437393</v>
      </c>
      <c r="T925" s="76">
        <v>715.5</v>
      </c>
      <c r="U925" s="76">
        <v>83475</v>
      </c>
      <c r="W925" s="53">
        <v>5249</v>
      </c>
      <c r="AH925" s="53"/>
      <c r="AM925" s="53">
        <v>767000</v>
      </c>
      <c r="AO925" s="53">
        <f t="shared" si="172"/>
        <v>49608000</v>
      </c>
      <c r="AP925" s="53">
        <f t="shared" si="172"/>
        <v>1431000</v>
      </c>
      <c r="AQ925" s="53">
        <f t="shared" si="172"/>
        <v>166950000</v>
      </c>
      <c r="AR925" s="53">
        <f t="shared" si="172"/>
        <v>699866.66666666663</v>
      </c>
      <c r="AS925" s="53">
        <f t="shared" si="172"/>
        <v>0</v>
      </c>
      <c r="AT925" s="53">
        <f t="shared" si="172"/>
        <v>0</v>
      </c>
      <c r="AU925" s="53">
        <f t="shared" si="172"/>
        <v>0</v>
      </c>
      <c r="AV925" s="53">
        <f t="shared" si="172"/>
        <v>0</v>
      </c>
      <c r="AW925" s="53">
        <f t="shared" si="172"/>
        <v>0</v>
      </c>
      <c r="AX925" s="53">
        <f t="shared" si="160"/>
        <v>0</v>
      </c>
      <c r="AY925" s="41" t="s">
        <v>557</v>
      </c>
    </row>
    <row r="926" spans="1:51" x14ac:dyDescent="0.2">
      <c r="A926" s="86" t="s">
        <v>136</v>
      </c>
      <c r="B926" s="41">
        <v>2006</v>
      </c>
      <c r="C926" s="41" t="s">
        <v>91</v>
      </c>
      <c r="D926" s="41" t="s">
        <v>137</v>
      </c>
      <c r="E926" s="41">
        <v>0</v>
      </c>
      <c r="F926" s="41" t="s">
        <v>563</v>
      </c>
      <c r="G926" s="53">
        <v>47080000</v>
      </c>
      <c r="H926" s="46">
        <v>1</v>
      </c>
      <c r="I926" s="58">
        <v>0.03</v>
      </c>
      <c r="J926" s="58">
        <v>3.5</v>
      </c>
      <c r="K926" s="55">
        <v>1.344944774851317E-2</v>
      </c>
      <c r="S926" s="53">
        <v>418332</v>
      </c>
      <c r="T926" s="76">
        <v>706.2</v>
      </c>
      <c r="U926" s="76">
        <v>82390</v>
      </c>
      <c r="W926" s="53">
        <v>4749</v>
      </c>
      <c r="AH926" s="53"/>
      <c r="AM926" s="53"/>
      <c r="AO926" s="53">
        <f t="shared" si="172"/>
        <v>47080000</v>
      </c>
      <c r="AP926" s="53">
        <f t="shared" si="172"/>
        <v>1412400</v>
      </c>
      <c r="AQ926" s="53">
        <f t="shared" si="172"/>
        <v>164780000</v>
      </c>
      <c r="AR926" s="53">
        <f t="shared" si="172"/>
        <v>633200</v>
      </c>
      <c r="AS926" s="53">
        <f t="shared" si="172"/>
        <v>0</v>
      </c>
      <c r="AT926" s="53">
        <f t="shared" si="172"/>
        <v>0</v>
      </c>
      <c r="AU926" s="53">
        <f t="shared" si="172"/>
        <v>0</v>
      </c>
      <c r="AV926" s="53">
        <f t="shared" si="172"/>
        <v>0</v>
      </c>
      <c r="AW926" s="53">
        <f t="shared" si="172"/>
        <v>0</v>
      </c>
      <c r="AX926" s="53">
        <f t="shared" si="160"/>
        <v>0</v>
      </c>
      <c r="AY926" s="41" t="s">
        <v>557</v>
      </c>
    </row>
    <row r="927" spans="1:51" x14ac:dyDescent="0.2">
      <c r="A927" s="86" t="s">
        <v>136</v>
      </c>
      <c r="B927" s="41">
        <v>2007</v>
      </c>
      <c r="C927" s="41" t="s">
        <v>91</v>
      </c>
      <c r="D927" s="41" t="s">
        <v>137</v>
      </c>
      <c r="E927" s="41">
        <v>0</v>
      </c>
      <c r="F927" s="41" t="s">
        <v>563</v>
      </c>
      <c r="G927" s="53">
        <v>47220000</v>
      </c>
      <c r="H927" s="41">
        <v>0.999</v>
      </c>
      <c r="I927" s="58">
        <v>0.03</v>
      </c>
      <c r="J927" s="58">
        <v>3.5</v>
      </c>
      <c r="K927" s="55">
        <v>1.4267965551320061E-2</v>
      </c>
      <c r="S927" s="53">
        <v>404738</v>
      </c>
      <c r="T927" s="76">
        <v>708.3</v>
      </c>
      <c r="U927" s="76">
        <v>82635</v>
      </c>
      <c r="W927" s="53">
        <v>5053</v>
      </c>
      <c r="AH927" s="53"/>
      <c r="AM927" s="53"/>
      <c r="AO927" s="53">
        <f t="shared" si="172"/>
        <v>47172780</v>
      </c>
      <c r="AP927" s="53">
        <f t="shared" si="172"/>
        <v>1416600</v>
      </c>
      <c r="AQ927" s="53">
        <f t="shared" si="172"/>
        <v>165270000</v>
      </c>
      <c r="AR927" s="53">
        <f t="shared" si="172"/>
        <v>673733.33333333326</v>
      </c>
      <c r="AS927" s="53">
        <f t="shared" si="172"/>
        <v>0</v>
      </c>
      <c r="AT927" s="53">
        <f t="shared" si="172"/>
        <v>0</v>
      </c>
      <c r="AU927" s="53">
        <f t="shared" si="172"/>
        <v>0</v>
      </c>
      <c r="AV927" s="53">
        <f t="shared" si="172"/>
        <v>0</v>
      </c>
      <c r="AW927" s="53">
        <f t="shared" si="172"/>
        <v>0</v>
      </c>
      <c r="AX927" s="53">
        <f t="shared" si="160"/>
        <v>0</v>
      </c>
      <c r="AY927" s="41" t="s">
        <v>557</v>
      </c>
    </row>
    <row r="928" spans="1:51" x14ac:dyDescent="0.2">
      <c r="A928" s="86" t="s">
        <v>136</v>
      </c>
      <c r="B928" s="41">
        <v>2008</v>
      </c>
      <c r="C928" s="41" t="s">
        <v>91</v>
      </c>
      <c r="D928" s="41" t="s">
        <v>137</v>
      </c>
      <c r="E928" s="41">
        <v>0</v>
      </c>
      <c r="F928" s="41" t="s">
        <v>563</v>
      </c>
      <c r="G928" s="53">
        <v>44780000</v>
      </c>
      <c r="H928" s="88">
        <v>0.99</v>
      </c>
      <c r="I928" s="58">
        <v>0.03</v>
      </c>
      <c r="J928" s="58">
        <v>3.5</v>
      </c>
      <c r="K928" s="55">
        <v>1.3637040345392287E-2</v>
      </c>
      <c r="S928" s="53">
        <v>381224</v>
      </c>
      <c r="T928" s="76">
        <v>671.7</v>
      </c>
      <c r="U928" s="76">
        <v>78365</v>
      </c>
      <c r="W928" s="53">
        <v>4580</v>
      </c>
      <c r="AH928" s="53">
        <v>47819000</v>
      </c>
      <c r="AM928" s="53"/>
      <c r="AO928" s="53">
        <f t="shared" si="172"/>
        <v>44332200</v>
      </c>
      <c r="AP928" s="53">
        <f t="shared" si="172"/>
        <v>1343400</v>
      </c>
      <c r="AQ928" s="53">
        <f t="shared" si="172"/>
        <v>156730000</v>
      </c>
      <c r="AR928" s="53">
        <f t="shared" si="172"/>
        <v>610666.66666666663</v>
      </c>
      <c r="AS928" s="53">
        <f t="shared" si="172"/>
        <v>0</v>
      </c>
      <c r="AT928" s="53">
        <f t="shared" si="172"/>
        <v>0</v>
      </c>
      <c r="AU928" s="53">
        <f t="shared" si="172"/>
        <v>0</v>
      </c>
      <c r="AV928" s="53">
        <f t="shared" si="172"/>
        <v>0</v>
      </c>
      <c r="AW928" s="53">
        <f t="shared" si="172"/>
        <v>0</v>
      </c>
      <c r="AX928" s="53">
        <f t="shared" si="160"/>
        <v>0</v>
      </c>
      <c r="AY928" s="41" t="s">
        <v>557</v>
      </c>
    </row>
    <row r="929" spans="1:51" x14ac:dyDescent="0.2">
      <c r="A929" s="86" t="s">
        <v>136</v>
      </c>
      <c r="B929" s="41">
        <v>2009</v>
      </c>
      <c r="C929" s="41" t="s">
        <v>91</v>
      </c>
      <c r="D929" s="41" t="s">
        <v>137</v>
      </c>
      <c r="E929" s="41">
        <v>0</v>
      </c>
      <c r="F929" s="41" t="s">
        <v>563</v>
      </c>
      <c r="G929" s="53">
        <v>48600000</v>
      </c>
      <c r="H929" s="46">
        <v>0.95</v>
      </c>
      <c r="I929" s="58">
        <v>0.03</v>
      </c>
      <c r="J929" s="58">
        <v>3.5</v>
      </c>
      <c r="K929" s="55">
        <v>1.4208504801097394E-2</v>
      </c>
      <c r="S929" s="53">
        <v>404035</v>
      </c>
      <c r="T929" s="76">
        <v>729</v>
      </c>
      <c r="U929" s="76">
        <v>85050</v>
      </c>
      <c r="W929" s="53">
        <v>5179</v>
      </c>
      <c r="AH929" s="53">
        <v>45515000</v>
      </c>
      <c r="AM929" s="53"/>
      <c r="AO929" s="53">
        <f t="shared" si="172"/>
        <v>46170000</v>
      </c>
      <c r="AP929" s="53">
        <f t="shared" si="172"/>
        <v>1458000</v>
      </c>
      <c r="AQ929" s="53">
        <f t="shared" si="172"/>
        <v>170100000</v>
      </c>
      <c r="AR929" s="53">
        <f t="shared" si="172"/>
        <v>690533.33333333337</v>
      </c>
      <c r="AS929" s="53">
        <f t="shared" si="172"/>
        <v>0</v>
      </c>
      <c r="AT929" s="53">
        <f t="shared" si="172"/>
        <v>0</v>
      </c>
      <c r="AU929" s="53">
        <f t="shared" si="172"/>
        <v>0</v>
      </c>
      <c r="AV929" s="53">
        <f t="shared" si="172"/>
        <v>0</v>
      </c>
      <c r="AW929" s="53">
        <f t="shared" si="172"/>
        <v>0</v>
      </c>
      <c r="AX929" s="53">
        <f t="shared" si="160"/>
        <v>0</v>
      </c>
      <c r="AY929" s="41" t="s">
        <v>557</v>
      </c>
    </row>
    <row r="930" spans="1:51" x14ac:dyDescent="0.2">
      <c r="A930" s="86" t="s">
        <v>136</v>
      </c>
      <c r="B930" s="41">
        <v>2010</v>
      </c>
      <c r="C930" s="41" t="s">
        <v>91</v>
      </c>
      <c r="D930" s="41" t="s">
        <v>137</v>
      </c>
      <c r="E930" s="41">
        <v>0</v>
      </c>
      <c r="F930" s="41" t="s">
        <v>563</v>
      </c>
      <c r="G930" s="53">
        <v>47000000</v>
      </c>
      <c r="H930" s="46">
        <v>0.97</v>
      </c>
      <c r="I930" s="56">
        <v>2.8680851063829789E-2</v>
      </c>
      <c r="J930" s="54">
        <v>3.3433617021276594</v>
      </c>
      <c r="K930" s="55">
        <v>1.5934751773049646E-2</v>
      </c>
      <c r="S930" s="53">
        <v>403616</v>
      </c>
      <c r="T930" s="53">
        <v>674</v>
      </c>
      <c r="U930" s="53">
        <v>78569</v>
      </c>
      <c r="W930" s="53">
        <v>5617</v>
      </c>
      <c r="AH930" s="53">
        <v>45443000</v>
      </c>
      <c r="AM930" s="53"/>
      <c r="AO930" s="53">
        <f t="shared" si="172"/>
        <v>45590000</v>
      </c>
      <c r="AP930" s="53">
        <f t="shared" si="172"/>
        <v>1348000</v>
      </c>
      <c r="AQ930" s="53">
        <f t="shared" si="172"/>
        <v>157138000</v>
      </c>
      <c r="AR930" s="53">
        <f t="shared" si="172"/>
        <v>748933.33333333337</v>
      </c>
      <c r="AS930" s="53">
        <f t="shared" si="172"/>
        <v>0</v>
      </c>
      <c r="AT930" s="53">
        <f t="shared" si="172"/>
        <v>0</v>
      </c>
      <c r="AU930" s="53">
        <f t="shared" si="172"/>
        <v>0</v>
      </c>
      <c r="AV930" s="53">
        <f t="shared" si="172"/>
        <v>0</v>
      </c>
      <c r="AW930" s="53">
        <f t="shared" si="172"/>
        <v>0</v>
      </c>
      <c r="AX930" s="53">
        <f t="shared" si="160"/>
        <v>0</v>
      </c>
      <c r="AY930" s="41" t="s">
        <v>557</v>
      </c>
    </row>
    <row r="931" spans="1:51" x14ac:dyDescent="0.2">
      <c r="A931" s="86" t="s">
        <v>136</v>
      </c>
      <c r="B931" s="41">
        <v>2011</v>
      </c>
      <c r="C931" s="41" t="s">
        <v>91</v>
      </c>
      <c r="D931" s="41" t="s">
        <v>137</v>
      </c>
      <c r="E931" s="41">
        <v>0</v>
      </c>
      <c r="F931" s="41" t="s">
        <v>563</v>
      </c>
      <c r="G931" s="53">
        <v>47000000</v>
      </c>
      <c r="H931" s="46">
        <v>0.95</v>
      </c>
      <c r="I931" s="56">
        <v>3.3234042553191491E-2</v>
      </c>
      <c r="J931" s="54">
        <v>3.4797872340425533</v>
      </c>
      <c r="K931" s="55">
        <v>1.7055319148936172E-2</v>
      </c>
      <c r="S931" s="53">
        <v>400297</v>
      </c>
      <c r="T931" s="53">
        <v>781</v>
      </c>
      <c r="U931" s="53">
        <v>81775</v>
      </c>
      <c r="W931" s="53">
        <v>6012</v>
      </c>
      <c r="AH931" s="53">
        <v>47375000</v>
      </c>
      <c r="AM931" s="53">
        <v>540000</v>
      </c>
      <c r="AO931" s="53">
        <f t="shared" si="172"/>
        <v>44650000</v>
      </c>
      <c r="AP931" s="53">
        <f t="shared" si="172"/>
        <v>1562000</v>
      </c>
      <c r="AQ931" s="53">
        <f t="shared" si="172"/>
        <v>163550000</v>
      </c>
      <c r="AR931" s="53">
        <f t="shared" si="172"/>
        <v>801600.00000000012</v>
      </c>
      <c r="AS931" s="53">
        <f t="shared" si="172"/>
        <v>0</v>
      </c>
      <c r="AT931" s="53">
        <f t="shared" si="172"/>
        <v>0</v>
      </c>
      <c r="AU931" s="53">
        <f t="shared" si="172"/>
        <v>0</v>
      </c>
      <c r="AV931" s="53">
        <f t="shared" si="172"/>
        <v>0</v>
      </c>
      <c r="AW931" s="53">
        <f t="shared" si="172"/>
        <v>0</v>
      </c>
      <c r="AX931" s="53">
        <f t="shared" si="160"/>
        <v>0</v>
      </c>
      <c r="AY931" s="41" t="s">
        <v>557</v>
      </c>
    </row>
    <row r="932" spans="1:51" x14ac:dyDescent="0.2">
      <c r="A932" s="86" t="s">
        <v>136</v>
      </c>
      <c r="B932" s="41">
        <v>2012</v>
      </c>
      <c r="C932" s="41" t="s">
        <v>91</v>
      </c>
      <c r="D932" s="41" t="s">
        <v>137</v>
      </c>
      <c r="E932" s="41">
        <v>0</v>
      </c>
      <c r="F932" s="41" t="s">
        <v>563</v>
      </c>
      <c r="G932" s="76">
        <v>47148292.410626009</v>
      </c>
      <c r="H932" s="58">
        <v>0.99</v>
      </c>
      <c r="I932" s="58">
        <v>0.03</v>
      </c>
      <c r="J932" s="58">
        <v>3.5</v>
      </c>
      <c r="K932" s="58">
        <v>1.7000000000000001E-2</v>
      </c>
      <c r="S932" s="53">
        <v>417244</v>
      </c>
      <c r="T932" s="76">
        <v>707.22438615939006</v>
      </c>
      <c r="U932" s="76">
        <v>82509.511718595517</v>
      </c>
      <c r="W932" s="53">
        <v>6011.4072823548167</v>
      </c>
      <c r="AH932" s="53">
        <v>47946000</v>
      </c>
      <c r="AM932" s="53">
        <v>6422000</v>
      </c>
      <c r="AO932" s="53">
        <f t="shared" si="172"/>
        <v>46676809.486519746</v>
      </c>
      <c r="AP932" s="53">
        <f t="shared" si="172"/>
        <v>1414448.7723187802</v>
      </c>
      <c r="AQ932" s="53">
        <f t="shared" si="172"/>
        <v>165019023.43719104</v>
      </c>
      <c r="AR932" s="53">
        <f t="shared" si="172"/>
        <v>801520.97098064225</v>
      </c>
      <c r="AS932" s="53">
        <f t="shared" si="172"/>
        <v>0</v>
      </c>
      <c r="AT932" s="53">
        <f t="shared" si="172"/>
        <v>0</v>
      </c>
      <c r="AU932" s="53">
        <f t="shared" si="172"/>
        <v>0</v>
      </c>
      <c r="AV932" s="53">
        <f t="shared" si="172"/>
        <v>0</v>
      </c>
      <c r="AW932" s="53">
        <f t="shared" si="172"/>
        <v>0</v>
      </c>
      <c r="AX932" s="53">
        <f t="shared" si="160"/>
        <v>0</v>
      </c>
      <c r="AY932" s="41" t="s">
        <v>557</v>
      </c>
    </row>
    <row r="933" spans="1:51" x14ac:dyDescent="0.2">
      <c r="A933" s="86" t="s">
        <v>136</v>
      </c>
      <c r="B933" s="41">
        <v>2013</v>
      </c>
      <c r="C933" s="41" t="s">
        <v>91</v>
      </c>
      <c r="D933" s="41" t="s">
        <v>137</v>
      </c>
      <c r="E933" s="41">
        <v>0</v>
      </c>
      <c r="F933" s="41" t="s">
        <v>563</v>
      </c>
      <c r="G933" s="53">
        <v>50000000</v>
      </c>
      <c r="H933" s="41">
        <v>0.9</v>
      </c>
      <c r="I933" s="56">
        <v>3.1440000000000003E-2</v>
      </c>
      <c r="J933" s="54">
        <v>3.6789999999999998</v>
      </c>
      <c r="K933" s="55">
        <v>1.8304000000000001E-2</v>
      </c>
      <c r="S933" s="53">
        <v>450390</v>
      </c>
      <c r="T933" s="41">
        <v>786</v>
      </c>
      <c r="U933" s="53">
        <v>91975</v>
      </c>
      <c r="W933" s="53">
        <v>6864</v>
      </c>
      <c r="AH933" s="53">
        <v>58711000</v>
      </c>
      <c r="AM933" s="53">
        <v>8665000</v>
      </c>
      <c r="AO933" s="53">
        <f t="shared" si="172"/>
        <v>45000000</v>
      </c>
      <c r="AP933" s="53">
        <f t="shared" si="172"/>
        <v>1572000.0000000002</v>
      </c>
      <c r="AQ933" s="53">
        <f t="shared" si="172"/>
        <v>183950000</v>
      </c>
      <c r="AR933" s="53">
        <f t="shared" si="172"/>
        <v>915200</v>
      </c>
      <c r="AS933" s="53">
        <f t="shared" si="172"/>
        <v>0</v>
      </c>
      <c r="AT933" s="53">
        <f t="shared" si="172"/>
        <v>0</v>
      </c>
      <c r="AU933" s="53">
        <f t="shared" si="172"/>
        <v>0</v>
      </c>
      <c r="AV933" s="53">
        <f t="shared" si="172"/>
        <v>0</v>
      </c>
      <c r="AW933" s="53">
        <f t="shared" si="172"/>
        <v>0</v>
      </c>
      <c r="AX933" s="53">
        <f t="shared" si="160"/>
        <v>0</v>
      </c>
      <c r="AY933" s="41" t="s">
        <v>557</v>
      </c>
    </row>
    <row r="934" spans="1:51" x14ac:dyDescent="0.2">
      <c r="A934" s="86" t="s">
        <v>136</v>
      </c>
      <c r="B934" s="41">
        <v>2014</v>
      </c>
      <c r="C934" s="41" t="s">
        <v>91</v>
      </c>
      <c r="D934" s="41" t="s">
        <v>137</v>
      </c>
      <c r="E934" s="41">
        <v>0</v>
      </c>
      <c r="F934" s="41" t="s">
        <v>563</v>
      </c>
      <c r="G934" s="76">
        <v>54785180.801297195</v>
      </c>
      <c r="H934" s="58">
        <v>0.93</v>
      </c>
      <c r="I934" s="56">
        <v>2.9314496666988699E-2</v>
      </c>
      <c r="J934" s="54">
        <v>3.5309548525834136</v>
      </c>
      <c r="K934" s="55">
        <v>1.8243376257015134E-2</v>
      </c>
      <c r="S934" s="53">
        <v>455444</v>
      </c>
      <c r="T934" s="41">
        <v>803</v>
      </c>
      <c r="U934" s="53">
        <v>96722</v>
      </c>
      <c r="W934" s="53">
        <v>7496</v>
      </c>
      <c r="AH934" s="53">
        <v>52834000</v>
      </c>
      <c r="AM934" s="53">
        <v>5098000</v>
      </c>
      <c r="AO934" s="53">
        <f t="shared" si="172"/>
        <v>50950218.145206392</v>
      </c>
      <c r="AP934" s="53">
        <f t="shared" si="172"/>
        <v>1606000</v>
      </c>
      <c r="AQ934" s="53">
        <f t="shared" si="172"/>
        <v>193444000</v>
      </c>
      <c r="AR934" s="53">
        <f t="shared" si="172"/>
        <v>999466.66666666663</v>
      </c>
      <c r="AS934" s="53">
        <f t="shared" si="172"/>
        <v>0</v>
      </c>
      <c r="AT934" s="53">
        <f t="shared" si="172"/>
        <v>0</v>
      </c>
      <c r="AU934" s="53">
        <f t="shared" si="172"/>
        <v>0</v>
      </c>
      <c r="AV934" s="53">
        <f t="shared" si="172"/>
        <v>0</v>
      </c>
      <c r="AW934" s="53">
        <f t="shared" si="172"/>
        <v>0</v>
      </c>
      <c r="AX934" s="53">
        <f t="shared" ref="AX934:AX1026" si="173">$G934*E934</f>
        <v>0</v>
      </c>
      <c r="AY934" s="41" t="s">
        <v>557</v>
      </c>
    </row>
    <row r="935" spans="1:51" x14ac:dyDescent="0.2">
      <c r="A935" s="86" t="s">
        <v>136</v>
      </c>
      <c r="B935" s="41">
        <v>2015</v>
      </c>
      <c r="C935" s="41" t="s">
        <v>91</v>
      </c>
      <c r="D935" s="41" t="s">
        <v>137</v>
      </c>
      <c r="E935" s="41">
        <v>0</v>
      </c>
      <c r="F935" s="41" t="s">
        <v>563</v>
      </c>
      <c r="G935" s="76">
        <v>59222495.540938526</v>
      </c>
      <c r="H935" s="58">
        <v>0.89</v>
      </c>
      <c r="I935" s="56">
        <v>2.8806621274861669E-2</v>
      </c>
      <c r="J935" s="54">
        <v>3.4685806149118017</v>
      </c>
      <c r="K935" s="55">
        <v>1.6493732509545649E-2</v>
      </c>
      <c r="S935" s="53">
        <v>471157</v>
      </c>
      <c r="T935" s="41">
        <v>853</v>
      </c>
      <c r="U935" s="53">
        <v>102709</v>
      </c>
      <c r="W935" s="53">
        <v>7326</v>
      </c>
      <c r="AH935" s="53">
        <v>57557000</v>
      </c>
      <c r="AM935" s="53">
        <v>2076000</v>
      </c>
      <c r="AO935" s="53">
        <f t="shared" si="172"/>
        <v>52708021.031435288</v>
      </c>
      <c r="AP935" s="53">
        <f t="shared" si="172"/>
        <v>1706000</v>
      </c>
      <c r="AQ935" s="53">
        <f t="shared" si="172"/>
        <v>205418000</v>
      </c>
      <c r="AR935" s="53">
        <f t="shared" si="172"/>
        <v>976800</v>
      </c>
      <c r="AS935" s="53">
        <f t="shared" si="172"/>
        <v>0</v>
      </c>
      <c r="AT935" s="53">
        <f t="shared" si="172"/>
        <v>0</v>
      </c>
      <c r="AU935" s="53">
        <f t="shared" si="172"/>
        <v>0</v>
      </c>
      <c r="AV935" s="53">
        <f t="shared" si="172"/>
        <v>0</v>
      </c>
      <c r="AW935" s="53">
        <f t="shared" si="172"/>
        <v>0</v>
      </c>
      <c r="AX935" s="53">
        <f t="shared" si="173"/>
        <v>0</v>
      </c>
      <c r="AY935" s="41" t="s">
        <v>557</v>
      </c>
    </row>
    <row r="936" spans="1:51" x14ac:dyDescent="0.2">
      <c r="A936" s="86" t="s">
        <v>136</v>
      </c>
      <c r="B936" s="41">
        <v>2016</v>
      </c>
      <c r="C936" s="41" t="s">
        <v>91</v>
      </c>
      <c r="D936" s="41" t="s">
        <v>137</v>
      </c>
      <c r="E936" s="41">
        <v>0</v>
      </c>
      <c r="F936" s="41" t="s">
        <v>563</v>
      </c>
      <c r="G936" s="76">
        <v>59748155.727144405</v>
      </c>
      <c r="H936" s="58">
        <v>0.89</v>
      </c>
      <c r="I936" s="58">
        <v>0.03</v>
      </c>
      <c r="J936" s="58">
        <v>3.5</v>
      </c>
      <c r="K936" s="55">
        <v>1.491370998522458E-2</v>
      </c>
      <c r="S936" s="53">
        <v>475339</v>
      </c>
      <c r="T936" s="76">
        <v>896.22233590716598</v>
      </c>
      <c r="U936" s="76">
        <v>104559.27252250271</v>
      </c>
      <c r="W936" s="53">
        <v>6683</v>
      </c>
      <c r="AO936" s="53">
        <f t="shared" si="172"/>
        <v>53175858.597158521</v>
      </c>
      <c r="AP936" s="53">
        <f t="shared" si="172"/>
        <v>1792444.671814332</v>
      </c>
      <c r="AQ936" s="53">
        <f t="shared" si="172"/>
        <v>209118545.04500541</v>
      </c>
      <c r="AR936" s="53">
        <f t="shared" si="172"/>
        <v>891066.66666666663</v>
      </c>
      <c r="AS936" s="53">
        <f t="shared" si="172"/>
        <v>0</v>
      </c>
      <c r="AT936" s="53">
        <f t="shared" si="172"/>
        <v>0</v>
      </c>
      <c r="AU936" s="53">
        <f t="shared" si="172"/>
        <v>0</v>
      </c>
      <c r="AV936" s="53">
        <f t="shared" si="172"/>
        <v>0</v>
      </c>
      <c r="AW936" s="53">
        <f t="shared" si="172"/>
        <v>0</v>
      </c>
      <c r="AX936" s="53">
        <f t="shared" si="173"/>
        <v>0</v>
      </c>
      <c r="AY936" s="41" t="s">
        <v>557</v>
      </c>
    </row>
    <row r="937" spans="1:51" x14ac:dyDescent="0.2">
      <c r="A937" s="86" t="s">
        <v>136</v>
      </c>
      <c r="B937" s="60" t="s">
        <v>248</v>
      </c>
      <c r="C937" s="60" t="s">
        <v>91</v>
      </c>
      <c r="D937" s="60" t="s">
        <v>137</v>
      </c>
      <c r="E937" s="60">
        <v>0</v>
      </c>
      <c r="F937" s="60" t="s">
        <v>563</v>
      </c>
      <c r="G937" s="79">
        <f>AVERAGE(G922:G936)</f>
        <v>47540245.757266931</v>
      </c>
      <c r="H937" s="80">
        <f>AO937/SUM($G922:$G936)</f>
        <v>0.97709830794008223</v>
      </c>
      <c r="I937" s="80">
        <f>AP937/SUM($G922:$G936)</f>
        <v>3.0075402372420026E-2</v>
      </c>
      <c r="J937" s="80">
        <f>AQ937/SUM($G922:$G936)</f>
        <v>3.5006634838821142</v>
      </c>
      <c r="K937" s="89">
        <f>AR937/SUM($G922:$G936)</f>
        <v>1.5360348264230139E-2</v>
      </c>
      <c r="S937" s="79">
        <f>AVERAGE(S922:S936)</f>
        <v>415240.86666666664</v>
      </c>
      <c r="T937" s="79">
        <f>AVERAGE(T922:T936)</f>
        <v>714.8960100167684</v>
      </c>
      <c r="U937" s="79">
        <f>AVERAGE(U922:U936)</f>
        <v>83211.201168622996</v>
      </c>
      <c r="W937" s="79">
        <f>AVERAGE(W922:W936)</f>
        <v>5476.7604854903211</v>
      </c>
      <c r="AH937" s="79">
        <f>AVERAGE(AH922:AH936)</f>
        <v>50400000</v>
      </c>
      <c r="AM937" s="79">
        <f>AVERAGE(AM922:AM936)</f>
        <v>3369428.5714285714</v>
      </c>
      <c r="AO937" s="79">
        <f>SUM(AO922:AO936)</f>
        <v>696772405.32721794</v>
      </c>
      <c r="AP937" s="79">
        <f t="shared" ref="AP937:AX937" si="174">SUM(AP922:AP936)</f>
        <v>21446880.300503056</v>
      </c>
      <c r="AQ937" s="79">
        <f t="shared" si="174"/>
        <v>2496336035.0586896</v>
      </c>
      <c r="AR937" s="79">
        <f t="shared" si="174"/>
        <v>10953520.970980641</v>
      </c>
      <c r="AS937" s="79">
        <f t="shared" si="174"/>
        <v>0</v>
      </c>
      <c r="AT937" s="79">
        <f t="shared" si="174"/>
        <v>0</v>
      </c>
      <c r="AU937" s="79">
        <f t="shared" si="174"/>
        <v>0</v>
      </c>
      <c r="AV937" s="79">
        <f t="shared" si="174"/>
        <v>0</v>
      </c>
      <c r="AW937" s="79">
        <f t="shared" si="174"/>
        <v>0</v>
      </c>
      <c r="AX937" s="79">
        <f t="shared" si="174"/>
        <v>0</v>
      </c>
      <c r="AY937" s="41" t="s">
        <v>557</v>
      </c>
    </row>
    <row r="938" spans="1:51" x14ac:dyDescent="0.2">
      <c r="A938" s="86" t="s">
        <v>136</v>
      </c>
      <c r="B938" s="43" t="s">
        <v>560</v>
      </c>
      <c r="G938" s="53">
        <f>STDEV(G922:G936)</f>
        <v>7157632.2441170244</v>
      </c>
      <c r="H938" s="46">
        <f>STDEV(H922:H936)</f>
        <v>7.1680308779096868E-2</v>
      </c>
      <c r="I938" s="46">
        <f>STDEV(I922:I936)</f>
        <v>1.0697667328521368E-3</v>
      </c>
      <c r="J938" s="46">
        <f>STDEV(J922:J936)</f>
        <v>6.4879175493518085E-2</v>
      </c>
      <c r="K938" s="42">
        <f>STDEV(K922:K936)</f>
        <v>1.8849189096380714E-3</v>
      </c>
      <c r="S938" s="53">
        <f>STDEV(S922:S936)</f>
        <v>41883.347077442646</v>
      </c>
      <c r="T938" s="53">
        <f>STDEV(T922:T936)</f>
        <v>105.70419821954295</v>
      </c>
      <c r="U938" s="53">
        <f>STDEV(U922:U936)</f>
        <v>12710.47325743438</v>
      </c>
      <c r="W938" s="53">
        <f>STDEV(W922:W936)</f>
        <v>1250.494310346508</v>
      </c>
      <c r="AH938" s="53">
        <f>STDEV(AH922:AH936)</f>
        <v>5298100.7648293851</v>
      </c>
      <c r="AM938" s="53">
        <f>STDEV(AM922:AM936)</f>
        <v>3367307.5226924187</v>
      </c>
      <c r="AY938" s="41" t="s">
        <v>557</v>
      </c>
    </row>
    <row r="939" spans="1:51" x14ac:dyDescent="0.2">
      <c r="A939" s="86" t="s">
        <v>136</v>
      </c>
      <c r="B939" s="81" t="s">
        <v>249</v>
      </c>
      <c r="G939" s="41">
        <f>COUNT(G922:G936)</f>
        <v>15</v>
      </c>
      <c r="H939" s="41">
        <f>COUNT(H922:H936)</f>
        <v>15</v>
      </c>
      <c r="I939" s="41">
        <f>COUNT(I922:I936)</f>
        <v>15</v>
      </c>
      <c r="J939" s="41">
        <f>COUNT(J922:J936)</f>
        <v>15</v>
      </c>
      <c r="K939" s="41">
        <f>COUNT(K922:K936)</f>
        <v>15</v>
      </c>
      <c r="S939" s="41">
        <f>COUNT(S922:S936)</f>
        <v>15</v>
      </c>
      <c r="T939" s="41">
        <f>COUNT(T922:T936)</f>
        <v>15</v>
      </c>
      <c r="U939" s="41">
        <f>COUNT(U922:U936)</f>
        <v>15</v>
      </c>
      <c r="W939" s="41">
        <f>COUNT(W922:W936)</f>
        <v>15</v>
      </c>
      <c r="AH939" s="41">
        <f>COUNT(AH922:AH936)</f>
        <v>8</v>
      </c>
      <c r="AM939" s="41">
        <f>COUNT(AM922:AM936)</f>
        <v>7</v>
      </c>
      <c r="AY939" s="41" t="s">
        <v>557</v>
      </c>
    </row>
    <row r="940" spans="1:51" x14ac:dyDescent="0.2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  <c r="AA940" s="82"/>
      <c r="AB940" s="82"/>
      <c r="AC940" s="82"/>
      <c r="AD940" s="82"/>
      <c r="AE940" s="82"/>
      <c r="AF940" s="82"/>
      <c r="AG940" s="82"/>
      <c r="AH940" s="82"/>
      <c r="AI940" s="82"/>
      <c r="AJ940" s="82"/>
      <c r="AK940" s="82"/>
      <c r="AL940" s="82"/>
      <c r="AM940" s="82"/>
      <c r="AN940" s="82"/>
      <c r="AO940" s="82"/>
      <c r="AP940" s="82"/>
      <c r="AQ940" s="82"/>
      <c r="AR940" s="82"/>
      <c r="AS940" s="82"/>
      <c r="AT940" s="82"/>
      <c r="AU940" s="82"/>
      <c r="AV940" s="82"/>
      <c r="AW940" s="82"/>
      <c r="AX940" s="82"/>
      <c r="AY940" s="41" t="s">
        <v>557</v>
      </c>
    </row>
    <row r="941" spans="1:51" x14ac:dyDescent="0.2">
      <c r="A941" s="41" t="s">
        <v>97</v>
      </c>
      <c r="B941" s="41">
        <v>1997</v>
      </c>
      <c r="C941" s="41" t="s">
        <v>96</v>
      </c>
      <c r="D941" s="41" t="s">
        <v>88</v>
      </c>
      <c r="E941" s="41">
        <v>100</v>
      </c>
      <c r="F941" s="41" t="s">
        <v>570</v>
      </c>
      <c r="G941" s="93">
        <v>2443484</v>
      </c>
      <c r="H941" s="51">
        <v>1.0975768329156239</v>
      </c>
      <c r="I941" s="108">
        <v>0.70737194514062696</v>
      </c>
      <c r="R941" s="76">
        <f>S941*2</f>
        <v>38829.052000000003</v>
      </c>
      <c r="S941" s="53">
        <v>19414.526000000002</v>
      </c>
      <c r="T941" s="109">
        <v>780.49930999999992</v>
      </c>
      <c r="AH941" s="53">
        <f t="shared" ref="AH941:AH959" si="175">G941-R941-AF941</f>
        <v>2404654.9479999999</v>
      </c>
      <c r="AM941" s="53">
        <v>43000000</v>
      </c>
      <c r="AO941" s="53">
        <f t="shared" ref="AO941:AW960" si="176">$G941*H941</f>
        <v>2681911.4300000002</v>
      </c>
      <c r="AP941" s="53">
        <f t="shared" si="176"/>
        <v>1728452.0299999998</v>
      </c>
      <c r="AQ941" s="53">
        <f t="shared" si="176"/>
        <v>0</v>
      </c>
      <c r="AR941" s="53">
        <f t="shared" si="176"/>
        <v>0</v>
      </c>
      <c r="AS941" s="53">
        <f t="shared" si="176"/>
        <v>0</v>
      </c>
      <c r="AT941" s="53">
        <f t="shared" si="176"/>
        <v>0</v>
      </c>
      <c r="AU941" s="53">
        <f t="shared" si="176"/>
        <v>0</v>
      </c>
      <c r="AV941" s="53">
        <f t="shared" si="176"/>
        <v>0</v>
      </c>
      <c r="AW941" s="53">
        <f t="shared" si="176"/>
        <v>0</v>
      </c>
      <c r="AX941" s="53">
        <f t="shared" si="173"/>
        <v>244348400</v>
      </c>
      <c r="AY941" s="41" t="s">
        <v>557</v>
      </c>
    </row>
    <row r="942" spans="1:51" x14ac:dyDescent="0.2">
      <c r="A942" s="41" t="s">
        <v>97</v>
      </c>
      <c r="B942" s="41">
        <v>1998</v>
      </c>
      <c r="C942" s="41" t="s">
        <v>96</v>
      </c>
      <c r="D942" s="41" t="s">
        <v>88</v>
      </c>
      <c r="E942" s="41">
        <v>100</v>
      </c>
      <c r="F942" s="41" t="s">
        <v>570</v>
      </c>
      <c r="G942" s="93">
        <v>8700061</v>
      </c>
      <c r="H942" s="51">
        <v>1.0866964338909042</v>
      </c>
      <c r="I942" s="88">
        <v>0.54649204068799051</v>
      </c>
      <c r="R942" s="76">
        <f t="shared" ref="R942:R960" si="177">S942*2</f>
        <v>156768.54468866318</v>
      </c>
      <c r="S942" s="53">
        <v>78384.272344331592</v>
      </c>
      <c r="T942" s="93">
        <v>3047.6693421128998</v>
      </c>
      <c r="AH942" s="53">
        <f t="shared" si="175"/>
        <v>8543292.4553113375</v>
      </c>
      <c r="AM942" s="53">
        <v>43000000</v>
      </c>
      <c r="AO942" s="53">
        <f t="shared" si="176"/>
        <v>9454325.2633333337</v>
      </c>
      <c r="AP942" s="53">
        <f t="shared" si="176"/>
        <v>4754514.09</v>
      </c>
      <c r="AQ942" s="53">
        <f t="shared" si="176"/>
        <v>0</v>
      </c>
      <c r="AR942" s="53">
        <f t="shared" si="176"/>
        <v>0</v>
      </c>
      <c r="AS942" s="53">
        <f t="shared" si="176"/>
        <v>0</v>
      </c>
      <c r="AT942" s="53">
        <f t="shared" si="176"/>
        <v>0</v>
      </c>
      <c r="AU942" s="53">
        <f t="shared" si="176"/>
        <v>0</v>
      </c>
      <c r="AV942" s="53">
        <f t="shared" si="176"/>
        <v>0</v>
      </c>
      <c r="AW942" s="53">
        <f t="shared" si="176"/>
        <v>0</v>
      </c>
      <c r="AX942" s="53">
        <f t="shared" si="173"/>
        <v>870006100</v>
      </c>
      <c r="AY942" s="41" t="s">
        <v>557</v>
      </c>
    </row>
    <row r="943" spans="1:51" x14ac:dyDescent="0.2">
      <c r="A943" s="41" t="s">
        <v>97</v>
      </c>
      <c r="B943" s="41">
        <v>1999</v>
      </c>
      <c r="C943" s="41" t="s">
        <v>96</v>
      </c>
      <c r="D943" s="41" t="s">
        <v>88</v>
      </c>
      <c r="E943" s="41">
        <v>100</v>
      </c>
      <c r="F943" s="41" t="s">
        <v>570</v>
      </c>
      <c r="G943" s="93">
        <v>9733394</v>
      </c>
      <c r="H943" s="51">
        <v>1.1971189052862752</v>
      </c>
      <c r="I943" s="88">
        <v>0.59274371096419876</v>
      </c>
      <c r="R943" s="76">
        <f t="shared" si="177"/>
        <v>198150.47829541523</v>
      </c>
      <c r="S943" s="53">
        <v>99075.239147707616</v>
      </c>
      <c r="T943" s="93">
        <v>3491.4003753576053</v>
      </c>
      <c r="AH943" s="53">
        <f t="shared" si="175"/>
        <v>9535243.5217045844</v>
      </c>
      <c r="AM943" s="53">
        <v>43000000</v>
      </c>
      <c r="AO943" s="53">
        <f t="shared" si="176"/>
        <v>11652029.969999999</v>
      </c>
      <c r="AP943" s="53">
        <f t="shared" si="176"/>
        <v>5769408.0798366666</v>
      </c>
      <c r="AQ943" s="53">
        <f t="shared" si="176"/>
        <v>0</v>
      </c>
      <c r="AR943" s="53">
        <f t="shared" si="176"/>
        <v>0</v>
      </c>
      <c r="AS943" s="53">
        <f t="shared" si="176"/>
        <v>0</v>
      </c>
      <c r="AT943" s="53">
        <f t="shared" si="176"/>
        <v>0</v>
      </c>
      <c r="AU943" s="53">
        <f t="shared" si="176"/>
        <v>0</v>
      </c>
      <c r="AV943" s="53">
        <f t="shared" si="176"/>
        <v>0</v>
      </c>
      <c r="AW943" s="53">
        <f t="shared" si="176"/>
        <v>0</v>
      </c>
      <c r="AX943" s="53">
        <f t="shared" si="173"/>
        <v>973339400</v>
      </c>
      <c r="AY943" s="41" t="s">
        <v>557</v>
      </c>
    </row>
    <row r="944" spans="1:51" x14ac:dyDescent="0.2">
      <c r="A944" s="41" t="s">
        <v>97</v>
      </c>
      <c r="B944" s="41">
        <v>2000</v>
      </c>
      <c r="C944" s="41" t="s">
        <v>96</v>
      </c>
      <c r="D944" s="41" t="s">
        <v>88</v>
      </c>
      <c r="E944" s="41">
        <v>100</v>
      </c>
      <c r="F944" s="41" t="s">
        <v>570</v>
      </c>
      <c r="G944" s="93">
        <v>9819746</v>
      </c>
      <c r="H944" s="51">
        <v>1.1406173185131265</v>
      </c>
      <c r="I944" s="88">
        <v>0.51570083991989202</v>
      </c>
      <c r="R944" s="76">
        <f t="shared" si="177"/>
        <v>195196.19318052998</v>
      </c>
      <c r="S944" s="53">
        <v>97598.096590264991</v>
      </c>
      <c r="T944" s="93">
        <v>3494.7953258948301</v>
      </c>
      <c r="AH944" s="53">
        <f t="shared" si="175"/>
        <v>9624549.8068194706</v>
      </c>
      <c r="AM944" s="53">
        <v>45327321</v>
      </c>
      <c r="AO944" s="53">
        <f t="shared" si="176"/>
        <v>11200572.351</v>
      </c>
      <c r="AP944" s="53">
        <f t="shared" si="176"/>
        <v>5064051.26</v>
      </c>
      <c r="AQ944" s="53">
        <f t="shared" si="176"/>
        <v>0</v>
      </c>
      <c r="AR944" s="53">
        <f t="shared" si="176"/>
        <v>0</v>
      </c>
      <c r="AS944" s="53">
        <f t="shared" si="176"/>
        <v>0</v>
      </c>
      <c r="AT944" s="53">
        <f t="shared" si="176"/>
        <v>0</v>
      </c>
      <c r="AU944" s="53">
        <f t="shared" si="176"/>
        <v>0</v>
      </c>
      <c r="AV944" s="53">
        <f t="shared" si="176"/>
        <v>0</v>
      </c>
      <c r="AW944" s="53">
        <f t="shared" si="176"/>
        <v>0</v>
      </c>
      <c r="AX944" s="53">
        <f t="shared" si="173"/>
        <v>981974600</v>
      </c>
      <c r="AY944" s="41" t="s">
        <v>557</v>
      </c>
    </row>
    <row r="945" spans="1:51" x14ac:dyDescent="0.2">
      <c r="A945" s="41" t="s">
        <v>97</v>
      </c>
      <c r="B945" s="41">
        <v>2001</v>
      </c>
      <c r="C945" s="41" t="s">
        <v>96</v>
      </c>
      <c r="D945" s="41" t="s">
        <v>88</v>
      </c>
      <c r="E945" s="41">
        <v>100</v>
      </c>
      <c r="F945" s="41" t="s">
        <v>570</v>
      </c>
      <c r="G945" s="93">
        <v>10343100</v>
      </c>
      <c r="H945" s="51">
        <v>1.1105931585345992</v>
      </c>
      <c r="I945" s="88">
        <v>0.51710870806928022</v>
      </c>
      <c r="R945" s="76">
        <f t="shared" si="177"/>
        <v>203991.16096941175</v>
      </c>
      <c r="S945" s="53">
        <v>101995.58048470588</v>
      </c>
      <c r="T945" s="93">
        <v>3872.4484383725489</v>
      </c>
      <c r="AH945" s="53">
        <f t="shared" si="175"/>
        <v>10139108.839030588</v>
      </c>
      <c r="AM945" s="53">
        <v>52998431.098039217</v>
      </c>
      <c r="AO945" s="53">
        <f t="shared" si="176"/>
        <v>11486976.098039214</v>
      </c>
      <c r="AP945" s="53">
        <f t="shared" si="176"/>
        <v>5348507.0784313725</v>
      </c>
      <c r="AQ945" s="53">
        <f t="shared" si="176"/>
        <v>0</v>
      </c>
      <c r="AR945" s="53">
        <f t="shared" si="176"/>
        <v>0</v>
      </c>
      <c r="AS945" s="53">
        <f t="shared" si="176"/>
        <v>0</v>
      </c>
      <c r="AT945" s="53">
        <f t="shared" si="176"/>
        <v>0</v>
      </c>
      <c r="AU945" s="53">
        <f t="shared" si="176"/>
        <v>0</v>
      </c>
      <c r="AV945" s="53">
        <f t="shared" si="176"/>
        <v>0</v>
      </c>
      <c r="AW945" s="53">
        <f t="shared" si="176"/>
        <v>0</v>
      </c>
      <c r="AX945" s="53">
        <f t="shared" si="173"/>
        <v>1034310000</v>
      </c>
      <c r="AY945" s="41" t="s">
        <v>557</v>
      </c>
    </row>
    <row r="946" spans="1:51" x14ac:dyDescent="0.2">
      <c r="A946" s="41" t="s">
        <v>97</v>
      </c>
      <c r="B946" s="41">
        <v>2002</v>
      </c>
      <c r="C946" s="41" t="s">
        <v>96</v>
      </c>
      <c r="D946" s="41" t="s">
        <v>88</v>
      </c>
      <c r="E946" s="41">
        <v>100</v>
      </c>
      <c r="F946" s="41" t="s">
        <v>570</v>
      </c>
      <c r="G946" s="93">
        <v>10098312.31372549</v>
      </c>
      <c r="H946" s="51">
        <v>1.2276184543110065</v>
      </c>
      <c r="I946" s="88">
        <v>0.63237273909221348</v>
      </c>
      <c r="R946" s="76">
        <f t="shared" si="177"/>
        <v>227192.4666889412</v>
      </c>
      <c r="S946" s="53">
        <v>113596.2333444706</v>
      </c>
      <c r="T946" s="93">
        <v>4509.9728346007842</v>
      </c>
      <c r="AH946" s="53">
        <f t="shared" si="175"/>
        <v>9871119.8470365498</v>
      </c>
      <c r="AM946" s="53">
        <v>47896069.274509802</v>
      </c>
      <c r="AO946" s="53">
        <f t="shared" si="176"/>
        <v>12396874.55372549</v>
      </c>
      <c r="AP946" s="53">
        <f t="shared" si="176"/>
        <v>6385897.4180392157</v>
      </c>
      <c r="AQ946" s="53">
        <f t="shared" si="176"/>
        <v>0</v>
      </c>
      <c r="AR946" s="53">
        <f t="shared" si="176"/>
        <v>0</v>
      </c>
      <c r="AS946" s="53">
        <f t="shared" si="176"/>
        <v>0</v>
      </c>
      <c r="AT946" s="53">
        <f t="shared" si="176"/>
        <v>0</v>
      </c>
      <c r="AU946" s="53">
        <f t="shared" si="176"/>
        <v>0</v>
      </c>
      <c r="AV946" s="53">
        <f t="shared" si="176"/>
        <v>0</v>
      </c>
      <c r="AW946" s="53">
        <f t="shared" si="176"/>
        <v>0</v>
      </c>
      <c r="AX946" s="53">
        <f t="shared" si="173"/>
        <v>1009831231.3725491</v>
      </c>
      <c r="AY946" s="41" t="s">
        <v>557</v>
      </c>
    </row>
    <row r="947" spans="1:51" x14ac:dyDescent="0.2">
      <c r="A947" s="41" t="s">
        <v>97</v>
      </c>
      <c r="B947" s="41">
        <v>2003</v>
      </c>
      <c r="C947" s="41" t="s">
        <v>96</v>
      </c>
      <c r="D947" s="41" t="s">
        <v>88</v>
      </c>
      <c r="E947" s="41">
        <v>100</v>
      </c>
      <c r="F947" s="41" t="s">
        <v>570</v>
      </c>
      <c r="G947" s="93">
        <v>10279221</v>
      </c>
      <c r="H947" s="51">
        <v>1.05</v>
      </c>
      <c r="I947" s="62">
        <v>0.53</v>
      </c>
      <c r="R947" s="76">
        <f t="shared" si="177"/>
        <v>198844</v>
      </c>
      <c r="S947" s="53">
        <v>99422</v>
      </c>
      <c r="T947" s="93">
        <v>3812.2379999999998</v>
      </c>
      <c r="AH947" s="53">
        <f t="shared" si="175"/>
        <v>10080377</v>
      </c>
      <c r="AM947" s="53">
        <v>55177732</v>
      </c>
      <c r="AO947" s="53">
        <f t="shared" si="176"/>
        <v>10793182.050000001</v>
      </c>
      <c r="AP947" s="53">
        <f t="shared" si="176"/>
        <v>5447987.1299999999</v>
      </c>
      <c r="AQ947" s="53">
        <f t="shared" si="176"/>
        <v>0</v>
      </c>
      <c r="AR947" s="53">
        <f t="shared" si="176"/>
        <v>0</v>
      </c>
      <c r="AS947" s="53">
        <f t="shared" si="176"/>
        <v>0</v>
      </c>
      <c r="AT947" s="53">
        <f t="shared" si="176"/>
        <v>0</v>
      </c>
      <c r="AU947" s="53">
        <f t="shared" si="176"/>
        <v>0</v>
      </c>
      <c r="AV947" s="53">
        <f t="shared" si="176"/>
        <v>0</v>
      </c>
      <c r="AW947" s="53">
        <f t="shared" si="176"/>
        <v>0</v>
      </c>
      <c r="AX947" s="53">
        <f t="shared" si="173"/>
        <v>1027922100</v>
      </c>
      <c r="AY947" s="41" t="s">
        <v>557</v>
      </c>
    </row>
    <row r="948" spans="1:51" x14ac:dyDescent="0.2">
      <c r="A948" s="41" t="s">
        <v>97</v>
      </c>
      <c r="B948" s="41">
        <v>2004</v>
      </c>
      <c r="C948" s="41" t="s">
        <v>96</v>
      </c>
      <c r="D948" s="41" t="s">
        <v>88</v>
      </c>
      <c r="E948" s="41">
        <v>100</v>
      </c>
      <c r="F948" s="41" t="s">
        <v>570</v>
      </c>
      <c r="G948" s="93">
        <v>10799276</v>
      </c>
      <c r="H948" s="51">
        <v>1.1399999999999999</v>
      </c>
      <c r="I948" s="108">
        <v>0.56000000000000005</v>
      </c>
      <c r="R948" s="76">
        <f t="shared" si="177"/>
        <v>228014</v>
      </c>
      <c r="S948" s="53">
        <v>114007</v>
      </c>
      <c r="T948" s="93">
        <v>4435.3576000000003</v>
      </c>
      <c r="AH948" s="53">
        <f t="shared" si="175"/>
        <v>10571262</v>
      </c>
      <c r="AM948" s="53">
        <v>57513099</v>
      </c>
      <c r="AO948" s="53">
        <f t="shared" si="176"/>
        <v>12311174.639999999</v>
      </c>
      <c r="AP948" s="53">
        <f t="shared" si="176"/>
        <v>6047594.5600000005</v>
      </c>
      <c r="AQ948" s="53">
        <f t="shared" si="176"/>
        <v>0</v>
      </c>
      <c r="AR948" s="53">
        <f t="shared" si="176"/>
        <v>0</v>
      </c>
      <c r="AS948" s="53">
        <f t="shared" si="176"/>
        <v>0</v>
      </c>
      <c r="AT948" s="53">
        <f t="shared" si="176"/>
        <v>0</v>
      </c>
      <c r="AU948" s="53">
        <f t="shared" si="176"/>
        <v>0</v>
      </c>
      <c r="AV948" s="53">
        <f t="shared" si="176"/>
        <v>0</v>
      </c>
      <c r="AW948" s="53">
        <f t="shared" si="176"/>
        <v>0</v>
      </c>
      <c r="AX948" s="53">
        <f t="shared" si="173"/>
        <v>1079927600</v>
      </c>
      <c r="AY948" s="41" t="s">
        <v>557</v>
      </c>
    </row>
    <row r="949" spans="1:51" x14ac:dyDescent="0.2">
      <c r="A949" s="41" t="s">
        <v>97</v>
      </c>
      <c r="B949" s="41">
        <v>2005</v>
      </c>
      <c r="C949" s="41" t="s">
        <v>96</v>
      </c>
      <c r="D949" s="41" t="s">
        <v>88</v>
      </c>
      <c r="E949" s="41">
        <v>100</v>
      </c>
      <c r="F949" s="41" t="s">
        <v>570</v>
      </c>
      <c r="G949" s="93">
        <v>11425284</v>
      </c>
      <c r="H949" s="51">
        <v>1.21</v>
      </c>
      <c r="I949" s="108">
        <v>0.6</v>
      </c>
      <c r="R949" s="76">
        <f t="shared" si="177"/>
        <v>258020</v>
      </c>
      <c r="S949" s="53">
        <v>129010</v>
      </c>
      <c r="T949" s="93">
        <v>5200.6664000000001</v>
      </c>
      <c r="AH949" s="53">
        <f t="shared" si="175"/>
        <v>11167264</v>
      </c>
      <c r="AM949" s="53">
        <v>46974781</v>
      </c>
      <c r="AO949" s="53">
        <f t="shared" si="176"/>
        <v>13824593.639999999</v>
      </c>
      <c r="AP949" s="53">
        <f t="shared" si="176"/>
        <v>6855170.3999999994</v>
      </c>
      <c r="AQ949" s="53">
        <f t="shared" si="176"/>
        <v>0</v>
      </c>
      <c r="AR949" s="53">
        <f t="shared" si="176"/>
        <v>0</v>
      </c>
      <c r="AS949" s="53">
        <f t="shared" si="176"/>
        <v>0</v>
      </c>
      <c r="AT949" s="53">
        <f t="shared" si="176"/>
        <v>0</v>
      </c>
      <c r="AU949" s="53">
        <f t="shared" si="176"/>
        <v>0</v>
      </c>
      <c r="AV949" s="53">
        <f t="shared" si="176"/>
        <v>0</v>
      </c>
      <c r="AW949" s="53">
        <f t="shared" si="176"/>
        <v>0</v>
      </c>
      <c r="AX949" s="53">
        <f t="shared" si="173"/>
        <v>1142528400</v>
      </c>
      <c r="AY949" s="41" t="s">
        <v>557</v>
      </c>
    </row>
    <row r="950" spans="1:51" x14ac:dyDescent="0.2">
      <c r="A950" s="41" t="s">
        <v>97</v>
      </c>
      <c r="B950" s="41">
        <v>2006</v>
      </c>
      <c r="C950" s="41" t="s">
        <v>96</v>
      </c>
      <c r="D950" s="41" t="s">
        <v>88</v>
      </c>
      <c r="E950" s="41">
        <v>100</v>
      </c>
      <c r="F950" s="41" t="s">
        <v>570</v>
      </c>
      <c r="G950" s="93">
        <v>10300686</v>
      </c>
      <c r="H950" s="51">
        <v>0.89</v>
      </c>
      <c r="I950" s="108">
        <v>0.44</v>
      </c>
      <c r="R950" s="76">
        <f t="shared" si="177"/>
        <v>167936</v>
      </c>
      <c r="S950" s="53">
        <v>83968</v>
      </c>
      <c r="T950" s="93">
        <v>3283.0093000000002</v>
      </c>
      <c r="AH950" s="53">
        <f t="shared" si="175"/>
        <v>10132750</v>
      </c>
      <c r="AM950" s="53">
        <v>48463362</v>
      </c>
      <c r="AO950" s="53">
        <f t="shared" si="176"/>
        <v>9167610.540000001</v>
      </c>
      <c r="AP950" s="53">
        <f t="shared" si="176"/>
        <v>4532301.84</v>
      </c>
      <c r="AQ950" s="53">
        <f t="shared" si="176"/>
        <v>0</v>
      </c>
      <c r="AR950" s="53">
        <f t="shared" si="176"/>
        <v>0</v>
      </c>
      <c r="AS950" s="53">
        <f t="shared" si="176"/>
        <v>0</v>
      </c>
      <c r="AT950" s="53">
        <f t="shared" si="176"/>
        <v>0</v>
      </c>
      <c r="AU950" s="53">
        <f t="shared" si="176"/>
        <v>0</v>
      </c>
      <c r="AV950" s="53">
        <f t="shared" si="176"/>
        <v>0</v>
      </c>
      <c r="AW950" s="53">
        <f t="shared" si="176"/>
        <v>0</v>
      </c>
      <c r="AX950" s="53">
        <f t="shared" si="173"/>
        <v>1030068600</v>
      </c>
      <c r="AY950" s="41" t="s">
        <v>557</v>
      </c>
    </row>
    <row r="951" spans="1:51" x14ac:dyDescent="0.2">
      <c r="A951" s="41" t="s">
        <v>97</v>
      </c>
      <c r="B951" s="41">
        <v>2007</v>
      </c>
      <c r="C951" s="41" t="s">
        <v>96</v>
      </c>
      <c r="D951" s="41" t="s">
        <v>88</v>
      </c>
      <c r="E951" s="41">
        <v>100</v>
      </c>
      <c r="F951" s="41" t="s">
        <v>570</v>
      </c>
      <c r="G951" s="93">
        <v>11114286</v>
      </c>
      <c r="H951" s="51">
        <v>0.94</v>
      </c>
      <c r="I951" s="62">
        <v>0.47</v>
      </c>
      <c r="R951" s="76">
        <f t="shared" si="177"/>
        <v>191692</v>
      </c>
      <c r="S951" s="53">
        <v>95846</v>
      </c>
      <c r="T951" s="93">
        <v>3834.7855</v>
      </c>
      <c r="AH951" s="53">
        <f t="shared" si="175"/>
        <v>10922594</v>
      </c>
      <c r="AM951" s="53">
        <v>28840282</v>
      </c>
      <c r="AO951" s="53">
        <f t="shared" si="176"/>
        <v>10447428.84</v>
      </c>
      <c r="AP951" s="53">
        <f t="shared" si="176"/>
        <v>5223714.42</v>
      </c>
      <c r="AQ951" s="53">
        <f t="shared" si="176"/>
        <v>0</v>
      </c>
      <c r="AR951" s="53">
        <f t="shared" si="176"/>
        <v>0</v>
      </c>
      <c r="AS951" s="53">
        <f t="shared" si="176"/>
        <v>0</v>
      </c>
      <c r="AT951" s="53">
        <f t="shared" si="176"/>
        <v>0</v>
      </c>
      <c r="AU951" s="53">
        <f t="shared" si="176"/>
        <v>0</v>
      </c>
      <c r="AV951" s="53">
        <f t="shared" si="176"/>
        <v>0</v>
      </c>
      <c r="AW951" s="53">
        <f t="shared" si="176"/>
        <v>0</v>
      </c>
      <c r="AX951" s="53">
        <f t="shared" si="173"/>
        <v>1111428600</v>
      </c>
      <c r="AY951" s="41" t="s">
        <v>557</v>
      </c>
    </row>
    <row r="952" spans="1:51" x14ac:dyDescent="0.2">
      <c r="A952" s="41" t="s">
        <v>97</v>
      </c>
      <c r="B952" s="41">
        <v>2008</v>
      </c>
      <c r="C952" s="41" t="s">
        <v>96</v>
      </c>
      <c r="D952" s="41" t="s">
        <v>88</v>
      </c>
      <c r="E952" s="41">
        <v>100</v>
      </c>
      <c r="F952" s="41" t="s">
        <v>570</v>
      </c>
      <c r="G952" s="53">
        <v>11406365</v>
      </c>
      <c r="H952" s="41">
        <v>1.07</v>
      </c>
      <c r="I952" s="62">
        <v>0.53</v>
      </c>
      <c r="R952" s="76">
        <f t="shared" si="177"/>
        <v>221780</v>
      </c>
      <c r="S952" s="53">
        <v>110890</v>
      </c>
      <c r="T952" s="93">
        <v>4544.2076000000006</v>
      </c>
      <c r="AH952" s="53">
        <f t="shared" si="175"/>
        <v>11184585</v>
      </c>
      <c r="AM952" s="53">
        <v>19113701</v>
      </c>
      <c r="AO952" s="53">
        <f t="shared" si="176"/>
        <v>12204810.550000001</v>
      </c>
      <c r="AP952" s="53">
        <f t="shared" si="176"/>
        <v>6045373.4500000002</v>
      </c>
      <c r="AQ952" s="53">
        <f t="shared" si="176"/>
        <v>0</v>
      </c>
      <c r="AR952" s="53">
        <f t="shared" si="176"/>
        <v>0</v>
      </c>
      <c r="AS952" s="53">
        <f t="shared" si="176"/>
        <v>0</v>
      </c>
      <c r="AT952" s="53">
        <f t="shared" si="176"/>
        <v>0</v>
      </c>
      <c r="AU952" s="53">
        <f t="shared" si="176"/>
        <v>0</v>
      </c>
      <c r="AV952" s="53">
        <f t="shared" si="176"/>
        <v>0</v>
      </c>
      <c r="AW952" s="53">
        <f t="shared" si="176"/>
        <v>0</v>
      </c>
      <c r="AX952" s="53">
        <f t="shared" si="173"/>
        <v>1140636500</v>
      </c>
      <c r="AY952" s="41" t="s">
        <v>557</v>
      </c>
    </row>
    <row r="953" spans="1:51" x14ac:dyDescent="0.2">
      <c r="A953" s="41" t="s">
        <v>97</v>
      </c>
      <c r="B953" s="41">
        <v>2009</v>
      </c>
      <c r="C953" s="41" t="s">
        <v>96</v>
      </c>
      <c r="D953" s="41" t="s">
        <v>88</v>
      </c>
      <c r="E953" s="41">
        <v>100</v>
      </c>
      <c r="F953" s="41" t="s">
        <v>570</v>
      </c>
      <c r="G953" s="53">
        <v>8020446</v>
      </c>
      <c r="H953" s="41">
        <v>0.75</v>
      </c>
      <c r="I953" s="62">
        <v>0.38</v>
      </c>
      <c r="R953" s="76">
        <f t="shared" si="177"/>
        <v>71124</v>
      </c>
      <c r="S953" s="53">
        <v>35562</v>
      </c>
      <c r="T953" s="93">
        <v>1406.5597</v>
      </c>
      <c r="AH953" s="53">
        <f t="shared" si="175"/>
        <v>7949322</v>
      </c>
      <c r="AM953" s="53">
        <v>22111288</v>
      </c>
      <c r="AO953" s="53">
        <f t="shared" si="176"/>
        <v>6015334.5</v>
      </c>
      <c r="AP953" s="53">
        <f t="shared" si="176"/>
        <v>3047769.48</v>
      </c>
      <c r="AQ953" s="53">
        <f t="shared" si="176"/>
        <v>0</v>
      </c>
      <c r="AR953" s="53">
        <f t="shared" si="176"/>
        <v>0</v>
      </c>
      <c r="AS953" s="53">
        <f t="shared" si="176"/>
        <v>0</v>
      </c>
      <c r="AT953" s="53">
        <f t="shared" si="176"/>
        <v>0</v>
      </c>
      <c r="AU953" s="53">
        <f t="shared" si="176"/>
        <v>0</v>
      </c>
      <c r="AV953" s="53">
        <f t="shared" si="176"/>
        <v>0</v>
      </c>
      <c r="AW953" s="53">
        <f t="shared" si="176"/>
        <v>0</v>
      </c>
      <c r="AX953" s="53">
        <f t="shared" si="173"/>
        <v>802044600</v>
      </c>
      <c r="AY953" s="41" t="s">
        <v>557</v>
      </c>
    </row>
    <row r="954" spans="1:51" x14ac:dyDescent="0.2">
      <c r="A954" s="41" t="s">
        <v>97</v>
      </c>
      <c r="B954" s="41">
        <v>2010</v>
      </c>
      <c r="C954" s="41" t="s">
        <v>96</v>
      </c>
      <c r="D954" s="41" t="s">
        <v>88</v>
      </c>
      <c r="E954" s="41">
        <v>100</v>
      </c>
      <c r="F954" s="41" t="s">
        <v>570</v>
      </c>
      <c r="G954" s="93">
        <v>9838428</v>
      </c>
      <c r="H954" s="41">
        <v>0.69</v>
      </c>
      <c r="I954" s="62">
        <v>0.34</v>
      </c>
      <c r="R954" s="76">
        <f t="shared" si="177"/>
        <v>149190</v>
      </c>
      <c r="S954" s="53">
        <v>74595</v>
      </c>
      <c r="T954" s="93">
        <f>91259*31.1/1000</f>
        <v>2838.1549</v>
      </c>
      <c r="AH954" s="53">
        <f t="shared" si="175"/>
        <v>9689238</v>
      </c>
      <c r="AM954" s="53">
        <v>16782266</v>
      </c>
      <c r="AO954" s="53">
        <f t="shared" si="176"/>
        <v>6788515.3199999994</v>
      </c>
      <c r="AP954" s="53">
        <f t="shared" si="176"/>
        <v>3345065.52</v>
      </c>
      <c r="AQ954" s="53">
        <f t="shared" si="176"/>
        <v>0</v>
      </c>
      <c r="AR954" s="53">
        <f t="shared" si="176"/>
        <v>0</v>
      </c>
      <c r="AS954" s="53">
        <f t="shared" si="176"/>
        <v>0</v>
      </c>
      <c r="AT954" s="53">
        <f t="shared" si="176"/>
        <v>0</v>
      </c>
      <c r="AU954" s="53">
        <f t="shared" si="176"/>
        <v>0</v>
      </c>
      <c r="AV954" s="53">
        <f t="shared" si="176"/>
        <v>0</v>
      </c>
      <c r="AW954" s="53">
        <f t="shared" si="176"/>
        <v>0</v>
      </c>
      <c r="AX954" s="53">
        <f t="shared" si="173"/>
        <v>983842800</v>
      </c>
      <c r="AY954" s="41" t="s">
        <v>557</v>
      </c>
    </row>
    <row r="955" spans="1:51" x14ac:dyDescent="0.2">
      <c r="A955" s="41" t="s">
        <v>97</v>
      </c>
      <c r="B955" s="41">
        <v>2011</v>
      </c>
      <c r="C955" s="41" t="s">
        <v>96</v>
      </c>
      <c r="D955" s="41" t="s">
        <v>88</v>
      </c>
      <c r="E955" s="41">
        <v>100</v>
      </c>
      <c r="F955" s="41" t="s">
        <v>570</v>
      </c>
      <c r="G955" s="93">
        <v>10360819</v>
      </c>
      <c r="H955" s="41">
        <v>1.05</v>
      </c>
      <c r="I955" s="62">
        <v>0.51</v>
      </c>
      <c r="R955" s="76">
        <f t="shared" si="177"/>
        <v>200606</v>
      </c>
      <c r="S955" s="53">
        <v>100303</v>
      </c>
      <c r="T955" s="93">
        <f>128701*31.1/1000</f>
        <v>4002.6011000000003</v>
      </c>
      <c r="AF955" s="53">
        <v>498975</v>
      </c>
      <c r="AG955" s="41" t="s">
        <v>622</v>
      </c>
      <c r="AH955" s="53">
        <f t="shared" si="175"/>
        <v>9661238</v>
      </c>
      <c r="AM955" s="53">
        <v>2251779</v>
      </c>
      <c r="AO955" s="53">
        <f t="shared" si="176"/>
        <v>10878859.950000001</v>
      </c>
      <c r="AP955" s="53">
        <f t="shared" si="176"/>
        <v>5284017.6900000004</v>
      </c>
      <c r="AQ955" s="53">
        <f t="shared" si="176"/>
        <v>0</v>
      </c>
      <c r="AR955" s="53">
        <f t="shared" si="176"/>
        <v>0</v>
      </c>
      <c r="AS955" s="53">
        <f t="shared" si="176"/>
        <v>0</v>
      </c>
      <c r="AT955" s="53">
        <f t="shared" si="176"/>
        <v>0</v>
      </c>
      <c r="AU955" s="53">
        <f t="shared" si="176"/>
        <v>0</v>
      </c>
      <c r="AV955" s="53">
        <f t="shared" si="176"/>
        <v>0</v>
      </c>
      <c r="AW955" s="53">
        <f t="shared" si="176"/>
        <v>0</v>
      </c>
      <c r="AX955" s="53">
        <f t="shared" si="173"/>
        <v>1036081900</v>
      </c>
      <c r="AY955" s="41" t="s">
        <v>557</v>
      </c>
    </row>
    <row r="956" spans="1:51" x14ac:dyDescent="0.2">
      <c r="A956" s="41" t="s">
        <v>97</v>
      </c>
      <c r="B956" s="41">
        <v>2012</v>
      </c>
      <c r="C956" s="41" t="s">
        <v>96</v>
      </c>
      <c r="D956" s="41" t="s">
        <v>88</v>
      </c>
      <c r="E956" s="47">
        <v>57.142857142857139</v>
      </c>
      <c r="F956" s="41" t="s">
        <v>570</v>
      </c>
      <c r="G956" s="53">
        <v>7053595</v>
      </c>
      <c r="H956" s="41">
        <v>0.95</v>
      </c>
      <c r="I956" s="62">
        <v>0.34</v>
      </c>
      <c r="R956" s="76">
        <f t="shared" si="177"/>
        <v>68212</v>
      </c>
      <c r="S956" s="53">
        <v>34106</v>
      </c>
      <c r="T956" s="93">
        <f>39898*31.1/1000</f>
        <v>1240.8278</v>
      </c>
      <c r="AF956" s="53">
        <v>496250</v>
      </c>
      <c r="AG956" s="41" t="s">
        <v>622</v>
      </c>
      <c r="AH956" s="53">
        <f t="shared" si="175"/>
        <v>6489133</v>
      </c>
      <c r="AM956" s="53">
        <v>13965688</v>
      </c>
      <c r="AO956" s="53">
        <f t="shared" si="176"/>
        <v>6700915.25</v>
      </c>
      <c r="AP956" s="53">
        <f t="shared" si="176"/>
        <v>2398222.3000000003</v>
      </c>
      <c r="AQ956" s="53">
        <f t="shared" si="176"/>
        <v>0</v>
      </c>
      <c r="AR956" s="53">
        <f t="shared" si="176"/>
        <v>0</v>
      </c>
      <c r="AS956" s="53">
        <f t="shared" si="176"/>
        <v>0</v>
      </c>
      <c r="AT956" s="53">
        <f t="shared" si="176"/>
        <v>0</v>
      </c>
      <c r="AU956" s="53">
        <f t="shared" si="176"/>
        <v>0</v>
      </c>
      <c r="AV956" s="53">
        <f t="shared" si="176"/>
        <v>0</v>
      </c>
      <c r="AW956" s="53">
        <f t="shared" si="176"/>
        <v>0</v>
      </c>
      <c r="AX956" s="53">
        <f t="shared" si="173"/>
        <v>403062571.4285714</v>
      </c>
      <c r="AY956" s="41" t="s">
        <v>557</v>
      </c>
    </row>
    <row r="957" spans="1:51" x14ac:dyDescent="0.2">
      <c r="A957" s="41" t="s">
        <v>97</v>
      </c>
      <c r="B957" s="41">
        <v>2013</v>
      </c>
      <c r="C957" s="41" t="s">
        <v>96</v>
      </c>
      <c r="D957" s="41" t="s">
        <v>88</v>
      </c>
      <c r="E957" s="41">
        <v>0</v>
      </c>
      <c r="F957" s="41" t="s">
        <v>570</v>
      </c>
      <c r="G957" s="76">
        <v>6191991.0104674073</v>
      </c>
      <c r="H957" s="77">
        <v>1.04</v>
      </c>
      <c r="I957" s="77">
        <v>0.53</v>
      </c>
      <c r="R957" s="76">
        <f t="shared" si="177"/>
        <v>113119.25465346529</v>
      </c>
      <c r="S957" s="76">
        <v>56559.627326732647</v>
      </c>
      <c r="T957" s="93">
        <f>45000*31.1/1000</f>
        <v>1399.5</v>
      </c>
      <c r="AH957" s="53">
        <f t="shared" si="175"/>
        <v>6078871.7558139423</v>
      </c>
      <c r="AM957" s="53"/>
      <c r="AO957" s="53">
        <f t="shared" si="176"/>
        <v>6439670.6508861035</v>
      </c>
      <c r="AP957" s="53">
        <f t="shared" si="176"/>
        <v>3281755.235547726</v>
      </c>
      <c r="AQ957" s="53">
        <f t="shared" si="176"/>
        <v>0</v>
      </c>
      <c r="AR957" s="53">
        <f t="shared" si="176"/>
        <v>0</v>
      </c>
      <c r="AS957" s="53">
        <f t="shared" si="176"/>
        <v>0</v>
      </c>
      <c r="AT957" s="53">
        <f t="shared" si="176"/>
        <v>0</v>
      </c>
      <c r="AU957" s="53">
        <f t="shared" si="176"/>
        <v>0</v>
      </c>
      <c r="AV957" s="53">
        <f t="shared" si="176"/>
        <v>0</v>
      </c>
      <c r="AW957" s="53">
        <f t="shared" si="176"/>
        <v>0</v>
      </c>
      <c r="AX957" s="53">
        <f t="shared" si="173"/>
        <v>0</v>
      </c>
      <c r="AY957" s="41" t="s">
        <v>557</v>
      </c>
    </row>
    <row r="958" spans="1:51" x14ac:dyDescent="0.2">
      <c r="A958" s="41" t="s">
        <v>97</v>
      </c>
      <c r="B958" s="41">
        <v>2014</v>
      </c>
      <c r="C958" s="41" t="s">
        <v>96</v>
      </c>
      <c r="D958" s="41" t="s">
        <v>88</v>
      </c>
      <c r="E958" s="41">
        <v>0</v>
      </c>
      <c r="F958" s="41" t="s">
        <v>570</v>
      </c>
      <c r="G958" s="76">
        <v>7624971.2105415072</v>
      </c>
      <c r="H958" s="77">
        <v>1.03</v>
      </c>
      <c r="I958" s="77">
        <v>0.53</v>
      </c>
      <c r="R958" s="76">
        <f t="shared" si="177"/>
        <v>137958.45161290327</v>
      </c>
      <c r="S958" s="76">
        <v>68979.225806451635</v>
      </c>
      <c r="T958" s="93">
        <f>62000*31.1/1000</f>
        <v>1928.2</v>
      </c>
      <c r="AH958" s="53">
        <f t="shared" si="175"/>
        <v>7487012.7589286044</v>
      </c>
      <c r="AM958" s="53"/>
      <c r="AO958" s="53">
        <f t="shared" si="176"/>
        <v>7853720.3468577527</v>
      </c>
      <c r="AP958" s="53">
        <f t="shared" si="176"/>
        <v>4041234.741586999</v>
      </c>
      <c r="AQ958" s="53">
        <f t="shared" si="176"/>
        <v>0</v>
      </c>
      <c r="AR958" s="53">
        <f t="shared" si="176"/>
        <v>0</v>
      </c>
      <c r="AS958" s="53">
        <f t="shared" si="176"/>
        <v>0</v>
      </c>
      <c r="AT958" s="53">
        <f t="shared" si="176"/>
        <v>0</v>
      </c>
      <c r="AU958" s="53">
        <f t="shared" si="176"/>
        <v>0</v>
      </c>
      <c r="AV958" s="53">
        <f t="shared" si="176"/>
        <v>0</v>
      </c>
      <c r="AW958" s="53">
        <f t="shared" si="176"/>
        <v>0</v>
      </c>
      <c r="AX958" s="53">
        <f t="shared" si="173"/>
        <v>0</v>
      </c>
      <c r="AY958" s="41" t="s">
        <v>557</v>
      </c>
    </row>
    <row r="959" spans="1:51" x14ac:dyDescent="0.2">
      <c r="A959" s="41" t="s">
        <v>97</v>
      </c>
      <c r="B959" s="41">
        <v>2015</v>
      </c>
      <c r="C959" s="41" t="s">
        <v>96</v>
      </c>
      <c r="D959" s="41" t="s">
        <v>88</v>
      </c>
      <c r="E959" s="41">
        <v>0</v>
      </c>
      <c r="F959" s="41" t="s">
        <v>570</v>
      </c>
      <c r="G959" s="76">
        <v>7597273.4112762325</v>
      </c>
      <c r="H959" s="77">
        <v>1.06</v>
      </c>
      <c r="I959" s="77">
        <v>0.54</v>
      </c>
      <c r="R959" s="76">
        <f t="shared" si="177"/>
        <v>141460.92702702701</v>
      </c>
      <c r="S959" s="76">
        <v>70730.463513513503</v>
      </c>
      <c r="T959" s="93">
        <f>90000*31.1/1000</f>
        <v>2799</v>
      </c>
      <c r="AH959" s="53">
        <f t="shared" si="175"/>
        <v>7455812.4842492053</v>
      </c>
      <c r="AM959" s="53"/>
      <c r="AO959" s="53">
        <f t="shared" si="176"/>
        <v>8053109.8159528067</v>
      </c>
      <c r="AP959" s="53">
        <f t="shared" si="176"/>
        <v>4102527.6420891657</v>
      </c>
      <c r="AQ959" s="53">
        <f t="shared" si="176"/>
        <v>0</v>
      </c>
      <c r="AR959" s="53">
        <f t="shared" si="176"/>
        <v>0</v>
      </c>
      <c r="AS959" s="53">
        <f t="shared" si="176"/>
        <v>0</v>
      </c>
      <c r="AT959" s="53">
        <f t="shared" si="176"/>
        <v>0</v>
      </c>
      <c r="AU959" s="53">
        <f t="shared" si="176"/>
        <v>0</v>
      </c>
      <c r="AV959" s="53">
        <f t="shared" si="176"/>
        <v>0</v>
      </c>
      <c r="AW959" s="53">
        <f t="shared" si="176"/>
        <v>0</v>
      </c>
      <c r="AX959" s="53">
        <f t="shared" si="173"/>
        <v>0</v>
      </c>
      <c r="AY959" s="41" t="s">
        <v>557</v>
      </c>
    </row>
    <row r="960" spans="1:51" x14ac:dyDescent="0.2">
      <c r="A960" s="41" t="s">
        <v>97</v>
      </c>
      <c r="B960" s="41">
        <v>2016</v>
      </c>
      <c r="C960" s="41" t="s">
        <v>96</v>
      </c>
      <c r="D960" s="41" t="s">
        <v>88</v>
      </c>
      <c r="E960" s="41">
        <v>0</v>
      </c>
      <c r="F960" s="41" t="s">
        <v>570</v>
      </c>
      <c r="G960" s="76">
        <v>8773717.5771108195</v>
      </c>
      <c r="H960" s="77">
        <v>1.02</v>
      </c>
      <c r="I960" s="56">
        <v>0.5</v>
      </c>
      <c r="R960" s="76">
        <f t="shared" si="177"/>
        <v>157201.50541871923</v>
      </c>
      <c r="S960" s="76">
        <v>78600.752709359615</v>
      </c>
      <c r="T960" s="93">
        <f>86000*31.1/1000</f>
        <v>2674.6</v>
      </c>
      <c r="AH960" s="53">
        <f>G960-R960-AF960</f>
        <v>8616516.0716920998</v>
      </c>
      <c r="AM960" s="53"/>
      <c r="AO960" s="53">
        <f t="shared" si="176"/>
        <v>8949191.9286530353</v>
      </c>
      <c r="AP960" s="53">
        <f t="shared" si="176"/>
        <v>4386858.7885554098</v>
      </c>
      <c r="AQ960" s="53">
        <f t="shared" si="176"/>
        <v>0</v>
      </c>
      <c r="AR960" s="53">
        <f t="shared" si="176"/>
        <v>0</v>
      </c>
      <c r="AS960" s="53">
        <f t="shared" si="176"/>
        <v>0</v>
      </c>
      <c r="AT960" s="53">
        <f t="shared" si="176"/>
        <v>0</v>
      </c>
      <c r="AU960" s="53">
        <f t="shared" si="176"/>
        <v>0</v>
      </c>
      <c r="AV960" s="53">
        <f t="shared" si="176"/>
        <v>0</v>
      </c>
      <c r="AW960" s="53">
        <f t="shared" si="176"/>
        <v>0</v>
      </c>
      <c r="AX960" s="53">
        <f t="shared" si="173"/>
        <v>0</v>
      </c>
      <c r="AY960" s="41" t="s">
        <v>557</v>
      </c>
    </row>
    <row r="961" spans="1:51" x14ac:dyDescent="0.2">
      <c r="A961" s="84"/>
      <c r="B961" s="85" t="s">
        <v>623</v>
      </c>
      <c r="C961" s="60" t="s">
        <v>96</v>
      </c>
      <c r="D961" s="60" t="s">
        <v>88</v>
      </c>
      <c r="E961" s="78">
        <f>AX961/G961</f>
        <v>86.519442368554337</v>
      </c>
      <c r="F961" s="60" t="s">
        <v>570</v>
      </c>
      <c r="G961" s="79">
        <f>SUM(G941:G958)+(10/12)*G959</f>
        <v>171884526.71079794</v>
      </c>
      <c r="H961" s="80">
        <f>AO961/$G961</f>
        <v>1.0414516897827528</v>
      </c>
      <c r="I961" s="80">
        <f>AP961/$G961</f>
        <v>0.51208687275622466</v>
      </c>
      <c r="R961" s="79">
        <f>SUM(R941:R958)+(10/12)*R959</f>
        <v>3144507.7079451857</v>
      </c>
      <c r="S961" s="79">
        <f>SUM(S941:S958)+(10/12)*S959</f>
        <v>1572253.8539725929</v>
      </c>
      <c r="T961" s="79">
        <f>SUM(T941:T958)+(10/12)*T959</f>
        <v>59455.393526338659</v>
      </c>
      <c r="AF961" s="79">
        <f>SUM(AF941:AF958)+(10/12)*AF959</f>
        <v>995225</v>
      </c>
      <c r="AH961" s="79">
        <f>SUM(AH941:AH958)+(10/12)*AH959</f>
        <v>167744794.00285277</v>
      </c>
      <c r="AM961" s="79">
        <f>SUM(AM941:AM958)+(10/12)*AM959</f>
        <v>586415799.37254906</v>
      </c>
      <c r="AO961" s="79">
        <f t="shared" ref="AO961:AX961" si="178">SUM(AO941:AO958)+(10/12)*AO959</f>
        <v>179009430.79046923</v>
      </c>
      <c r="AP961" s="79">
        <f t="shared" si="178"/>
        <v>88019809.758516282</v>
      </c>
      <c r="AQ961" s="79">
        <f t="shared" si="178"/>
        <v>0</v>
      </c>
      <c r="AR961" s="79">
        <f t="shared" si="178"/>
        <v>0</v>
      </c>
      <c r="AS961" s="79">
        <f t="shared" si="178"/>
        <v>0</v>
      </c>
      <c r="AT961" s="79">
        <f t="shared" si="178"/>
        <v>0</v>
      </c>
      <c r="AU961" s="79">
        <f t="shared" si="178"/>
        <v>0</v>
      </c>
      <c r="AV961" s="79">
        <f t="shared" si="178"/>
        <v>0</v>
      </c>
      <c r="AW961" s="79">
        <f t="shared" si="178"/>
        <v>0</v>
      </c>
      <c r="AX961" s="79">
        <f t="shared" si="178"/>
        <v>14871353402.801121</v>
      </c>
      <c r="AY961" s="41" t="s">
        <v>557</v>
      </c>
    </row>
    <row r="962" spans="1:51" x14ac:dyDescent="0.2">
      <c r="A962" s="41" t="s">
        <v>97</v>
      </c>
      <c r="B962" s="43" t="s">
        <v>560</v>
      </c>
      <c r="G962" s="53">
        <f>STDEV(G941:G959)</f>
        <v>2221222.3892695447</v>
      </c>
      <c r="H962" s="46">
        <f>STDEV(H941:H959)</f>
        <v>0.14301189722598928</v>
      </c>
      <c r="I962" s="46">
        <f>STDEV(I941:I959)</f>
        <v>9.3008757757346974E-2</v>
      </c>
      <c r="R962" s="53">
        <f>STDEV(R941:R959)</f>
        <v>59961.79061354541</v>
      </c>
      <c r="S962" s="53">
        <f>STDEV(S941:S959)</f>
        <v>29980.895306772705</v>
      </c>
      <c r="T962" s="53">
        <f>STDEV(T941:T959)</f>
        <v>1272.5073127526211</v>
      </c>
      <c r="AF962" s="53">
        <f>STDEV(AF941:AF959)</f>
        <v>1926.865978733342</v>
      </c>
      <c r="AH962" s="53">
        <f>STDEV(AH941:AH959)</f>
        <v>2183769.1104812976</v>
      </c>
      <c r="AM962" s="53">
        <f>STDEV(AM941:AM959)</f>
        <v>16905898.640548754</v>
      </c>
      <c r="AY962" s="41" t="s">
        <v>557</v>
      </c>
    </row>
    <row r="963" spans="1:51" x14ac:dyDescent="0.2">
      <c r="A963" s="41" t="s">
        <v>97</v>
      </c>
      <c r="B963" s="81" t="s">
        <v>249</v>
      </c>
      <c r="G963" s="41">
        <f>COUNT(G941:G959)</f>
        <v>19</v>
      </c>
      <c r="H963" s="41">
        <f>COUNT(H941:H959)</f>
        <v>19</v>
      </c>
      <c r="I963" s="41">
        <f>COUNT(I941:I959)</f>
        <v>19</v>
      </c>
      <c r="R963" s="41">
        <f>COUNT(R941:R959)</f>
        <v>19</v>
      </c>
      <c r="S963" s="41">
        <f>COUNT(S941:S959)</f>
        <v>19</v>
      </c>
      <c r="T963" s="41">
        <f>COUNT(T941:T959)</f>
        <v>19</v>
      </c>
      <c r="AF963" s="41">
        <f>COUNT(AF941:AF959)</f>
        <v>2</v>
      </c>
      <c r="AH963" s="41">
        <f>COUNT(AH941:AH959)</f>
        <v>19</v>
      </c>
      <c r="AM963" s="41">
        <f>COUNT(AM941:AM959)</f>
        <v>16</v>
      </c>
      <c r="AY963" s="41" t="s">
        <v>557</v>
      </c>
    </row>
    <row r="964" spans="1:51" x14ac:dyDescent="0.2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  <c r="AA964" s="82"/>
      <c r="AB964" s="82"/>
      <c r="AC964" s="82"/>
      <c r="AD964" s="82"/>
      <c r="AE964" s="82"/>
      <c r="AF964" s="82"/>
      <c r="AG964" s="82"/>
      <c r="AH964" s="82"/>
      <c r="AI964" s="82"/>
      <c r="AJ964" s="82"/>
      <c r="AK964" s="82"/>
      <c r="AL964" s="82"/>
      <c r="AM964" s="82"/>
      <c r="AN964" s="82"/>
      <c r="AO964" s="82"/>
      <c r="AP964" s="82"/>
      <c r="AQ964" s="82"/>
      <c r="AR964" s="82"/>
      <c r="AS964" s="82"/>
      <c r="AT964" s="82"/>
      <c r="AU964" s="82"/>
      <c r="AV964" s="82"/>
      <c r="AW964" s="82"/>
      <c r="AX964" s="82"/>
      <c r="AY964" s="41" t="s">
        <v>557</v>
      </c>
    </row>
    <row r="965" spans="1:51" x14ac:dyDescent="0.2">
      <c r="A965" s="86" t="s">
        <v>134</v>
      </c>
      <c r="B965" s="58" t="s">
        <v>624</v>
      </c>
      <c r="AY965" s="41" t="s">
        <v>557</v>
      </c>
    </row>
    <row r="966" spans="1:51" x14ac:dyDescent="0.2">
      <c r="A966" s="86" t="s">
        <v>134</v>
      </c>
      <c r="B966" s="41">
        <v>2003</v>
      </c>
      <c r="C966" s="41" t="s">
        <v>87</v>
      </c>
      <c r="D966" s="41" t="s">
        <v>110</v>
      </c>
      <c r="E966" s="41">
        <v>100</v>
      </c>
      <c r="F966" s="41" t="s">
        <v>556</v>
      </c>
      <c r="G966" s="53">
        <v>70347000</v>
      </c>
      <c r="H966" s="41">
        <v>1.43</v>
      </c>
      <c r="I966" s="56">
        <v>0.16269066200406557</v>
      </c>
      <c r="J966" s="54">
        <v>4.180442662800119</v>
      </c>
      <c r="S966" s="53">
        <v>847000</v>
      </c>
      <c r="T966" s="53">
        <v>5722.4</v>
      </c>
      <c r="U966" s="53">
        <v>147040.79999999999</v>
      </c>
      <c r="AI966" s="53">
        <v>13702000</v>
      </c>
      <c r="AJ966" s="41">
        <v>1.06</v>
      </c>
      <c r="AL966" s="53">
        <v>146000</v>
      </c>
      <c r="AM966" s="53">
        <v>230035000</v>
      </c>
      <c r="AO966" s="53">
        <f t="shared" ref="AO966:AW971" si="179">$G966*H966</f>
        <v>100596210</v>
      </c>
      <c r="AP966" s="53">
        <f t="shared" si="179"/>
        <v>11444800</v>
      </c>
      <c r="AQ966" s="53">
        <f t="shared" si="179"/>
        <v>294081600</v>
      </c>
      <c r="AR966" s="53">
        <f t="shared" si="179"/>
        <v>0</v>
      </c>
      <c r="AS966" s="53">
        <f t="shared" si="179"/>
        <v>0</v>
      </c>
      <c r="AT966" s="53">
        <f t="shared" si="179"/>
        <v>0</v>
      </c>
      <c r="AU966" s="53">
        <f t="shared" si="179"/>
        <v>0</v>
      </c>
      <c r="AV966" s="53">
        <f t="shared" si="179"/>
        <v>0</v>
      </c>
      <c r="AW966" s="53">
        <f t="shared" si="179"/>
        <v>0</v>
      </c>
      <c r="AX966" s="53">
        <f t="shared" si="173"/>
        <v>7034700000</v>
      </c>
      <c r="AY966" s="41" t="s">
        <v>557</v>
      </c>
    </row>
    <row r="967" spans="1:51" x14ac:dyDescent="0.2">
      <c r="A967" s="86" t="s">
        <v>134</v>
      </c>
      <c r="B967" s="41">
        <v>2004</v>
      </c>
      <c r="C967" s="41" t="s">
        <v>87</v>
      </c>
      <c r="D967" s="41" t="s">
        <v>110</v>
      </c>
      <c r="E967" s="41">
        <v>100</v>
      </c>
      <c r="F967" s="41" t="s">
        <v>556</v>
      </c>
      <c r="G967" s="53">
        <v>82378000</v>
      </c>
      <c r="H967" s="41">
        <v>1.51</v>
      </c>
      <c r="I967" s="56">
        <v>0.16384714365485931</v>
      </c>
      <c r="J967" s="54">
        <v>4.3393066109883707</v>
      </c>
      <c r="S967" s="53">
        <v>1045600</v>
      </c>
      <c r="T967" s="53">
        <v>6748.7</v>
      </c>
      <c r="U967" s="53">
        <v>178731.7</v>
      </c>
      <c r="AI967" s="53">
        <v>15643000</v>
      </c>
      <c r="AJ967" s="41">
        <v>1.03</v>
      </c>
      <c r="AL967" s="53">
        <v>162000</v>
      </c>
      <c r="AM967" s="53">
        <v>294995000</v>
      </c>
      <c r="AO967" s="53">
        <f t="shared" si="179"/>
        <v>124390780</v>
      </c>
      <c r="AP967" s="53">
        <f t="shared" si="179"/>
        <v>13497400</v>
      </c>
      <c r="AQ967" s="53">
        <f t="shared" si="179"/>
        <v>357463400</v>
      </c>
      <c r="AR967" s="53">
        <f t="shared" si="179"/>
        <v>0</v>
      </c>
      <c r="AS967" s="53">
        <f t="shared" si="179"/>
        <v>0</v>
      </c>
      <c r="AT967" s="53">
        <f t="shared" si="179"/>
        <v>0</v>
      </c>
      <c r="AU967" s="53">
        <f t="shared" si="179"/>
        <v>0</v>
      </c>
      <c r="AV967" s="53">
        <f t="shared" si="179"/>
        <v>0</v>
      </c>
      <c r="AW967" s="53">
        <f t="shared" si="179"/>
        <v>0</v>
      </c>
      <c r="AX967" s="53">
        <f t="shared" si="173"/>
        <v>8237800000</v>
      </c>
      <c r="AY967" s="41" t="s">
        <v>557</v>
      </c>
    </row>
    <row r="968" spans="1:51" x14ac:dyDescent="0.2">
      <c r="A968" s="86" t="s">
        <v>134</v>
      </c>
      <c r="B968" s="41">
        <v>2005</v>
      </c>
      <c r="C968" s="41" t="s">
        <v>87</v>
      </c>
      <c r="D968" s="41" t="s">
        <v>110</v>
      </c>
      <c r="E968" s="41">
        <v>100</v>
      </c>
      <c r="F968" s="41" t="s">
        <v>556</v>
      </c>
      <c r="G968" s="53">
        <v>86054000</v>
      </c>
      <c r="H968" s="41">
        <v>1.53</v>
      </c>
      <c r="I968" s="56">
        <v>0.13227275896530086</v>
      </c>
      <c r="J968" s="54">
        <v>4.7451948776349733</v>
      </c>
      <c r="S968" s="53">
        <v>1127000</v>
      </c>
      <c r="T968" s="53">
        <v>5691.3</v>
      </c>
      <c r="U968" s="53">
        <v>204171.5</v>
      </c>
      <c r="AI968" s="53">
        <v>16930000</v>
      </c>
      <c r="AJ968" s="41">
        <v>0.84</v>
      </c>
      <c r="AL968" s="53">
        <v>143000</v>
      </c>
      <c r="AM968" s="53">
        <v>273515000</v>
      </c>
      <c r="AO968" s="53">
        <f t="shared" si="179"/>
        <v>131662620</v>
      </c>
      <c r="AP968" s="53">
        <f t="shared" si="179"/>
        <v>11382600</v>
      </c>
      <c r="AQ968" s="53">
        <f t="shared" si="179"/>
        <v>408343000</v>
      </c>
      <c r="AR968" s="53">
        <f t="shared" si="179"/>
        <v>0</v>
      </c>
      <c r="AS968" s="53">
        <f t="shared" si="179"/>
        <v>0</v>
      </c>
      <c r="AT968" s="53">
        <f t="shared" si="179"/>
        <v>0</v>
      </c>
      <c r="AU968" s="53">
        <f t="shared" si="179"/>
        <v>0</v>
      </c>
      <c r="AV968" s="53">
        <f t="shared" si="179"/>
        <v>0</v>
      </c>
      <c r="AW968" s="53">
        <f t="shared" si="179"/>
        <v>0</v>
      </c>
      <c r="AX968" s="53">
        <f t="shared" si="173"/>
        <v>8605400000</v>
      </c>
      <c r="AY968" s="41" t="s">
        <v>557</v>
      </c>
    </row>
    <row r="969" spans="1:51" x14ac:dyDescent="0.2">
      <c r="A969" s="86" t="s">
        <v>134</v>
      </c>
      <c r="B969" s="41">
        <v>2006</v>
      </c>
      <c r="C969" s="41" t="s">
        <v>87</v>
      </c>
      <c r="D969" s="41" t="s">
        <v>110</v>
      </c>
      <c r="E969" s="41">
        <v>100</v>
      </c>
      <c r="F969" s="41" t="s">
        <v>556</v>
      </c>
      <c r="G969" s="53">
        <v>84158000</v>
      </c>
      <c r="H969" s="41">
        <v>1.59</v>
      </c>
      <c r="I969" s="56">
        <v>0.12564462083224412</v>
      </c>
      <c r="J969" s="54">
        <v>4.9119655885358489</v>
      </c>
      <c r="S969" s="53">
        <v>1122000</v>
      </c>
      <c r="T969" s="53">
        <v>5287</v>
      </c>
      <c r="U969" s="53">
        <v>206690.6</v>
      </c>
      <c r="AI969" s="53">
        <v>56064000</v>
      </c>
      <c r="AJ969" s="41">
        <v>0.34</v>
      </c>
      <c r="AL969" s="53">
        <v>191000</v>
      </c>
      <c r="AM969" s="53">
        <v>254425000</v>
      </c>
      <c r="AO969" s="53">
        <f t="shared" si="179"/>
        <v>133811220</v>
      </c>
      <c r="AP969" s="53">
        <f t="shared" si="179"/>
        <v>10574000</v>
      </c>
      <c r="AQ969" s="53">
        <f t="shared" si="179"/>
        <v>413381199.99999994</v>
      </c>
      <c r="AR969" s="53">
        <f t="shared" si="179"/>
        <v>0</v>
      </c>
      <c r="AS969" s="53">
        <f t="shared" si="179"/>
        <v>0</v>
      </c>
      <c r="AT969" s="53">
        <f t="shared" si="179"/>
        <v>0</v>
      </c>
      <c r="AU969" s="53">
        <f t="shared" si="179"/>
        <v>0</v>
      </c>
      <c r="AV969" s="53">
        <f t="shared" si="179"/>
        <v>0</v>
      </c>
      <c r="AW969" s="53">
        <f t="shared" si="179"/>
        <v>0</v>
      </c>
      <c r="AX969" s="53">
        <f t="shared" si="173"/>
        <v>8415800000</v>
      </c>
      <c r="AY969" s="41" t="s">
        <v>557</v>
      </c>
    </row>
    <row r="970" spans="1:51" x14ac:dyDescent="0.2">
      <c r="A970" s="86" t="s">
        <v>134</v>
      </c>
      <c r="B970" s="41">
        <v>2007</v>
      </c>
      <c r="C970" s="41" t="s">
        <v>87</v>
      </c>
      <c r="D970" s="41" t="s">
        <v>110</v>
      </c>
      <c r="E970" s="41">
        <v>100</v>
      </c>
      <c r="F970" s="41" t="s">
        <v>556</v>
      </c>
      <c r="G970" s="53">
        <v>90697000</v>
      </c>
      <c r="H970" s="41">
        <v>1.64</v>
      </c>
      <c r="I970" s="56">
        <v>0.12824459463929347</v>
      </c>
      <c r="J970" s="54">
        <v>5.3972457743916555</v>
      </c>
      <c r="S970" s="53">
        <v>1246700</v>
      </c>
      <c r="T970" s="53">
        <v>5815.7</v>
      </c>
      <c r="U970" s="53">
        <v>244757</v>
      </c>
      <c r="AI970" s="53">
        <v>34996000</v>
      </c>
      <c r="AJ970" s="41">
        <v>0.45</v>
      </c>
      <c r="AL970" s="53">
        <v>159000</v>
      </c>
      <c r="AM970" s="53">
        <v>254680000</v>
      </c>
      <c r="AO970" s="53">
        <f t="shared" si="179"/>
        <v>148743080</v>
      </c>
      <c r="AP970" s="53">
        <f t="shared" si="179"/>
        <v>11631400</v>
      </c>
      <c r="AQ970" s="53">
        <f t="shared" si="179"/>
        <v>489514000</v>
      </c>
      <c r="AR970" s="53">
        <f t="shared" si="179"/>
        <v>0</v>
      </c>
      <c r="AS970" s="53">
        <f t="shared" si="179"/>
        <v>0</v>
      </c>
      <c r="AT970" s="53">
        <f t="shared" si="179"/>
        <v>0</v>
      </c>
      <c r="AU970" s="53">
        <f t="shared" si="179"/>
        <v>0</v>
      </c>
      <c r="AV970" s="53">
        <f t="shared" si="179"/>
        <v>0</v>
      </c>
      <c r="AW970" s="53">
        <f t="shared" si="179"/>
        <v>0</v>
      </c>
      <c r="AX970" s="53">
        <f t="shared" si="173"/>
        <v>9069700000</v>
      </c>
      <c r="AY970" s="41" t="s">
        <v>557</v>
      </c>
    </row>
    <row r="971" spans="1:51" x14ac:dyDescent="0.2">
      <c r="A971" s="86" t="s">
        <v>134</v>
      </c>
      <c r="B971" s="41">
        <v>2008</v>
      </c>
      <c r="C971" s="41" t="s">
        <v>87</v>
      </c>
      <c r="D971" s="41" t="s">
        <v>110</v>
      </c>
      <c r="E971" s="41">
        <v>100</v>
      </c>
      <c r="F971" s="41" t="s">
        <v>556</v>
      </c>
      <c r="G971" s="53">
        <v>89451000</v>
      </c>
      <c r="H971" s="41">
        <v>1.37</v>
      </c>
      <c r="I971" s="56">
        <v>0.10013079786698863</v>
      </c>
      <c r="J971" s="54">
        <v>4.2882404892063812</v>
      </c>
      <c r="S971" s="53">
        <v>992400</v>
      </c>
      <c r="T971" s="53">
        <v>4478.3999999999996</v>
      </c>
      <c r="U971" s="53">
        <v>191793.7</v>
      </c>
      <c r="AI971" s="53">
        <v>58127000</v>
      </c>
      <c r="AJ971" s="46">
        <v>0.5</v>
      </c>
      <c r="AL971" s="53">
        <v>258000</v>
      </c>
      <c r="AM971" s="53">
        <v>316287000</v>
      </c>
      <c r="AO971" s="53">
        <f t="shared" si="179"/>
        <v>122547870.00000001</v>
      </c>
      <c r="AP971" s="53">
        <f t="shared" si="179"/>
        <v>8956800</v>
      </c>
      <c r="AQ971" s="53">
        <f t="shared" si="179"/>
        <v>383587400</v>
      </c>
      <c r="AR971" s="53">
        <f t="shared" si="179"/>
        <v>0</v>
      </c>
      <c r="AS971" s="53">
        <f t="shared" si="179"/>
        <v>0</v>
      </c>
      <c r="AT971" s="53">
        <f t="shared" si="179"/>
        <v>0</v>
      </c>
      <c r="AU971" s="53">
        <f t="shared" si="179"/>
        <v>0</v>
      </c>
      <c r="AV971" s="53">
        <f t="shared" si="179"/>
        <v>0</v>
      </c>
      <c r="AW971" s="53">
        <f t="shared" si="179"/>
        <v>0</v>
      </c>
      <c r="AX971" s="53">
        <f t="shared" si="173"/>
        <v>8945100000</v>
      </c>
      <c r="AY971" s="41" t="s">
        <v>557</v>
      </c>
    </row>
    <row r="972" spans="1:51" x14ac:dyDescent="0.2">
      <c r="A972" s="86" t="s">
        <v>134</v>
      </c>
      <c r="B972" s="60" t="s">
        <v>248</v>
      </c>
      <c r="C972" s="60" t="s">
        <v>87</v>
      </c>
      <c r="D972" s="60" t="s">
        <v>110</v>
      </c>
      <c r="E972" s="60">
        <v>100</v>
      </c>
      <c r="F972" s="60" t="s">
        <v>556</v>
      </c>
      <c r="G972" s="79">
        <f>AVERAGE(G966:G971)</f>
        <v>83847500</v>
      </c>
      <c r="H972" s="80">
        <f>AO972/SUM($G966:$G971)</f>
        <v>1.5141611854855541</v>
      </c>
      <c r="I972" s="80">
        <f>AP972/SUM($G966:$G971)</f>
        <v>0.13414631722273573</v>
      </c>
      <c r="J972" s="80">
        <f>AQ972/SUM($G966:$G971)</f>
        <v>4.6639645387956312</v>
      </c>
      <c r="S972" s="79">
        <f>AVERAGE(S966:S971)</f>
        <v>1063450</v>
      </c>
      <c r="T972" s="79">
        <f>AVERAGE(T966:T971)</f>
        <v>5623.916666666667</v>
      </c>
      <c r="U972" s="79">
        <f>AVERAGE(U966:U971)</f>
        <v>195530.88333333333</v>
      </c>
      <c r="AI972" s="79">
        <f>AVERAGE(AI966:AI971)</f>
        <v>32577000</v>
      </c>
      <c r="AJ972" s="80">
        <f>(AJ966*AI966+AJ967*AI967+AJ968*AI968+AJ969*AI969+AJ970*AI970+AJ971*AI971)/SUM(AI966:AI971)</f>
        <v>0.55627728151763511</v>
      </c>
      <c r="AL972" s="79">
        <f>AVERAGE(AL966:AL971)</f>
        <v>176500</v>
      </c>
      <c r="AM972" s="79">
        <f>AVERAGE(AM966:AM971)</f>
        <v>270656166.66666669</v>
      </c>
      <c r="AO972" s="79">
        <f>SUM(AO966:AO971)</f>
        <v>761751780</v>
      </c>
      <c r="AP972" s="79">
        <f t="shared" ref="AP972:AX972" si="180">SUM(AP966:AP971)</f>
        <v>67487000</v>
      </c>
      <c r="AQ972" s="79">
        <f t="shared" si="180"/>
        <v>2346370600</v>
      </c>
      <c r="AR972" s="79">
        <f t="shared" si="180"/>
        <v>0</v>
      </c>
      <c r="AS972" s="79">
        <f t="shared" si="180"/>
        <v>0</v>
      </c>
      <c r="AT972" s="79">
        <f t="shared" si="180"/>
        <v>0</v>
      </c>
      <c r="AU972" s="79">
        <f t="shared" si="180"/>
        <v>0</v>
      </c>
      <c r="AV972" s="79">
        <f t="shared" si="180"/>
        <v>0</v>
      </c>
      <c r="AW972" s="79">
        <f t="shared" si="180"/>
        <v>0</v>
      </c>
      <c r="AX972" s="79">
        <f t="shared" si="180"/>
        <v>50308500000</v>
      </c>
      <c r="AY972" s="41" t="s">
        <v>557</v>
      </c>
    </row>
    <row r="973" spans="1:51" x14ac:dyDescent="0.2">
      <c r="A973" s="86" t="s">
        <v>134</v>
      </c>
      <c r="B973" s="43" t="s">
        <v>560</v>
      </c>
      <c r="G973" s="53">
        <f>STDEV(G966:G971)</f>
        <v>7317142.1402074732</v>
      </c>
      <c r="H973" s="46">
        <f>STDEV(H966:H971)</f>
        <v>9.9682830350400167E-2</v>
      </c>
      <c r="I973" s="46">
        <f>STDEV(I966:I971)</f>
        <v>2.4306595069436138E-2</v>
      </c>
      <c r="J973" s="46">
        <f>STDEV(J966:J971)</f>
        <v>0.4655562314987079</v>
      </c>
      <c r="S973" s="53">
        <f>STDEV(S966:S971)</f>
        <v>136575.68963765111</v>
      </c>
      <c r="T973" s="53">
        <f>STDEV(T966:T971)</f>
        <v>740.52402369313324</v>
      </c>
      <c r="U973" s="53">
        <f>STDEV(U966:U971)</f>
        <v>32464.988452634159</v>
      </c>
      <c r="AI973" s="53">
        <f>STDEV(AI966:AI971)</f>
        <v>20484861.825260136</v>
      </c>
      <c r="AJ973" s="46">
        <f>STDEV(AJ966:AJ971)</f>
        <v>0.31309210572396534</v>
      </c>
      <c r="AL973" s="53">
        <f>STDEV(AL966:AL971)</f>
        <v>43408.524508441886</v>
      </c>
      <c r="AM973" s="53">
        <f>STDEV(AM966:AM971)</f>
        <v>31149614.895960893</v>
      </c>
      <c r="AY973" s="41" t="s">
        <v>557</v>
      </c>
    </row>
    <row r="974" spans="1:51" x14ac:dyDescent="0.2">
      <c r="A974" s="86" t="s">
        <v>134</v>
      </c>
      <c r="B974" s="81" t="s">
        <v>249</v>
      </c>
      <c r="G974" s="41">
        <f>COUNT(G966:G971)</f>
        <v>6</v>
      </c>
      <c r="H974" s="41">
        <f>COUNT(H966:H971)</f>
        <v>6</v>
      </c>
      <c r="I974" s="41">
        <f>COUNT(I966:I971)</f>
        <v>6</v>
      </c>
      <c r="J974" s="41">
        <f>COUNT(J966:J971)</f>
        <v>6</v>
      </c>
      <c r="S974" s="41">
        <f>COUNT(S966:S971)</f>
        <v>6</v>
      </c>
      <c r="T974" s="41">
        <f>COUNT(T966:T971)</f>
        <v>6</v>
      </c>
      <c r="U974" s="41">
        <f>COUNT(U966:U971)</f>
        <v>6</v>
      </c>
      <c r="AI974" s="41">
        <f>COUNT(AI966:AI971)</f>
        <v>6</v>
      </c>
      <c r="AJ974" s="41">
        <f>COUNT(AJ966:AJ971)</f>
        <v>6</v>
      </c>
      <c r="AL974" s="41">
        <f>COUNT(AL966:AL971)</f>
        <v>6</v>
      </c>
      <c r="AM974" s="41">
        <f>COUNT(AM966:AM971)</f>
        <v>6</v>
      </c>
      <c r="AY974" s="41" t="s">
        <v>557</v>
      </c>
    </row>
    <row r="975" spans="1:51" x14ac:dyDescent="0.2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  <c r="AA975" s="82"/>
      <c r="AB975" s="82"/>
      <c r="AC975" s="82"/>
      <c r="AD975" s="82"/>
      <c r="AE975" s="82"/>
      <c r="AF975" s="82"/>
      <c r="AG975" s="82"/>
      <c r="AH975" s="82"/>
      <c r="AI975" s="82"/>
      <c r="AJ975" s="82"/>
      <c r="AK975" s="82"/>
      <c r="AL975" s="82"/>
      <c r="AM975" s="82"/>
      <c r="AN975" s="82"/>
      <c r="AO975" s="82"/>
      <c r="AP975" s="82"/>
      <c r="AQ975" s="82"/>
      <c r="AR975" s="82"/>
      <c r="AS975" s="82"/>
      <c r="AT975" s="82"/>
      <c r="AU975" s="82"/>
      <c r="AV975" s="82"/>
      <c r="AW975" s="82"/>
      <c r="AX975" s="82"/>
      <c r="AY975" s="41" t="s">
        <v>557</v>
      </c>
    </row>
    <row r="976" spans="1:51" x14ac:dyDescent="0.2">
      <c r="A976" s="86" t="s">
        <v>625</v>
      </c>
      <c r="B976" s="58" t="s">
        <v>626</v>
      </c>
      <c r="AY976" s="41" t="s">
        <v>557</v>
      </c>
    </row>
    <row r="977" spans="1:51" x14ac:dyDescent="0.2">
      <c r="A977" s="86" t="s">
        <v>625</v>
      </c>
      <c r="B977" s="41">
        <v>2002</v>
      </c>
      <c r="C977" s="41" t="s">
        <v>91</v>
      </c>
      <c r="D977" s="41" t="s">
        <v>401</v>
      </c>
      <c r="E977" s="41">
        <v>0</v>
      </c>
      <c r="F977" s="41" t="s">
        <v>390</v>
      </c>
      <c r="G977" s="53">
        <f>256000*0.9072</f>
        <v>232243.20000000001</v>
      </c>
      <c r="I977" s="47">
        <f>1.502*31.1/0.9072</f>
        <v>51.490520282186949</v>
      </c>
      <c r="T977" s="53">
        <f>359000*31.1/1000</f>
        <v>11164.9</v>
      </c>
      <c r="AO977" s="53">
        <f t="shared" ref="AO977:AW978" si="181">$G977*H977</f>
        <v>0</v>
      </c>
      <c r="AP977" s="53">
        <f t="shared" si="181"/>
        <v>11958323.200000001</v>
      </c>
      <c r="AQ977" s="53">
        <f t="shared" si="181"/>
        <v>0</v>
      </c>
      <c r="AR977" s="53">
        <f t="shared" si="181"/>
        <v>0</v>
      </c>
      <c r="AS977" s="53">
        <f t="shared" si="181"/>
        <v>0</v>
      </c>
      <c r="AT977" s="53">
        <f t="shared" si="181"/>
        <v>0</v>
      </c>
      <c r="AU977" s="53">
        <f t="shared" si="181"/>
        <v>0</v>
      </c>
      <c r="AV977" s="53">
        <f t="shared" si="181"/>
        <v>0</v>
      </c>
      <c r="AW977" s="53">
        <f t="shared" si="181"/>
        <v>0</v>
      </c>
      <c r="AX977" s="53">
        <f t="shared" si="173"/>
        <v>0</v>
      </c>
      <c r="AY977" s="41" t="s">
        <v>557</v>
      </c>
    </row>
    <row r="978" spans="1:51" x14ac:dyDescent="0.2">
      <c r="A978" s="86" t="s">
        <v>625</v>
      </c>
      <c r="B978" s="41">
        <v>2003</v>
      </c>
      <c r="C978" s="41" t="s">
        <v>91</v>
      </c>
      <c r="D978" s="41" t="s">
        <v>401</v>
      </c>
      <c r="E978" s="41">
        <v>0</v>
      </c>
      <c r="F978" s="41" t="s">
        <v>390</v>
      </c>
      <c r="G978" s="53">
        <f>275000*0.9072</f>
        <v>249480</v>
      </c>
      <c r="I978" s="47">
        <f>1.432*31.1/0.9072</f>
        <v>49.09082892416226</v>
      </c>
      <c r="T978" s="53">
        <f>352000*31.1/1000</f>
        <v>10947.2</v>
      </c>
      <c r="AO978" s="53">
        <f t="shared" si="181"/>
        <v>0</v>
      </c>
      <c r="AP978" s="53">
        <f t="shared" si="181"/>
        <v>12247180</v>
      </c>
      <c r="AQ978" s="53">
        <f t="shared" si="181"/>
        <v>0</v>
      </c>
      <c r="AR978" s="53">
        <f t="shared" si="181"/>
        <v>0</v>
      </c>
      <c r="AS978" s="53">
        <f t="shared" si="181"/>
        <v>0</v>
      </c>
      <c r="AT978" s="53">
        <f t="shared" si="181"/>
        <v>0</v>
      </c>
      <c r="AU978" s="53">
        <f t="shared" si="181"/>
        <v>0</v>
      </c>
      <c r="AV978" s="53">
        <f t="shared" si="181"/>
        <v>0</v>
      </c>
      <c r="AW978" s="53">
        <f t="shared" si="181"/>
        <v>0</v>
      </c>
      <c r="AX978" s="53">
        <f t="shared" si="173"/>
        <v>0</v>
      </c>
      <c r="AY978" s="41" t="s">
        <v>557</v>
      </c>
    </row>
    <row r="979" spans="1:51" x14ac:dyDescent="0.2">
      <c r="A979" s="86" t="s">
        <v>625</v>
      </c>
      <c r="B979" s="60" t="s">
        <v>248</v>
      </c>
      <c r="C979" s="60" t="s">
        <v>91</v>
      </c>
      <c r="D979" s="60" t="s">
        <v>401</v>
      </c>
      <c r="E979" s="60">
        <v>0</v>
      </c>
      <c r="F979" s="60" t="s">
        <v>390</v>
      </c>
      <c r="G979" s="79">
        <f>AVERAGE(G977:G978)</f>
        <v>240861.6</v>
      </c>
      <c r="I979" s="78">
        <f>AP979/SUM($G977:$G978)</f>
        <v>50.247742271910511</v>
      </c>
      <c r="T979" s="79">
        <f>AVERAGE(T977:T978)</f>
        <v>11056.05</v>
      </c>
      <c r="AO979" s="79">
        <f t="shared" ref="AO979:AX979" si="182">SUM(AO977:AO978)</f>
        <v>0</v>
      </c>
      <c r="AP979" s="79">
        <f t="shared" si="182"/>
        <v>24205503.200000003</v>
      </c>
      <c r="AQ979" s="79">
        <f t="shared" si="182"/>
        <v>0</v>
      </c>
      <c r="AR979" s="79">
        <f t="shared" si="182"/>
        <v>0</v>
      </c>
      <c r="AS979" s="79">
        <f t="shared" si="182"/>
        <v>0</v>
      </c>
      <c r="AT979" s="79">
        <f t="shared" si="182"/>
        <v>0</v>
      </c>
      <c r="AU979" s="79">
        <f t="shared" si="182"/>
        <v>0</v>
      </c>
      <c r="AV979" s="79">
        <f t="shared" si="182"/>
        <v>0</v>
      </c>
      <c r="AW979" s="79">
        <f t="shared" si="182"/>
        <v>0</v>
      </c>
      <c r="AX979" s="79">
        <f t="shared" si="182"/>
        <v>0</v>
      </c>
      <c r="AY979" s="41" t="s">
        <v>557</v>
      </c>
    </row>
    <row r="980" spans="1:51" x14ac:dyDescent="0.2">
      <c r="A980" s="86" t="s">
        <v>625</v>
      </c>
      <c r="B980" s="43" t="s">
        <v>560</v>
      </c>
      <c r="G980" s="53">
        <f>STDEV(G977:G978)</f>
        <v>12188.258165956275</v>
      </c>
      <c r="I980" s="47">
        <f>STDEV(I977:I978)</f>
        <v>1.6968380320140133</v>
      </c>
      <c r="T980" s="53">
        <f>STDEV(T977:T978)</f>
        <v>153.93714626431063</v>
      </c>
      <c r="AY980" s="41" t="s">
        <v>557</v>
      </c>
    </row>
    <row r="981" spans="1:51" x14ac:dyDescent="0.2">
      <c r="A981" s="86" t="s">
        <v>625</v>
      </c>
      <c r="B981" s="81" t="s">
        <v>249</v>
      </c>
      <c r="G981" s="41">
        <f>COUNT(G977:G978)</f>
        <v>2</v>
      </c>
      <c r="I981" s="41">
        <f>COUNT(I977:I978)</f>
        <v>2</v>
      </c>
      <c r="T981" s="41">
        <f>COUNT(T977:T978)</f>
        <v>2</v>
      </c>
      <c r="AY981" s="41" t="s">
        <v>557</v>
      </c>
    </row>
    <row r="982" spans="1:51" x14ac:dyDescent="0.2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  <c r="AA982" s="82"/>
      <c r="AB982" s="82"/>
      <c r="AC982" s="82"/>
      <c r="AD982" s="82"/>
      <c r="AE982" s="82"/>
      <c r="AF982" s="82"/>
      <c r="AG982" s="82"/>
      <c r="AH982" s="82"/>
      <c r="AI982" s="82"/>
      <c r="AJ982" s="82"/>
      <c r="AK982" s="82"/>
      <c r="AL982" s="82"/>
      <c r="AM982" s="82"/>
      <c r="AN982" s="82"/>
      <c r="AO982" s="82"/>
      <c r="AP982" s="82"/>
      <c r="AQ982" s="82"/>
      <c r="AR982" s="82"/>
      <c r="AS982" s="82"/>
      <c r="AT982" s="82"/>
      <c r="AU982" s="82"/>
      <c r="AV982" s="82"/>
      <c r="AW982" s="82"/>
      <c r="AX982" s="82"/>
      <c r="AY982" s="41" t="s">
        <v>557</v>
      </c>
    </row>
    <row r="983" spans="1:51" x14ac:dyDescent="0.2">
      <c r="A983" s="41" t="s">
        <v>627</v>
      </c>
      <c r="B983" s="41">
        <v>2008</v>
      </c>
      <c r="C983" s="41" t="s">
        <v>87</v>
      </c>
      <c r="D983" s="41" t="s">
        <v>110</v>
      </c>
      <c r="E983" s="41">
        <v>100</v>
      </c>
      <c r="F983" s="41" t="s">
        <v>9</v>
      </c>
      <c r="G983" s="53">
        <v>22026666.666666668</v>
      </c>
      <c r="H983" s="41">
        <v>0.41</v>
      </c>
      <c r="R983" s="76">
        <f t="shared" ref="R983:R990" si="183">S983*4</f>
        <v>270928</v>
      </c>
      <c r="S983" s="53">
        <v>67732</v>
      </c>
      <c r="AM983" s="53">
        <v>13178274.096069094</v>
      </c>
      <c r="AO983" s="53">
        <f t="shared" ref="AO983:AW990" si="184">$G983*H983</f>
        <v>9030933.333333334</v>
      </c>
      <c r="AP983" s="53">
        <f t="shared" si="184"/>
        <v>0</v>
      </c>
      <c r="AQ983" s="53">
        <f t="shared" si="184"/>
        <v>0</v>
      </c>
      <c r="AR983" s="53">
        <f t="shared" si="184"/>
        <v>0</v>
      </c>
      <c r="AS983" s="53">
        <f t="shared" si="184"/>
        <v>0</v>
      </c>
      <c r="AT983" s="53">
        <f t="shared" si="184"/>
        <v>0</v>
      </c>
      <c r="AU983" s="53">
        <f t="shared" si="184"/>
        <v>0</v>
      </c>
      <c r="AV983" s="53">
        <f t="shared" si="184"/>
        <v>0</v>
      </c>
      <c r="AW983" s="53">
        <f t="shared" si="184"/>
        <v>0</v>
      </c>
      <c r="AX983" s="53">
        <f t="shared" si="173"/>
        <v>2202666666.666667</v>
      </c>
      <c r="AY983" s="41" t="s">
        <v>557</v>
      </c>
    </row>
    <row r="984" spans="1:51" x14ac:dyDescent="0.2">
      <c r="A984" s="41" t="s">
        <v>627</v>
      </c>
      <c r="B984" s="41">
        <v>2009</v>
      </c>
      <c r="C984" s="41" t="s">
        <v>87</v>
      </c>
      <c r="D984" s="41" t="s">
        <v>110</v>
      </c>
      <c r="E984" s="41">
        <v>100</v>
      </c>
      <c r="F984" s="41" t="s">
        <v>9</v>
      </c>
      <c r="G984" s="53">
        <v>48138536.585365862</v>
      </c>
      <c r="H984" s="41">
        <v>0.41</v>
      </c>
      <c r="R984" s="76">
        <f t="shared" si="183"/>
        <v>592104</v>
      </c>
      <c r="S984" s="53">
        <v>148026</v>
      </c>
      <c r="AM984" s="53">
        <v>28800673.261452843</v>
      </c>
      <c r="AO984" s="53">
        <f t="shared" si="184"/>
        <v>19736800.000000004</v>
      </c>
      <c r="AP984" s="53">
        <f t="shared" si="184"/>
        <v>0</v>
      </c>
      <c r="AQ984" s="53">
        <f t="shared" si="184"/>
        <v>0</v>
      </c>
      <c r="AR984" s="53">
        <f t="shared" si="184"/>
        <v>0</v>
      </c>
      <c r="AS984" s="53">
        <f t="shared" si="184"/>
        <v>0</v>
      </c>
      <c r="AT984" s="53">
        <f t="shared" si="184"/>
        <v>0</v>
      </c>
      <c r="AU984" s="53">
        <f t="shared" si="184"/>
        <v>0</v>
      </c>
      <c r="AV984" s="53">
        <f t="shared" si="184"/>
        <v>0</v>
      </c>
      <c r="AW984" s="53">
        <f t="shared" si="184"/>
        <v>0</v>
      </c>
      <c r="AX984" s="53">
        <f t="shared" si="173"/>
        <v>4813853658.5365858</v>
      </c>
      <c r="AY984" s="41" t="s">
        <v>557</v>
      </c>
    </row>
    <row r="985" spans="1:51" x14ac:dyDescent="0.2">
      <c r="A985" s="41" t="s">
        <v>627</v>
      </c>
      <c r="B985" s="41">
        <v>2010</v>
      </c>
      <c r="C985" s="41" t="s">
        <v>87</v>
      </c>
      <c r="D985" s="41" t="s">
        <v>110</v>
      </c>
      <c r="E985" s="41">
        <v>100</v>
      </c>
      <c r="F985" s="41" t="s">
        <v>9</v>
      </c>
      <c r="G985" s="53">
        <v>38065691.056910574</v>
      </c>
      <c r="H985" s="41">
        <v>0.41</v>
      </c>
      <c r="R985" s="76">
        <f t="shared" si="183"/>
        <v>468208</v>
      </c>
      <c r="S985" s="53">
        <v>117052</v>
      </c>
      <c r="AM985" s="53">
        <v>22774218.087360181</v>
      </c>
      <c r="AO985" s="53">
        <f t="shared" si="184"/>
        <v>15606933.333333334</v>
      </c>
      <c r="AP985" s="53">
        <f t="shared" si="184"/>
        <v>0</v>
      </c>
      <c r="AQ985" s="53">
        <f t="shared" si="184"/>
        <v>0</v>
      </c>
      <c r="AR985" s="53">
        <f t="shared" si="184"/>
        <v>0</v>
      </c>
      <c r="AS985" s="53">
        <f t="shared" si="184"/>
        <v>0</v>
      </c>
      <c r="AT985" s="53">
        <f t="shared" si="184"/>
        <v>0</v>
      </c>
      <c r="AU985" s="53">
        <f t="shared" si="184"/>
        <v>0</v>
      </c>
      <c r="AV985" s="53">
        <f t="shared" si="184"/>
        <v>0</v>
      </c>
      <c r="AW985" s="53">
        <f t="shared" si="184"/>
        <v>0</v>
      </c>
      <c r="AX985" s="53">
        <f t="shared" si="173"/>
        <v>3806569105.6910572</v>
      </c>
      <c r="AY985" s="41" t="s">
        <v>557</v>
      </c>
    </row>
    <row r="986" spans="1:51" x14ac:dyDescent="0.2">
      <c r="A986" s="41" t="s">
        <v>627</v>
      </c>
      <c r="B986" s="41">
        <v>2011</v>
      </c>
      <c r="C986" s="41" t="s">
        <v>87</v>
      </c>
      <c r="D986" s="41" t="s">
        <v>110</v>
      </c>
      <c r="E986" s="41">
        <v>100</v>
      </c>
      <c r="F986" s="41" t="s">
        <v>9</v>
      </c>
      <c r="G986" s="53">
        <v>38399349.593495943</v>
      </c>
      <c r="H986" s="41">
        <v>0.41</v>
      </c>
      <c r="R986" s="76">
        <f t="shared" si="183"/>
        <v>472312</v>
      </c>
      <c r="S986" s="53">
        <v>118078</v>
      </c>
      <c r="AI986" s="53">
        <v>32569929</v>
      </c>
      <c r="AM986" s="53">
        <v>27799490</v>
      </c>
      <c r="AO986" s="53">
        <f t="shared" si="184"/>
        <v>15743733.333333336</v>
      </c>
      <c r="AP986" s="53">
        <f t="shared" si="184"/>
        <v>0</v>
      </c>
      <c r="AQ986" s="53">
        <f t="shared" si="184"/>
        <v>0</v>
      </c>
      <c r="AR986" s="53">
        <f t="shared" si="184"/>
        <v>0</v>
      </c>
      <c r="AS986" s="53">
        <f t="shared" si="184"/>
        <v>0</v>
      </c>
      <c r="AT986" s="53">
        <f t="shared" si="184"/>
        <v>0</v>
      </c>
      <c r="AU986" s="53">
        <f t="shared" si="184"/>
        <v>0</v>
      </c>
      <c r="AV986" s="53">
        <f t="shared" si="184"/>
        <v>0</v>
      </c>
      <c r="AW986" s="53">
        <f t="shared" si="184"/>
        <v>0</v>
      </c>
      <c r="AX986" s="53">
        <f t="shared" si="173"/>
        <v>3839934959.3495941</v>
      </c>
      <c r="AY986" s="41" t="s">
        <v>557</v>
      </c>
    </row>
    <row r="987" spans="1:51" x14ac:dyDescent="0.2">
      <c r="A987" s="41" t="s">
        <v>627</v>
      </c>
      <c r="B987" s="41">
        <v>2012</v>
      </c>
      <c r="C987" s="41" t="s">
        <v>87</v>
      </c>
      <c r="D987" s="41" t="s">
        <v>110</v>
      </c>
      <c r="E987" s="41">
        <v>100</v>
      </c>
      <c r="F987" s="41" t="s">
        <v>9</v>
      </c>
      <c r="G987" s="53">
        <v>47927927.927927919</v>
      </c>
      <c r="H987" s="41">
        <v>0.37</v>
      </c>
      <c r="R987" s="76">
        <f t="shared" si="183"/>
        <v>532000</v>
      </c>
      <c r="S987" s="53">
        <v>133000</v>
      </c>
      <c r="AI987" s="53">
        <v>8601000</v>
      </c>
      <c r="AM987" s="53">
        <v>22158000</v>
      </c>
      <c r="AO987" s="53">
        <f t="shared" si="184"/>
        <v>17733333.333333328</v>
      </c>
      <c r="AP987" s="53">
        <f t="shared" si="184"/>
        <v>0</v>
      </c>
      <c r="AQ987" s="53">
        <f t="shared" si="184"/>
        <v>0</v>
      </c>
      <c r="AR987" s="53">
        <f t="shared" si="184"/>
        <v>0</v>
      </c>
      <c r="AS987" s="53">
        <f t="shared" si="184"/>
        <v>0</v>
      </c>
      <c r="AT987" s="53">
        <f t="shared" si="184"/>
        <v>0</v>
      </c>
      <c r="AU987" s="53">
        <f t="shared" si="184"/>
        <v>0</v>
      </c>
      <c r="AV987" s="53">
        <f t="shared" si="184"/>
        <v>0</v>
      </c>
      <c r="AW987" s="53">
        <f t="shared" si="184"/>
        <v>0</v>
      </c>
      <c r="AX987" s="53">
        <f t="shared" si="173"/>
        <v>4792792792.7927923</v>
      </c>
      <c r="AY987" s="41" t="s">
        <v>557</v>
      </c>
    </row>
    <row r="988" spans="1:51" x14ac:dyDescent="0.2">
      <c r="A988" s="41" t="s">
        <v>627</v>
      </c>
      <c r="B988" s="41">
        <v>2013</v>
      </c>
      <c r="C988" s="41" t="s">
        <v>87</v>
      </c>
      <c r="D988" s="41" t="s">
        <v>110</v>
      </c>
      <c r="E988" s="41">
        <v>100</v>
      </c>
      <c r="F988" s="41" t="s">
        <v>9</v>
      </c>
      <c r="G988" s="53">
        <v>33400000</v>
      </c>
      <c r="H988" s="41">
        <v>0.5</v>
      </c>
      <c r="R988" s="76">
        <f t="shared" si="183"/>
        <v>512680</v>
      </c>
      <c r="S988" s="53">
        <v>128170</v>
      </c>
      <c r="AI988" s="53">
        <v>37190000</v>
      </c>
      <c r="AM988" s="53">
        <v>18672000</v>
      </c>
      <c r="AO988" s="53">
        <f t="shared" si="184"/>
        <v>16700000</v>
      </c>
      <c r="AP988" s="53">
        <f t="shared" si="184"/>
        <v>0</v>
      </c>
      <c r="AQ988" s="53">
        <f t="shared" si="184"/>
        <v>0</v>
      </c>
      <c r="AR988" s="53">
        <f t="shared" si="184"/>
        <v>0</v>
      </c>
      <c r="AS988" s="53">
        <f t="shared" si="184"/>
        <v>0</v>
      </c>
      <c r="AT988" s="53">
        <f t="shared" si="184"/>
        <v>0</v>
      </c>
      <c r="AU988" s="53">
        <f t="shared" si="184"/>
        <v>0</v>
      </c>
      <c r="AV988" s="53">
        <f t="shared" si="184"/>
        <v>0</v>
      </c>
      <c r="AW988" s="53">
        <f t="shared" si="184"/>
        <v>0</v>
      </c>
      <c r="AX988" s="53">
        <f t="shared" si="173"/>
        <v>3340000000</v>
      </c>
      <c r="AY988" s="41" t="s">
        <v>557</v>
      </c>
    </row>
    <row r="989" spans="1:51" x14ac:dyDescent="0.2">
      <c r="A989" s="41" t="s">
        <v>627</v>
      </c>
      <c r="B989" s="41">
        <v>2014</v>
      </c>
      <c r="C989" s="41" t="s">
        <v>87</v>
      </c>
      <c r="D989" s="41" t="s">
        <v>110</v>
      </c>
      <c r="E989" s="41">
        <v>100</v>
      </c>
      <c r="F989" s="41" t="s">
        <v>9</v>
      </c>
      <c r="G989" s="53">
        <v>44819259.259259261</v>
      </c>
      <c r="H989" s="41">
        <v>0.36</v>
      </c>
      <c r="R989" s="76">
        <f t="shared" si="183"/>
        <v>484048</v>
      </c>
      <c r="S989" s="53">
        <v>121012</v>
      </c>
      <c r="AI989" s="53">
        <v>11345000</v>
      </c>
      <c r="AM989" s="53">
        <v>30696000</v>
      </c>
      <c r="AO989" s="53">
        <f t="shared" si="184"/>
        <v>16134933.333333334</v>
      </c>
      <c r="AP989" s="53">
        <f t="shared" si="184"/>
        <v>0</v>
      </c>
      <c r="AQ989" s="53">
        <f t="shared" si="184"/>
        <v>0</v>
      </c>
      <c r="AR989" s="53">
        <f t="shared" si="184"/>
        <v>0</v>
      </c>
      <c r="AS989" s="53">
        <f t="shared" si="184"/>
        <v>0</v>
      </c>
      <c r="AT989" s="53">
        <f t="shared" si="184"/>
        <v>0</v>
      </c>
      <c r="AU989" s="53">
        <f t="shared" si="184"/>
        <v>0</v>
      </c>
      <c r="AV989" s="53">
        <f t="shared" si="184"/>
        <v>0</v>
      </c>
      <c r="AW989" s="53">
        <f t="shared" si="184"/>
        <v>0</v>
      </c>
      <c r="AX989" s="53">
        <f t="shared" si="173"/>
        <v>4481925925.9259262</v>
      </c>
      <c r="AY989" s="41" t="s">
        <v>557</v>
      </c>
    </row>
    <row r="990" spans="1:51" x14ac:dyDescent="0.2">
      <c r="A990" s="41" t="s">
        <v>627</v>
      </c>
      <c r="B990" s="41">
        <v>2015</v>
      </c>
      <c r="C990" s="41" t="s">
        <v>87</v>
      </c>
      <c r="D990" s="41" t="s">
        <v>110</v>
      </c>
      <c r="E990" s="41">
        <v>100</v>
      </c>
      <c r="F990" s="41" t="s">
        <v>9</v>
      </c>
      <c r="G990" s="53">
        <v>47622476.190476201</v>
      </c>
      <c r="H990" s="41">
        <v>0.35</v>
      </c>
      <c r="R990" s="76">
        <f t="shared" si="183"/>
        <v>500036</v>
      </c>
      <c r="S990" s="53">
        <v>125009</v>
      </c>
      <c r="AI990" s="53">
        <v>11869000</v>
      </c>
      <c r="AM990" s="53">
        <v>31966000</v>
      </c>
      <c r="AO990" s="53">
        <f t="shared" si="184"/>
        <v>16667866.66666667</v>
      </c>
      <c r="AP990" s="53">
        <f t="shared" si="184"/>
        <v>0</v>
      </c>
      <c r="AQ990" s="53">
        <f t="shared" si="184"/>
        <v>0</v>
      </c>
      <c r="AR990" s="53">
        <f t="shared" si="184"/>
        <v>0</v>
      </c>
      <c r="AS990" s="53">
        <f t="shared" si="184"/>
        <v>0</v>
      </c>
      <c r="AT990" s="53">
        <f t="shared" si="184"/>
        <v>0</v>
      </c>
      <c r="AU990" s="53">
        <f t="shared" si="184"/>
        <v>0</v>
      </c>
      <c r="AV990" s="53">
        <f t="shared" si="184"/>
        <v>0</v>
      </c>
      <c r="AW990" s="53">
        <f t="shared" si="184"/>
        <v>0</v>
      </c>
      <c r="AX990" s="53">
        <f t="shared" si="173"/>
        <v>4762247619.0476198</v>
      </c>
      <c r="AY990" s="41" t="s">
        <v>557</v>
      </c>
    </row>
    <row r="991" spans="1:51" x14ac:dyDescent="0.2">
      <c r="A991" s="84"/>
      <c r="B991" s="85" t="s">
        <v>628</v>
      </c>
      <c r="C991" s="60" t="s">
        <v>87</v>
      </c>
      <c r="D991" s="60" t="s">
        <v>110</v>
      </c>
      <c r="E991" s="60">
        <v>100</v>
      </c>
      <c r="F991" s="60" t="s">
        <v>9</v>
      </c>
      <c r="G991" s="79">
        <f>SUM(G983:G989)+(2/12)*G990</f>
        <v>280714510.4547056</v>
      </c>
      <c r="H991" s="80">
        <f>AO991/$G991</f>
        <v>0.40419942759871125</v>
      </c>
      <c r="R991" s="79">
        <f>SUM(R983:R989)+(2/12)*R990</f>
        <v>3415619.3333333335</v>
      </c>
      <c r="S991" s="79">
        <f>SUM(S983:S989)+(2/12)*S990</f>
        <v>853904.83333333337</v>
      </c>
      <c r="AI991" s="79">
        <f>SUM(AI983:AI989)+(2/12)*AI990</f>
        <v>91684095.666666672</v>
      </c>
      <c r="AM991" s="79">
        <f>SUM(AM983:AM989)+(2/12)*AM990</f>
        <v>169406322.11154878</v>
      </c>
      <c r="AO991" s="79">
        <f t="shared" ref="AO991:AX991" si="185">SUM(AO983:AO989)+(2/12)*AO990</f>
        <v>113464644.44444445</v>
      </c>
      <c r="AP991" s="79">
        <f t="shared" si="185"/>
        <v>0</v>
      </c>
      <c r="AQ991" s="79">
        <f t="shared" si="185"/>
        <v>0</v>
      </c>
      <c r="AR991" s="79">
        <f t="shared" si="185"/>
        <v>0</v>
      </c>
      <c r="AS991" s="79">
        <f t="shared" si="185"/>
        <v>0</v>
      </c>
      <c r="AT991" s="79">
        <f t="shared" si="185"/>
        <v>0</v>
      </c>
      <c r="AU991" s="79">
        <f t="shared" si="185"/>
        <v>0</v>
      </c>
      <c r="AV991" s="79">
        <f t="shared" si="185"/>
        <v>0</v>
      </c>
      <c r="AW991" s="79">
        <f t="shared" si="185"/>
        <v>0</v>
      </c>
      <c r="AX991" s="79">
        <f t="shared" si="185"/>
        <v>28071451045.470562</v>
      </c>
      <c r="AY991" s="41" t="s">
        <v>557</v>
      </c>
    </row>
    <row r="992" spans="1:51" x14ac:dyDescent="0.2">
      <c r="A992" s="41" t="s">
        <v>627</v>
      </c>
      <c r="B992" s="43" t="s">
        <v>560</v>
      </c>
      <c r="G992" s="53">
        <f>STDEV(G983:G990)</f>
        <v>9128445.1442202833</v>
      </c>
      <c r="H992" s="46">
        <f>STDEV(H983:H990)</f>
        <v>4.6827952580239626E-2</v>
      </c>
      <c r="R992" s="53">
        <f>STDEV(R983:R990)</f>
        <v>93089.046559885726</v>
      </c>
      <c r="S992" s="53">
        <f>STDEV(S983:S990)</f>
        <v>23272.261639971432</v>
      </c>
      <c r="AI992" s="53">
        <f>STDEV(AI983:AI990)</f>
        <v>13453275.825928355</v>
      </c>
      <c r="AM992" s="53">
        <f>STDEV(AM983:AM990)</f>
        <v>6482108.3006778304</v>
      </c>
      <c r="AY992" s="41" t="s">
        <v>557</v>
      </c>
    </row>
    <row r="993" spans="1:51" x14ac:dyDescent="0.2">
      <c r="A993" s="41" t="s">
        <v>627</v>
      </c>
      <c r="B993" s="81" t="s">
        <v>249</v>
      </c>
      <c r="G993" s="41">
        <f>COUNT(G983:G990)</f>
        <v>8</v>
      </c>
      <c r="H993" s="41">
        <f>COUNT(H983:H990)</f>
        <v>8</v>
      </c>
      <c r="R993" s="41">
        <f>COUNT(R983:R990)</f>
        <v>8</v>
      </c>
      <c r="S993" s="41">
        <f>COUNT(S983:S990)</f>
        <v>8</v>
      </c>
      <c r="AI993" s="41">
        <f>COUNT(AI983:AI990)</f>
        <v>5</v>
      </c>
      <c r="AM993" s="41">
        <f>COUNT(AM983:AM990)</f>
        <v>8</v>
      </c>
      <c r="AY993" s="41" t="s">
        <v>557</v>
      </c>
    </row>
    <row r="994" spans="1:51" x14ac:dyDescent="0.2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  <c r="AA994" s="82"/>
      <c r="AB994" s="82"/>
      <c r="AC994" s="82"/>
      <c r="AD994" s="82"/>
      <c r="AE994" s="82"/>
      <c r="AF994" s="82"/>
      <c r="AG994" s="82"/>
      <c r="AH994" s="82"/>
      <c r="AI994" s="82"/>
      <c r="AJ994" s="82"/>
      <c r="AK994" s="82"/>
      <c r="AL994" s="82"/>
      <c r="AM994" s="82"/>
      <c r="AN994" s="82"/>
      <c r="AO994" s="82"/>
      <c r="AP994" s="82"/>
      <c r="AQ994" s="82"/>
      <c r="AR994" s="82"/>
      <c r="AS994" s="82"/>
      <c r="AT994" s="82"/>
      <c r="AU994" s="82"/>
      <c r="AV994" s="82"/>
      <c r="AW994" s="82"/>
      <c r="AX994" s="82"/>
      <c r="AY994" s="41" t="s">
        <v>557</v>
      </c>
    </row>
    <row r="995" spans="1:51" x14ac:dyDescent="0.2">
      <c r="A995" s="41" t="s">
        <v>273</v>
      </c>
      <c r="B995" s="41">
        <v>1991</v>
      </c>
      <c r="C995" s="41" t="s">
        <v>91</v>
      </c>
      <c r="D995" s="41" t="s">
        <v>88</v>
      </c>
      <c r="E995" s="41">
        <v>0</v>
      </c>
      <c r="F995" s="41" t="s">
        <v>629</v>
      </c>
      <c r="G995" s="53">
        <v>639025</v>
      </c>
      <c r="H995" s="41">
        <v>0.7</v>
      </c>
      <c r="I995" s="41">
        <v>1.1000000000000001</v>
      </c>
      <c r="J995" s="52">
        <v>108.85000000000001</v>
      </c>
      <c r="L995" s="58">
        <v>0.5</v>
      </c>
      <c r="M995" s="41">
        <v>15.1</v>
      </c>
      <c r="R995" s="76">
        <f>S995*4</f>
        <v>7335.0639999999994</v>
      </c>
      <c r="S995" s="53">
        <v>1833.7659999999998</v>
      </c>
      <c r="T995" s="53">
        <v>141.26140000000004</v>
      </c>
      <c r="U995" s="53">
        <v>18555.255200000003</v>
      </c>
      <c r="X995" s="76">
        <f>Y995*2</f>
        <v>0</v>
      </c>
      <c r="Y995" s="53"/>
      <c r="Z995" s="76">
        <f>AA995*2</f>
        <v>169742.62</v>
      </c>
      <c r="AA995" s="53">
        <v>84871.31</v>
      </c>
      <c r="AO995" s="53">
        <f t="shared" ref="AO995:AW1019" si="186">$G995*H995</f>
        <v>447317.5</v>
      </c>
      <c r="AP995" s="53">
        <f t="shared" si="186"/>
        <v>702927.5</v>
      </c>
      <c r="AQ995" s="53">
        <f t="shared" si="186"/>
        <v>69557871.25</v>
      </c>
      <c r="AR995" s="53">
        <f t="shared" si="186"/>
        <v>0</v>
      </c>
      <c r="AS995" s="53">
        <f t="shared" si="186"/>
        <v>319512.5</v>
      </c>
      <c r="AT995" s="53">
        <f t="shared" si="186"/>
        <v>9649277.5</v>
      </c>
      <c r="AU995" s="53">
        <f t="shared" si="186"/>
        <v>0</v>
      </c>
      <c r="AV995" s="53">
        <f t="shared" si="186"/>
        <v>0</v>
      </c>
      <c r="AW995" s="53">
        <f t="shared" si="186"/>
        <v>0</v>
      </c>
      <c r="AX995" s="53">
        <f t="shared" si="173"/>
        <v>0</v>
      </c>
      <c r="AY995" s="41" t="s">
        <v>557</v>
      </c>
    </row>
    <row r="996" spans="1:51" x14ac:dyDescent="0.2">
      <c r="A996" s="41" t="s">
        <v>273</v>
      </c>
      <c r="B996" s="41" t="s">
        <v>630</v>
      </c>
      <c r="C996" s="41" t="s">
        <v>91</v>
      </c>
      <c r="D996" s="41" t="s">
        <v>88</v>
      </c>
      <c r="E996" s="41">
        <v>0</v>
      </c>
      <c r="F996" s="41" t="s">
        <v>629</v>
      </c>
      <c r="G996" s="53">
        <v>758520</v>
      </c>
      <c r="H996" s="41">
        <v>0.6</v>
      </c>
      <c r="I996" s="56">
        <v>0.33538996994146497</v>
      </c>
      <c r="J996" s="110">
        <v>43.600696092390443</v>
      </c>
      <c r="L996" s="58">
        <v>0.5</v>
      </c>
      <c r="M996" s="41">
        <v>14.1</v>
      </c>
      <c r="R996" s="76">
        <f t="shared" ref="R996:R1019" si="187">S996*4</f>
        <v>6988</v>
      </c>
      <c r="S996" s="53">
        <v>1747</v>
      </c>
      <c r="T996" s="53">
        <v>127.2</v>
      </c>
      <c r="U996" s="53">
        <v>16536</v>
      </c>
      <c r="X996" s="76">
        <f t="shared" ref="X996:Z1019" si="188">Y996*2</f>
        <v>0</v>
      </c>
      <c r="Y996" s="53"/>
      <c r="Z996" s="76">
        <f t="shared" si="188"/>
        <v>192794</v>
      </c>
      <c r="AA996" s="53">
        <v>96397</v>
      </c>
      <c r="AO996" s="53">
        <f t="shared" si="186"/>
        <v>455112</v>
      </c>
      <c r="AP996" s="53">
        <f t="shared" si="186"/>
        <v>254400</v>
      </c>
      <c r="AQ996" s="53">
        <f t="shared" si="186"/>
        <v>33072000</v>
      </c>
      <c r="AR996" s="53">
        <f t="shared" si="186"/>
        <v>0</v>
      </c>
      <c r="AS996" s="53">
        <f t="shared" si="186"/>
        <v>379260</v>
      </c>
      <c r="AT996" s="53">
        <f t="shared" si="186"/>
        <v>10695132</v>
      </c>
      <c r="AU996" s="53">
        <f t="shared" si="186"/>
        <v>0</v>
      </c>
      <c r="AV996" s="53">
        <f t="shared" si="186"/>
        <v>0</v>
      </c>
      <c r="AW996" s="53">
        <f t="shared" si="186"/>
        <v>0</v>
      </c>
      <c r="AX996" s="53">
        <f t="shared" si="173"/>
        <v>0</v>
      </c>
      <c r="AY996" s="41" t="s">
        <v>557</v>
      </c>
    </row>
    <row r="997" spans="1:51" x14ac:dyDescent="0.2">
      <c r="A997" s="41" t="s">
        <v>273</v>
      </c>
      <c r="B997" s="41" t="s">
        <v>631</v>
      </c>
      <c r="C997" s="41" t="s">
        <v>91</v>
      </c>
      <c r="D997" s="41" t="s">
        <v>88</v>
      </c>
      <c r="E997" s="41">
        <v>0</v>
      </c>
      <c r="F997" s="41" t="s">
        <v>629</v>
      </c>
      <c r="G997" s="53">
        <v>851500</v>
      </c>
      <c r="H997" s="41">
        <v>1.2</v>
      </c>
      <c r="I997" s="56">
        <v>0.32620082207868467</v>
      </c>
      <c r="J997" s="110">
        <v>45.515208455666468</v>
      </c>
      <c r="L997" s="58">
        <v>0.5</v>
      </c>
      <c r="M997" s="41">
        <v>11.2</v>
      </c>
      <c r="R997" s="76">
        <f t="shared" si="187"/>
        <v>19100</v>
      </c>
      <c r="S997" s="53">
        <v>4775</v>
      </c>
      <c r="T997" s="53">
        <v>138.88</v>
      </c>
      <c r="U997" s="53">
        <v>19378.099999999999</v>
      </c>
      <c r="X997" s="76">
        <f t="shared" si="188"/>
        <v>0</v>
      </c>
      <c r="Y997" s="53"/>
      <c r="Z997" s="76">
        <f t="shared" si="188"/>
        <v>158708</v>
      </c>
      <c r="AA997" s="53">
        <v>79354</v>
      </c>
      <c r="AO997" s="53">
        <f t="shared" si="186"/>
        <v>1021800</v>
      </c>
      <c r="AP997" s="53">
        <f t="shared" si="186"/>
        <v>277760</v>
      </c>
      <c r="AQ997" s="53">
        <f t="shared" si="186"/>
        <v>38756200</v>
      </c>
      <c r="AR997" s="53">
        <f t="shared" si="186"/>
        <v>0</v>
      </c>
      <c r="AS997" s="53">
        <f t="shared" si="186"/>
        <v>425750</v>
      </c>
      <c r="AT997" s="53">
        <f t="shared" si="186"/>
        <v>9536800</v>
      </c>
      <c r="AU997" s="53">
        <f t="shared" si="186"/>
        <v>0</v>
      </c>
      <c r="AV997" s="53">
        <f t="shared" si="186"/>
        <v>0</v>
      </c>
      <c r="AW997" s="53">
        <f t="shared" si="186"/>
        <v>0</v>
      </c>
      <c r="AX997" s="53">
        <f t="shared" si="173"/>
        <v>0</v>
      </c>
      <c r="AY997" s="41" t="s">
        <v>557</v>
      </c>
    </row>
    <row r="998" spans="1:51" x14ac:dyDescent="0.2">
      <c r="A998" s="41" t="s">
        <v>273</v>
      </c>
      <c r="B998" s="41" t="s">
        <v>632</v>
      </c>
      <c r="C998" s="41" t="s">
        <v>91</v>
      </c>
      <c r="D998" s="41" t="s">
        <v>88</v>
      </c>
      <c r="E998" s="41">
        <v>0</v>
      </c>
      <c r="F998" s="41" t="s">
        <v>629</v>
      </c>
      <c r="G998" s="53">
        <v>901146</v>
      </c>
      <c r="H998" s="41">
        <v>1.4</v>
      </c>
      <c r="I998" s="56">
        <v>0.27566099167060609</v>
      </c>
      <c r="J998" s="110">
        <v>52.778994746689214</v>
      </c>
      <c r="L998" s="58">
        <v>0.5</v>
      </c>
      <c r="M998" s="41">
        <v>11.3</v>
      </c>
      <c r="R998" s="76">
        <f t="shared" si="187"/>
        <v>25980</v>
      </c>
      <c r="S998" s="53">
        <v>6495</v>
      </c>
      <c r="T998" s="53">
        <v>124.2054</v>
      </c>
      <c r="U998" s="53">
        <v>23780.79</v>
      </c>
      <c r="X998" s="76">
        <f t="shared" si="188"/>
        <v>0</v>
      </c>
      <c r="Y998" s="53"/>
      <c r="Z998" s="76">
        <f t="shared" si="188"/>
        <v>171186</v>
      </c>
      <c r="AA998" s="53">
        <v>85593</v>
      </c>
      <c r="AO998" s="53">
        <f t="shared" si="186"/>
        <v>1261604.3999999999</v>
      </c>
      <c r="AP998" s="53">
        <f t="shared" si="186"/>
        <v>248410.8</v>
      </c>
      <c r="AQ998" s="53">
        <f t="shared" si="186"/>
        <v>47561580</v>
      </c>
      <c r="AR998" s="53">
        <f t="shared" si="186"/>
        <v>0</v>
      </c>
      <c r="AS998" s="53">
        <f t="shared" si="186"/>
        <v>450573</v>
      </c>
      <c r="AT998" s="53">
        <f t="shared" si="186"/>
        <v>10182949.800000001</v>
      </c>
      <c r="AU998" s="53">
        <f t="shared" si="186"/>
        <v>0</v>
      </c>
      <c r="AV998" s="53">
        <f t="shared" si="186"/>
        <v>0</v>
      </c>
      <c r="AW998" s="53">
        <f t="shared" si="186"/>
        <v>0</v>
      </c>
      <c r="AX998" s="53">
        <f t="shared" si="173"/>
        <v>0</v>
      </c>
      <c r="AY998" s="41" t="s">
        <v>557</v>
      </c>
    </row>
    <row r="999" spans="1:51" x14ac:dyDescent="0.2">
      <c r="A999" s="41" t="s">
        <v>273</v>
      </c>
      <c r="B999" s="41" t="s">
        <v>633</v>
      </c>
      <c r="C999" s="41" t="s">
        <v>91</v>
      </c>
      <c r="D999" s="41" t="s">
        <v>88</v>
      </c>
      <c r="E999" s="41">
        <v>0</v>
      </c>
      <c r="F999" s="41" t="s">
        <v>629</v>
      </c>
      <c r="G999" s="53">
        <v>863079</v>
      </c>
      <c r="H999" s="41">
        <v>1.8</v>
      </c>
      <c r="I999" s="56">
        <v>0.18892893929756141</v>
      </c>
      <c r="J999" s="110">
        <v>36.674441157761919</v>
      </c>
      <c r="L999" s="58">
        <v>0.5</v>
      </c>
      <c r="M999" s="41">
        <v>8.6</v>
      </c>
      <c r="R999" s="76">
        <f t="shared" si="187"/>
        <v>39308</v>
      </c>
      <c r="S999" s="53">
        <v>9827</v>
      </c>
      <c r="T999" s="53">
        <v>81.530299999999997</v>
      </c>
      <c r="U999" s="53">
        <v>15826.47</v>
      </c>
      <c r="X999" s="76">
        <f t="shared" si="188"/>
        <v>0</v>
      </c>
      <c r="Y999" s="53"/>
      <c r="Z999" s="76">
        <f t="shared" si="188"/>
        <v>116716</v>
      </c>
      <c r="AA999" s="53">
        <v>58358</v>
      </c>
      <c r="AO999" s="53">
        <f t="shared" si="186"/>
        <v>1553542.2</v>
      </c>
      <c r="AP999" s="53">
        <f t="shared" si="186"/>
        <v>163060.6</v>
      </c>
      <c r="AQ999" s="53">
        <f t="shared" si="186"/>
        <v>31652940</v>
      </c>
      <c r="AR999" s="53">
        <f t="shared" si="186"/>
        <v>0</v>
      </c>
      <c r="AS999" s="53">
        <f t="shared" si="186"/>
        <v>431539.5</v>
      </c>
      <c r="AT999" s="53">
        <f t="shared" si="186"/>
        <v>7422479.3999999994</v>
      </c>
      <c r="AU999" s="53">
        <f t="shared" si="186"/>
        <v>0</v>
      </c>
      <c r="AV999" s="53">
        <f t="shared" si="186"/>
        <v>0</v>
      </c>
      <c r="AW999" s="53">
        <f t="shared" si="186"/>
        <v>0</v>
      </c>
      <c r="AX999" s="53">
        <f t="shared" si="173"/>
        <v>0</v>
      </c>
      <c r="AY999" s="41" t="s">
        <v>557</v>
      </c>
    </row>
    <row r="1000" spans="1:51" x14ac:dyDescent="0.2">
      <c r="A1000" s="41" t="s">
        <v>273</v>
      </c>
      <c r="B1000" s="41" t="s">
        <v>634</v>
      </c>
      <c r="C1000" s="41" t="s">
        <v>91</v>
      </c>
      <c r="D1000" s="41" t="s">
        <v>88</v>
      </c>
      <c r="E1000" s="41">
        <v>0</v>
      </c>
      <c r="F1000" s="41" t="s">
        <v>629</v>
      </c>
      <c r="G1000" s="53">
        <v>864191</v>
      </c>
      <c r="H1000" s="41">
        <v>1.6</v>
      </c>
      <c r="I1000" s="56">
        <v>0.42268433714306214</v>
      </c>
      <c r="J1000" s="110">
        <v>43.747828894306927</v>
      </c>
      <c r="L1000" s="58">
        <v>0.5</v>
      </c>
      <c r="M1000" s="41">
        <v>9.4</v>
      </c>
      <c r="R1000" s="76">
        <f t="shared" si="187"/>
        <v>39596</v>
      </c>
      <c r="S1000" s="53">
        <v>9899</v>
      </c>
      <c r="T1000" s="53">
        <v>182.64</v>
      </c>
      <c r="U1000" s="53">
        <v>18903.240000000002</v>
      </c>
      <c r="X1000" s="76">
        <f t="shared" si="188"/>
        <v>0</v>
      </c>
      <c r="Y1000" s="53"/>
      <c r="Z1000" s="76">
        <f t="shared" si="188"/>
        <v>139390</v>
      </c>
      <c r="AA1000" s="53">
        <v>69695</v>
      </c>
      <c r="AO1000" s="53">
        <f t="shared" si="186"/>
        <v>1382705.6</v>
      </c>
      <c r="AP1000" s="53">
        <f t="shared" si="186"/>
        <v>365280</v>
      </c>
      <c r="AQ1000" s="53">
        <f t="shared" si="186"/>
        <v>37806480</v>
      </c>
      <c r="AR1000" s="53">
        <f t="shared" si="186"/>
        <v>0</v>
      </c>
      <c r="AS1000" s="53">
        <f t="shared" si="186"/>
        <v>432095.5</v>
      </c>
      <c r="AT1000" s="53">
        <f t="shared" si="186"/>
        <v>8123395.4000000004</v>
      </c>
      <c r="AU1000" s="53">
        <f t="shared" si="186"/>
        <v>0</v>
      </c>
      <c r="AV1000" s="53">
        <f t="shared" si="186"/>
        <v>0</v>
      </c>
      <c r="AW1000" s="53">
        <f t="shared" si="186"/>
        <v>0</v>
      </c>
      <c r="AX1000" s="53">
        <f t="shared" si="173"/>
        <v>0</v>
      </c>
      <c r="AY1000" s="41" t="s">
        <v>557</v>
      </c>
    </row>
    <row r="1001" spans="1:51" x14ac:dyDescent="0.2">
      <c r="A1001" s="41" t="s">
        <v>273</v>
      </c>
      <c r="B1001" s="41" t="s">
        <v>635</v>
      </c>
      <c r="C1001" s="41" t="s">
        <v>91</v>
      </c>
      <c r="D1001" s="41" t="s">
        <v>88</v>
      </c>
      <c r="E1001" s="41">
        <v>0</v>
      </c>
      <c r="F1001" s="41" t="s">
        <v>629</v>
      </c>
      <c r="G1001" s="53">
        <v>907901</v>
      </c>
      <c r="H1001" s="41">
        <v>1.9</v>
      </c>
      <c r="I1001" s="56">
        <v>0.38079107744126284</v>
      </c>
      <c r="J1001" s="110">
        <v>43.594013003620439</v>
      </c>
      <c r="L1001" s="58">
        <v>0.5</v>
      </c>
      <c r="M1001" s="41">
        <v>7.5</v>
      </c>
      <c r="R1001" s="76">
        <f t="shared" si="187"/>
        <v>51176</v>
      </c>
      <c r="S1001" s="53">
        <v>12794</v>
      </c>
      <c r="T1001" s="53">
        <v>172.8603</v>
      </c>
      <c r="U1001" s="53">
        <v>19789.524000000001</v>
      </c>
      <c r="X1001" s="76">
        <f t="shared" si="188"/>
        <v>0</v>
      </c>
      <c r="Y1001" s="53"/>
      <c r="Z1001" s="76">
        <f t="shared" si="188"/>
        <v>110170</v>
      </c>
      <c r="AA1001" s="53">
        <v>55085</v>
      </c>
      <c r="AO1001" s="53">
        <f t="shared" si="186"/>
        <v>1725011.9</v>
      </c>
      <c r="AP1001" s="53">
        <f t="shared" si="186"/>
        <v>345720.6</v>
      </c>
      <c r="AQ1001" s="53">
        <f t="shared" si="186"/>
        <v>39579048</v>
      </c>
      <c r="AR1001" s="53">
        <f t="shared" si="186"/>
        <v>0</v>
      </c>
      <c r="AS1001" s="53">
        <f t="shared" si="186"/>
        <v>453950.5</v>
      </c>
      <c r="AT1001" s="53">
        <f t="shared" si="186"/>
        <v>6809257.5</v>
      </c>
      <c r="AU1001" s="53">
        <f t="shared" si="186"/>
        <v>0</v>
      </c>
      <c r="AV1001" s="53">
        <f t="shared" si="186"/>
        <v>0</v>
      </c>
      <c r="AW1001" s="53">
        <f t="shared" si="186"/>
        <v>0</v>
      </c>
      <c r="AX1001" s="53">
        <f t="shared" si="173"/>
        <v>0</v>
      </c>
      <c r="AY1001" s="41" t="s">
        <v>557</v>
      </c>
    </row>
    <row r="1002" spans="1:51" x14ac:dyDescent="0.2">
      <c r="A1002" s="41" t="s">
        <v>273</v>
      </c>
      <c r="B1002" s="41" t="s">
        <v>598</v>
      </c>
      <c r="C1002" s="41" t="s">
        <v>91</v>
      </c>
      <c r="D1002" s="41" t="s">
        <v>88</v>
      </c>
      <c r="E1002" s="41">
        <v>0</v>
      </c>
      <c r="F1002" s="41" t="s">
        <v>629</v>
      </c>
      <c r="G1002" s="53">
        <v>865156</v>
      </c>
      <c r="H1002" s="41">
        <v>1.3</v>
      </c>
      <c r="I1002" s="56">
        <v>0.62483806388674412</v>
      </c>
      <c r="J1002" s="110">
        <v>65.705627655590433</v>
      </c>
      <c r="L1002" s="58">
        <v>0.5</v>
      </c>
      <c r="M1002" s="41">
        <v>10.6</v>
      </c>
      <c r="R1002" s="76">
        <f t="shared" si="187"/>
        <v>33344</v>
      </c>
      <c r="S1002" s="53">
        <v>8336</v>
      </c>
      <c r="T1002" s="53">
        <v>270.2912</v>
      </c>
      <c r="U1002" s="53">
        <v>28422.809000000001</v>
      </c>
      <c r="X1002" s="76">
        <f t="shared" si="188"/>
        <v>0</v>
      </c>
      <c r="Y1002" s="53"/>
      <c r="Z1002" s="76">
        <f t="shared" si="188"/>
        <v>157590</v>
      </c>
      <c r="AA1002" s="53">
        <v>78795</v>
      </c>
      <c r="AO1002" s="53">
        <f t="shared" si="186"/>
        <v>1124702.8</v>
      </c>
      <c r="AP1002" s="53">
        <f t="shared" si="186"/>
        <v>540582.40000000002</v>
      </c>
      <c r="AQ1002" s="53">
        <f t="shared" si="186"/>
        <v>56845618</v>
      </c>
      <c r="AR1002" s="53">
        <f t="shared" si="186"/>
        <v>0</v>
      </c>
      <c r="AS1002" s="53">
        <f t="shared" si="186"/>
        <v>432578</v>
      </c>
      <c r="AT1002" s="53">
        <f t="shared" si="186"/>
        <v>9170653.5999999996</v>
      </c>
      <c r="AU1002" s="53">
        <f t="shared" si="186"/>
        <v>0</v>
      </c>
      <c r="AV1002" s="53">
        <f t="shared" si="186"/>
        <v>0</v>
      </c>
      <c r="AW1002" s="53">
        <f t="shared" si="186"/>
        <v>0</v>
      </c>
      <c r="AX1002" s="53">
        <f t="shared" si="173"/>
        <v>0</v>
      </c>
      <c r="AY1002" s="41" t="s">
        <v>557</v>
      </c>
    </row>
    <row r="1003" spans="1:51" x14ac:dyDescent="0.2">
      <c r="A1003" s="41" t="s">
        <v>273</v>
      </c>
      <c r="B1003" s="41" t="s">
        <v>586</v>
      </c>
      <c r="C1003" s="41" t="s">
        <v>91</v>
      </c>
      <c r="D1003" s="41" t="s">
        <v>88</v>
      </c>
      <c r="E1003" s="41">
        <v>0</v>
      </c>
      <c r="F1003" s="41" t="s">
        <v>629</v>
      </c>
      <c r="G1003" s="53">
        <v>1053300</v>
      </c>
      <c r="H1003" s="41">
        <v>0.6</v>
      </c>
      <c r="I1003" s="111">
        <v>0.5</v>
      </c>
      <c r="J1003" s="91">
        <v>35</v>
      </c>
      <c r="L1003" s="41">
        <v>0.6</v>
      </c>
      <c r="M1003" s="41">
        <v>11.9</v>
      </c>
      <c r="R1003" s="76">
        <f t="shared" si="187"/>
        <v>12400</v>
      </c>
      <c r="S1003" s="53">
        <v>3100</v>
      </c>
      <c r="T1003" s="53">
        <v>526.65</v>
      </c>
      <c r="U1003" s="53">
        <v>36865.5</v>
      </c>
      <c r="X1003" s="76">
        <f t="shared" si="188"/>
        <v>1800</v>
      </c>
      <c r="Y1003" s="53">
        <v>900</v>
      </c>
      <c r="Z1003" s="76">
        <f t="shared" si="188"/>
        <v>220710</v>
      </c>
      <c r="AA1003" s="53">
        <v>110355</v>
      </c>
      <c r="AO1003" s="53">
        <f t="shared" si="186"/>
        <v>631980</v>
      </c>
      <c r="AP1003" s="53">
        <f t="shared" si="186"/>
        <v>526650</v>
      </c>
      <c r="AQ1003" s="53">
        <f t="shared" si="186"/>
        <v>36865500</v>
      </c>
      <c r="AR1003" s="53">
        <f t="shared" si="186"/>
        <v>0</v>
      </c>
      <c r="AS1003" s="53">
        <f t="shared" si="186"/>
        <v>631980</v>
      </c>
      <c r="AT1003" s="53">
        <f t="shared" si="186"/>
        <v>12534270</v>
      </c>
      <c r="AU1003" s="53">
        <f t="shared" si="186"/>
        <v>0</v>
      </c>
      <c r="AV1003" s="53">
        <f t="shared" si="186"/>
        <v>0</v>
      </c>
      <c r="AW1003" s="53">
        <f t="shared" si="186"/>
        <v>0</v>
      </c>
      <c r="AX1003" s="53">
        <f t="shared" si="173"/>
        <v>0</v>
      </c>
      <c r="AY1003" s="41" t="s">
        <v>557</v>
      </c>
    </row>
    <row r="1004" spans="1:51" x14ac:dyDescent="0.2">
      <c r="A1004" s="41" t="s">
        <v>273</v>
      </c>
      <c r="B1004" s="41" t="s">
        <v>588</v>
      </c>
      <c r="C1004" s="41" t="s">
        <v>91</v>
      </c>
      <c r="D1004" s="41" t="s">
        <v>88</v>
      </c>
      <c r="E1004" s="41">
        <v>0</v>
      </c>
      <c r="F1004" s="41" t="s">
        <v>629</v>
      </c>
      <c r="G1004" s="53">
        <v>1208900</v>
      </c>
      <c r="H1004" s="41">
        <v>0.5</v>
      </c>
      <c r="I1004" s="56">
        <v>0.99620845396641589</v>
      </c>
      <c r="J1004" s="110">
        <v>81.808255438828681</v>
      </c>
      <c r="L1004" s="41">
        <v>0.8</v>
      </c>
      <c r="M1004" s="47">
        <v>11</v>
      </c>
      <c r="R1004" s="76">
        <f t="shared" si="187"/>
        <v>9200</v>
      </c>
      <c r="S1004" s="53">
        <v>2300</v>
      </c>
      <c r="T1004" s="53">
        <v>602.15820000000008</v>
      </c>
      <c r="U1004" s="53">
        <v>49449</v>
      </c>
      <c r="X1004" s="76">
        <f t="shared" si="188"/>
        <v>10546</v>
      </c>
      <c r="Y1004" s="53">
        <v>5273</v>
      </c>
      <c r="Z1004" s="76">
        <f t="shared" si="188"/>
        <v>237332</v>
      </c>
      <c r="AA1004" s="53">
        <v>118666</v>
      </c>
      <c r="AO1004" s="53">
        <f t="shared" si="186"/>
        <v>604450</v>
      </c>
      <c r="AP1004" s="53">
        <f t="shared" si="186"/>
        <v>1204316.4000000001</v>
      </c>
      <c r="AQ1004" s="53">
        <f t="shared" si="186"/>
        <v>98897999.999999985</v>
      </c>
      <c r="AR1004" s="53">
        <f t="shared" si="186"/>
        <v>0</v>
      </c>
      <c r="AS1004" s="53">
        <f t="shared" si="186"/>
        <v>967120</v>
      </c>
      <c r="AT1004" s="53">
        <f t="shared" si="186"/>
        <v>13297900</v>
      </c>
      <c r="AU1004" s="53">
        <f t="shared" si="186"/>
        <v>0</v>
      </c>
      <c r="AV1004" s="53">
        <f t="shared" si="186"/>
        <v>0</v>
      </c>
      <c r="AW1004" s="53">
        <f t="shared" si="186"/>
        <v>0</v>
      </c>
      <c r="AX1004" s="53">
        <f t="shared" si="173"/>
        <v>0</v>
      </c>
      <c r="AY1004" s="41" t="s">
        <v>557</v>
      </c>
    </row>
    <row r="1005" spans="1:51" x14ac:dyDescent="0.2">
      <c r="A1005" s="41" t="s">
        <v>273</v>
      </c>
      <c r="B1005" s="41" t="s">
        <v>589</v>
      </c>
      <c r="C1005" s="41" t="s">
        <v>91</v>
      </c>
      <c r="D1005" s="41" t="s">
        <v>88</v>
      </c>
      <c r="E1005" s="41">
        <v>0</v>
      </c>
      <c r="F1005" s="41" t="s">
        <v>629</v>
      </c>
      <c r="G1005" s="53">
        <v>1167300</v>
      </c>
      <c r="H1005" s="41">
        <v>4.8</v>
      </c>
      <c r="I1005" s="111">
        <v>0.5</v>
      </c>
      <c r="J1005" s="91">
        <v>32</v>
      </c>
      <c r="L1005" s="58">
        <v>0.5</v>
      </c>
      <c r="M1005" s="41">
        <v>12.1</v>
      </c>
      <c r="R1005" s="76">
        <f t="shared" si="187"/>
        <v>46000</v>
      </c>
      <c r="S1005" s="53">
        <v>11500</v>
      </c>
      <c r="T1005" s="53">
        <v>583.65</v>
      </c>
      <c r="U1005" s="53">
        <v>37353.599999999999</v>
      </c>
      <c r="X1005" s="76">
        <f t="shared" si="188"/>
        <v>0</v>
      </c>
      <c r="Y1005" s="53"/>
      <c r="Z1005" s="76">
        <f t="shared" si="188"/>
        <v>194344.92</v>
      </c>
      <c r="AA1005" s="53">
        <v>97172.46</v>
      </c>
      <c r="AO1005" s="53">
        <f t="shared" si="186"/>
        <v>5603040</v>
      </c>
      <c r="AP1005" s="53">
        <f t="shared" si="186"/>
        <v>583650</v>
      </c>
      <c r="AQ1005" s="53">
        <f t="shared" si="186"/>
        <v>37353600</v>
      </c>
      <c r="AR1005" s="53">
        <f t="shared" si="186"/>
        <v>0</v>
      </c>
      <c r="AS1005" s="53">
        <f t="shared" si="186"/>
        <v>583650</v>
      </c>
      <c r="AT1005" s="53">
        <f t="shared" si="186"/>
        <v>14124330</v>
      </c>
      <c r="AU1005" s="53">
        <f t="shared" si="186"/>
        <v>0</v>
      </c>
      <c r="AV1005" s="53">
        <f t="shared" si="186"/>
        <v>0</v>
      </c>
      <c r="AW1005" s="53">
        <f t="shared" si="186"/>
        <v>0</v>
      </c>
      <c r="AX1005" s="53">
        <f t="shared" si="173"/>
        <v>0</v>
      </c>
      <c r="AY1005" s="41" t="s">
        <v>557</v>
      </c>
    </row>
    <row r="1006" spans="1:51" x14ac:dyDescent="0.2">
      <c r="A1006" s="41" t="s">
        <v>273</v>
      </c>
      <c r="B1006" s="41">
        <v>2002</v>
      </c>
      <c r="C1006" s="41" t="s">
        <v>91</v>
      </c>
      <c r="D1006" s="41" t="s">
        <v>88</v>
      </c>
      <c r="E1006" s="41">
        <v>0</v>
      </c>
      <c r="F1006" s="41" t="s">
        <v>629</v>
      </c>
      <c r="G1006" s="53">
        <v>1293368</v>
      </c>
      <c r="H1006" s="41">
        <v>4.7</v>
      </c>
      <c r="I1006" s="56">
        <v>0.6540443245851143</v>
      </c>
      <c r="J1006" s="110">
        <v>54.001939123281232</v>
      </c>
      <c r="L1006" s="58">
        <v>0.5</v>
      </c>
      <c r="M1006" s="41">
        <v>13.9</v>
      </c>
      <c r="R1006" s="76">
        <f t="shared" si="187"/>
        <v>108880.35714285714</v>
      </c>
      <c r="S1006" s="53">
        <v>27220.089285714286</v>
      </c>
      <c r="T1006" s="53">
        <v>422.96000000000004</v>
      </c>
      <c r="U1006" s="53">
        <v>34922.19</v>
      </c>
      <c r="X1006" s="76">
        <f t="shared" si="188"/>
        <v>0</v>
      </c>
      <c r="Y1006" s="53"/>
      <c r="Z1006" s="76">
        <f t="shared" si="188"/>
        <v>102505.35714285714</v>
      </c>
      <c r="AA1006" s="53">
        <v>51252.678571428572</v>
      </c>
      <c r="AO1006" s="53">
        <f t="shared" si="186"/>
        <v>6078829.6000000006</v>
      </c>
      <c r="AP1006" s="53">
        <f t="shared" si="186"/>
        <v>845920.00000000012</v>
      </c>
      <c r="AQ1006" s="53">
        <f t="shared" si="186"/>
        <v>69844380</v>
      </c>
      <c r="AR1006" s="53">
        <f t="shared" si="186"/>
        <v>0</v>
      </c>
      <c r="AS1006" s="53">
        <f t="shared" si="186"/>
        <v>646684</v>
      </c>
      <c r="AT1006" s="53">
        <f t="shared" si="186"/>
        <v>17977815.199999999</v>
      </c>
      <c r="AU1006" s="53">
        <f t="shared" si="186"/>
        <v>0</v>
      </c>
      <c r="AV1006" s="53">
        <f t="shared" si="186"/>
        <v>0</v>
      </c>
      <c r="AW1006" s="53">
        <f t="shared" si="186"/>
        <v>0</v>
      </c>
      <c r="AX1006" s="53">
        <f t="shared" si="173"/>
        <v>0</v>
      </c>
      <c r="AY1006" s="41" t="s">
        <v>557</v>
      </c>
    </row>
    <row r="1007" spans="1:51" x14ac:dyDescent="0.2">
      <c r="A1007" s="41" t="s">
        <v>273</v>
      </c>
      <c r="B1007" s="41">
        <v>2003</v>
      </c>
      <c r="C1007" s="41" t="s">
        <v>91</v>
      </c>
      <c r="D1007" s="41" t="s">
        <v>88</v>
      </c>
      <c r="E1007" s="41">
        <v>0</v>
      </c>
      <c r="F1007" s="41" t="s">
        <v>629</v>
      </c>
      <c r="G1007" s="53">
        <v>1429000.952</v>
      </c>
      <c r="H1007" s="46">
        <v>4.5592804685094901</v>
      </c>
      <c r="I1007" s="56">
        <v>0.58326063312517651</v>
      </c>
      <c r="J1007" s="110">
        <v>64.228312704441066</v>
      </c>
      <c r="L1007" s="58">
        <v>0.5</v>
      </c>
      <c r="M1007" s="46">
        <v>12.398085160535199</v>
      </c>
      <c r="R1007" s="76">
        <f t="shared" si="187"/>
        <v>103212.5</v>
      </c>
      <c r="S1007" s="53">
        <v>25803.125</v>
      </c>
      <c r="T1007" s="53">
        <v>416.74</v>
      </c>
      <c r="U1007" s="53">
        <v>45891.159999999996</v>
      </c>
      <c r="X1007" s="76">
        <f t="shared" si="188"/>
        <v>0</v>
      </c>
      <c r="Y1007" s="53"/>
      <c r="Z1007" s="76">
        <f t="shared" si="188"/>
        <v>107522.32142857143</v>
      </c>
      <c r="AA1007" s="53">
        <v>53761.160714285717</v>
      </c>
      <c r="AO1007" s="53">
        <f t="shared" si="186"/>
        <v>6515216.1299350671</v>
      </c>
      <c r="AP1007" s="53">
        <f t="shared" si="186"/>
        <v>833480</v>
      </c>
      <c r="AQ1007" s="53">
        <f t="shared" si="186"/>
        <v>91782319.999999985</v>
      </c>
      <c r="AR1007" s="53">
        <f t="shared" si="186"/>
        <v>0</v>
      </c>
      <c r="AS1007" s="53">
        <f t="shared" si="186"/>
        <v>714500.47600000002</v>
      </c>
      <c r="AT1007" s="53">
        <f t="shared" si="186"/>
        <v>17716875.497381873</v>
      </c>
      <c r="AU1007" s="53">
        <f t="shared" si="186"/>
        <v>0</v>
      </c>
      <c r="AV1007" s="53">
        <f t="shared" si="186"/>
        <v>0</v>
      </c>
      <c r="AW1007" s="53">
        <f t="shared" si="186"/>
        <v>0</v>
      </c>
      <c r="AX1007" s="53">
        <f t="shared" si="173"/>
        <v>0</v>
      </c>
      <c r="AY1007" s="41" t="s">
        <v>557</v>
      </c>
    </row>
    <row r="1008" spans="1:51" x14ac:dyDescent="0.2">
      <c r="A1008" s="41" t="s">
        <v>273</v>
      </c>
      <c r="B1008" s="41">
        <v>2004</v>
      </c>
      <c r="C1008" s="41" t="s">
        <v>91</v>
      </c>
      <c r="D1008" s="41" t="s">
        <v>88</v>
      </c>
      <c r="E1008" s="41">
        <v>0</v>
      </c>
      <c r="F1008" s="41" t="s">
        <v>629</v>
      </c>
      <c r="G1008" s="53">
        <v>1387856</v>
      </c>
      <c r="H1008" s="46">
        <v>3.1189330348559299</v>
      </c>
      <c r="I1008" s="56">
        <v>0.86497446420954338</v>
      </c>
      <c r="J1008" s="110">
        <v>49.003268350606987</v>
      </c>
      <c r="L1008" s="58">
        <v>0.5</v>
      </c>
      <c r="M1008" s="46">
        <v>10.449321054521</v>
      </c>
      <c r="R1008" s="76">
        <f t="shared" si="187"/>
        <v>73803.174603174601</v>
      </c>
      <c r="S1008" s="53">
        <v>18450.79365079365</v>
      </c>
      <c r="T1008" s="53">
        <v>600.23</v>
      </c>
      <c r="U1008" s="53">
        <v>34004.740000000005</v>
      </c>
      <c r="X1008" s="76">
        <f t="shared" si="188"/>
        <v>0</v>
      </c>
      <c r="Y1008" s="53"/>
      <c r="Z1008" s="76">
        <f t="shared" si="188"/>
        <v>92441.723356009068</v>
      </c>
      <c r="AA1008" s="53">
        <v>46220.861678004534</v>
      </c>
      <c r="AO1008" s="53">
        <f t="shared" si="186"/>
        <v>4328629.9260230111</v>
      </c>
      <c r="AP1008" s="53">
        <f t="shared" si="186"/>
        <v>1200460</v>
      </c>
      <c r="AQ1008" s="53">
        <f t="shared" si="186"/>
        <v>68009480.000000015</v>
      </c>
      <c r="AR1008" s="53">
        <f t="shared" si="186"/>
        <v>0</v>
      </c>
      <c r="AS1008" s="53">
        <f t="shared" si="186"/>
        <v>693928</v>
      </c>
      <c r="AT1008" s="53">
        <f t="shared" si="186"/>
        <v>14502152.921443298</v>
      </c>
      <c r="AU1008" s="53">
        <f t="shared" si="186"/>
        <v>0</v>
      </c>
      <c r="AV1008" s="53">
        <f t="shared" si="186"/>
        <v>0</v>
      </c>
      <c r="AW1008" s="53">
        <f t="shared" si="186"/>
        <v>0</v>
      </c>
      <c r="AX1008" s="53">
        <f t="shared" si="173"/>
        <v>0</v>
      </c>
      <c r="AY1008" s="41" t="s">
        <v>557</v>
      </c>
    </row>
    <row r="1009" spans="1:51" x14ac:dyDescent="0.2">
      <c r="A1009" s="41" t="s">
        <v>273</v>
      </c>
      <c r="B1009" s="41">
        <v>2005</v>
      </c>
      <c r="C1009" s="41" t="s">
        <v>91</v>
      </c>
      <c r="D1009" s="41" t="s">
        <v>88</v>
      </c>
      <c r="E1009" s="41">
        <v>0</v>
      </c>
      <c r="F1009" s="41" t="s">
        <v>629</v>
      </c>
      <c r="G1009" s="53">
        <v>1281277</v>
      </c>
      <c r="H1009" s="46">
        <v>1.877879256398109</v>
      </c>
      <c r="I1009" s="56">
        <v>1.3414042396765102</v>
      </c>
      <c r="J1009" s="110">
        <v>105.1464897910444</v>
      </c>
      <c r="L1009" s="56">
        <v>0.66527378544998472</v>
      </c>
      <c r="M1009" s="46">
        <v>5.8924592964675089</v>
      </c>
      <c r="R1009" s="76">
        <f t="shared" si="187"/>
        <v>92268</v>
      </c>
      <c r="S1009" s="53">
        <v>23067</v>
      </c>
      <c r="T1009" s="53">
        <v>859.35520000000008</v>
      </c>
      <c r="U1009" s="53">
        <v>67360.889500000005</v>
      </c>
      <c r="X1009" s="76">
        <f t="shared" si="188"/>
        <v>12786</v>
      </c>
      <c r="Y1009" s="53">
        <v>6393</v>
      </c>
      <c r="Z1009" s="76">
        <f t="shared" si="188"/>
        <v>145522</v>
      </c>
      <c r="AA1009" s="53">
        <v>72761</v>
      </c>
      <c r="AO1009" s="53">
        <f t="shared" si="186"/>
        <v>2406083.5</v>
      </c>
      <c r="AP1009" s="53">
        <f t="shared" si="186"/>
        <v>1718710.4</v>
      </c>
      <c r="AQ1009" s="53">
        <f t="shared" si="186"/>
        <v>134721779</v>
      </c>
      <c r="AR1009" s="53">
        <f t="shared" si="186"/>
        <v>0</v>
      </c>
      <c r="AS1009" s="53">
        <f t="shared" si="186"/>
        <v>852400.00000000012</v>
      </c>
      <c r="AT1009" s="53">
        <f t="shared" si="186"/>
        <v>7549872.5700000003</v>
      </c>
      <c r="AU1009" s="53">
        <f t="shared" si="186"/>
        <v>0</v>
      </c>
      <c r="AV1009" s="53">
        <f t="shared" si="186"/>
        <v>0</v>
      </c>
      <c r="AW1009" s="53">
        <f t="shared" si="186"/>
        <v>0</v>
      </c>
      <c r="AX1009" s="53">
        <f t="shared" si="173"/>
        <v>0</v>
      </c>
      <c r="AY1009" s="41" t="s">
        <v>557</v>
      </c>
    </row>
    <row r="1010" spans="1:51" x14ac:dyDescent="0.2">
      <c r="A1010" s="41" t="s">
        <v>273</v>
      </c>
      <c r="B1010" s="41">
        <v>2006</v>
      </c>
      <c r="C1010" s="41" t="s">
        <v>91</v>
      </c>
      <c r="D1010" s="41" t="s">
        <v>88</v>
      </c>
      <c r="E1010" s="41">
        <v>0</v>
      </c>
      <c r="F1010" s="41" t="s">
        <v>629</v>
      </c>
      <c r="G1010" s="53">
        <v>1366540</v>
      </c>
      <c r="H1010" s="46">
        <v>1.0349495075153305</v>
      </c>
      <c r="I1010" s="56">
        <v>2.1247817114756975</v>
      </c>
      <c r="J1010" s="110">
        <v>104.2006381079222</v>
      </c>
      <c r="L1010" s="56">
        <v>1.1351354515784389</v>
      </c>
      <c r="M1010" s="46">
        <v>11.092887804235515</v>
      </c>
      <c r="R1010" s="76">
        <f t="shared" si="187"/>
        <v>52567.055999999997</v>
      </c>
      <c r="S1010" s="53">
        <v>13141.763999999999</v>
      </c>
      <c r="T1010" s="53">
        <v>1451.7995999999998</v>
      </c>
      <c r="U1010" s="53">
        <v>71197.17</v>
      </c>
      <c r="X1010" s="76">
        <f t="shared" si="188"/>
        <v>23268.12</v>
      </c>
      <c r="Y1010" s="53">
        <v>11634.06</v>
      </c>
      <c r="Z1010" s="76">
        <f t="shared" si="188"/>
        <v>277590.63400000002</v>
      </c>
      <c r="AA1010" s="53">
        <v>138795.31700000001</v>
      </c>
      <c r="AO1010" s="53">
        <f t="shared" si="186"/>
        <v>1414299.9</v>
      </c>
      <c r="AP1010" s="53">
        <f t="shared" si="186"/>
        <v>2903599.1999999997</v>
      </c>
      <c r="AQ1010" s="53">
        <f t="shared" si="186"/>
        <v>142394340</v>
      </c>
      <c r="AR1010" s="53">
        <f t="shared" si="186"/>
        <v>0</v>
      </c>
      <c r="AS1010" s="53">
        <f t="shared" si="186"/>
        <v>1551207.9999999998</v>
      </c>
      <c r="AT1010" s="53">
        <f t="shared" si="186"/>
        <v>15158874.9</v>
      </c>
      <c r="AU1010" s="53">
        <f t="shared" si="186"/>
        <v>0</v>
      </c>
      <c r="AV1010" s="53">
        <f t="shared" si="186"/>
        <v>0</v>
      </c>
      <c r="AW1010" s="53">
        <f t="shared" si="186"/>
        <v>0</v>
      </c>
      <c r="AX1010" s="53">
        <f t="shared" si="173"/>
        <v>0</v>
      </c>
      <c r="AY1010" s="41" t="s">
        <v>557</v>
      </c>
    </row>
    <row r="1011" spans="1:51" x14ac:dyDescent="0.2">
      <c r="A1011" s="41" t="s">
        <v>273</v>
      </c>
      <c r="B1011" s="41">
        <v>2007</v>
      </c>
      <c r="C1011" s="41" t="s">
        <v>91</v>
      </c>
      <c r="D1011" s="41" t="s">
        <v>88</v>
      </c>
      <c r="E1011" s="41">
        <v>0</v>
      </c>
      <c r="F1011" s="41" t="s">
        <v>629</v>
      </c>
      <c r="G1011" s="53">
        <v>1453019</v>
      </c>
      <c r="H1011" s="46">
        <v>1.1891214085982358</v>
      </c>
      <c r="I1011" s="56">
        <v>1.9418801818833755</v>
      </c>
      <c r="J1011" s="110">
        <v>94.226592494661134</v>
      </c>
      <c r="L1011" s="56">
        <v>0.74508592110633109</v>
      </c>
      <c r="M1011" s="46">
        <v>9.838075069906175</v>
      </c>
      <c r="R1011" s="76">
        <f t="shared" si="187"/>
        <v>68669.843999999997</v>
      </c>
      <c r="S1011" s="53">
        <v>17167.460999999999</v>
      </c>
      <c r="T1011" s="53">
        <v>1410.7944000000002</v>
      </c>
      <c r="U1011" s="53">
        <v>68456.51460000001</v>
      </c>
      <c r="X1011" s="76">
        <f t="shared" si="188"/>
        <v>16239.36</v>
      </c>
      <c r="Y1011" s="53">
        <v>8119.68</v>
      </c>
      <c r="Z1011" s="76">
        <f t="shared" si="188"/>
        <v>263918.88</v>
      </c>
      <c r="AA1011" s="53">
        <v>131959.44</v>
      </c>
      <c r="AO1011" s="53">
        <f t="shared" si="186"/>
        <v>1727816</v>
      </c>
      <c r="AP1011" s="53">
        <f t="shared" si="186"/>
        <v>2821588.8000000003</v>
      </c>
      <c r="AQ1011" s="53">
        <f t="shared" si="186"/>
        <v>136913029.20000002</v>
      </c>
      <c r="AR1011" s="53">
        <f t="shared" si="186"/>
        <v>0</v>
      </c>
      <c r="AS1011" s="53">
        <f t="shared" si="186"/>
        <v>1082624</v>
      </c>
      <c r="AT1011" s="53">
        <f t="shared" si="186"/>
        <v>14294910</v>
      </c>
      <c r="AU1011" s="53">
        <f t="shared" si="186"/>
        <v>0</v>
      </c>
      <c r="AV1011" s="53">
        <f t="shared" si="186"/>
        <v>0</v>
      </c>
      <c r="AW1011" s="53">
        <f t="shared" si="186"/>
        <v>0</v>
      </c>
      <c r="AX1011" s="53">
        <f t="shared" si="173"/>
        <v>0</v>
      </c>
      <c r="AY1011" s="41" t="s">
        <v>557</v>
      </c>
    </row>
    <row r="1012" spans="1:51" x14ac:dyDescent="0.2">
      <c r="A1012" s="41" t="s">
        <v>273</v>
      </c>
      <c r="B1012" s="41">
        <v>2008</v>
      </c>
      <c r="C1012" s="41" t="s">
        <v>91</v>
      </c>
      <c r="D1012" s="41" t="s">
        <v>88</v>
      </c>
      <c r="E1012" s="41">
        <v>0</v>
      </c>
      <c r="F1012" s="41" t="s">
        <v>629</v>
      </c>
      <c r="G1012" s="53">
        <v>1661435</v>
      </c>
      <c r="H1012" s="46">
        <v>1.3377335255366598</v>
      </c>
      <c r="I1012" s="56">
        <v>1.7877911564400655</v>
      </c>
      <c r="J1012" s="110">
        <v>118.22157436192208</v>
      </c>
      <c r="L1012" s="56">
        <v>1.0697579702686733</v>
      </c>
      <c r="M1012" s="46">
        <v>9.2041434663408435</v>
      </c>
      <c r="R1012" s="76">
        <f t="shared" si="187"/>
        <v>73868</v>
      </c>
      <c r="S1012" s="53">
        <v>18467</v>
      </c>
      <c r="T1012" s="53">
        <v>1485.1494000000002</v>
      </c>
      <c r="U1012" s="53">
        <v>98208.7307</v>
      </c>
      <c r="X1012" s="76">
        <f t="shared" si="188"/>
        <v>26660</v>
      </c>
      <c r="Y1012" s="53">
        <v>13330</v>
      </c>
      <c r="Z1012" s="76">
        <f t="shared" si="188"/>
        <v>279800</v>
      </c>
      <c r="AA1012" s="53">
        <v>139900</v>
      </c>
      <c r="AO1012" s="53">
        <f t="shared" si="186"/>
        <v>2222557.3000000003</v>
      </c>
      <c r="AP1012" s="53">
        <f t="shared" si="186"/>
        <v>2970298.8000000003</v>
      </c>
      <c r="AQ1012" s="53">
        <f t="shared" si="186"/>
        <v>196417461.40000001</v>
      </c>
      <c r="AR1012" s="53">
        <f t="shared" si="186"/>
        <v>0</v>
      </c>
      <c r="AS1012" s="53">
        <f t="shared" si="186"/>
        <v>1777333.3333333333</v>
      </c>
      <c r="AT1012" s="53">
        <f t="shared" si="186"/>
        <v>15292086.1</v>
      </c>
      <c r="AU1012" s="53">
        <f t="shared" si="186"/>
        <v>0</v>
      </c>
      <c r="AV1012" s="53">
        <f t="shared" si="186"/>
        <v>0</v>
      </c>
      <c r="AW1012" s="53">
        <f t="shared" si="186"/>
        <v>0</v>
      </c>
      <c r="AX1012" s="53">
        <f t="shared" si="173"/>
        <v>0</v>
      </c>
      <c r="AY1012" s="41" t="s">
        <v>557</v>
      </c>
    </row>
    <row r="1013" spans="1:51" x14ac:dyDescent="0.2">
      <c r="A1013" s="41" t="s">
        <v>273</v>
      </c>
      <c r="B1013" s="41">
        <v>2009</v>
      </c>
      <c r="C1013" s="41" t="s">
        <v>91</v>
      </c>
      <c r="D1013" s="41" t="s">
        <v>88</v>
      </c>
      <c r="E1013" s="41">
        <v>0</v>
      </c>
      <c r="F1013" s="41" t="s">
        <v>629</v>
      </c>
      <c r="G1013" s="53">
        <v>1409972</v>
      </c>
      <c r="H1013" s="46">
        <v>2.4285387653088146</v>
      </c>
      <c r="I1013" s="112">
        <v>1.283507048366918</v>
      </c>
      <c r="J1013" s="113">
        <v>60.928580283863795</v>
      </c>
      <c r="L1013" s="112">
        <v>0.41182850912405827</v>
      </c>
      <c r="M1013" s="112">
        <v>5.1658406266223729</v>
      </c>
      <c r="R1013" s="76">
        <f t="shared" si="187"/>
        <v>123344</v>
      </c>
      <c r="S1013" s="53">
        <v>30836</v>
      </c>
      <c r="T1013" s="53">
        <v>904.85450000000003</v>
      </c>
      <c r="U1013" s="53">
        <v>42953.7961</v>
      </c>
      <c r="X1013" s="76">
        <f t="shared" si="188"/>
        <v>8710</v>
      </c>
      <c r="Y1013" s="53">
        <v>4355</v>
      </c>
      <c r="Z1013" s="76">
        <f t="shared" si="188"/>
        <v>130606</v>
      </c>
      <c r="AA1013" s="53">
        <v>65303</v>
      </c>
      <c r="AO1013" s="53">
        <f t="shared" si="186"/>
        <v>3424171.66</v>
      </c>
      <c r="AP1013" s="53">
        <f t="shared" si="186"/>
        <v>1809709</v>
      </c>
      <c r="AQ1013" s="53">
        <f t="shared" si="186"/>
        <v>85907592.200000003</v>
      </c>
      <c r="AR1013" s="53">
        <f t="shared" si="186"/>
        <v>0</v>
      </c>
      <c r="AS1013" s="53">
        <f t="shared" si="186"/>
        <v>580666.66666666674</v>
      </c>
      <c r="AT1013" s="53">
        <f t="shared" si="186"/>
        <v>7283690.6400000006</v>
      </c>
      <c r="AU1013" s="53">
        <f t="shared" si="186"/>
        <v>0</v>
      </c>
      <c r="AV1013" s="53">
        <f t="shared" si="186"/>
        <v>0</v>
      </c>
      <c r="AW1013" s="53">
        <f t="shared" si="186"/>
        <v>0</v>
      </c>
      <c r="AX1013" s="53">
        <f t="shared" si="173"/>
        <v>0</v>
      </c>
      <c r="AY1013" s="41" t="s">
        <v>557</v>
      </c>
    </row>
    <row r="1014" spans="1:51" x14ac:dyDescent="0.2">
      <c r="A1014" s="41" t="s">
        <v>273</v>
      </c>
      <c r="B1014" s="41">
        <v>2010</v>
      </c>
      <c r="C1014" s="41" t="s">
        <v>91</v>
      </c>
      <c r="D1014" s="41" t="s">
        <v>88</v>
      </c>
      <c r="E1014" s="41">
        <v>0</v>
      </c>
      <c r="F1014" s="41" t="s">
        <v>629</v>
      </c>
      <c r="G1014" s="53">
        <v>1597026</v>
      </c>
      <c r="H1014" s="46">
        <v>2.3653143280071833</v>
      </c>
      <c r="I1014" s="56">
        <v>1.4139851198415054</v>
      </c>
      <c r="J1014" s="110">
        <v>74.098935020469298</v>
      </c>
      <c r="L1014" s="56">
        <v>0.64670205744928388</v>
      </c>
      <c r="M1014" s="88">
        <v>5.1119392671127457</v>
      </c>
      <c r="R1014" s="76">
        <f t="shared" si="187"/>
        <v>137164.296</v>
      </c>
      <c r="S1014" s="53">
        <v>34291.074000000001</v>
      </c>
      <c r="T1014" s="53">
        <v>1129.0854999999999</v>
      </c>
      <c r="U1014" s="53">
        <v>59168.962900000006</v>
      </c>
      <c r="X1014" s="76">
        <f t="shared" si="188"/>
        <v>15492</v>
      </c>
      <c r="Y1014" s="53">
        <v>7746</v>
      </c>
      <c r="Z1014" s="76">
        <f t="shared" si="188"/>
        <v>146526</v>
      </c>
      <c r="AA1014" s="53">
        <v>73263</v>
      </c>
      <c r="AO1014" s="53">
        <f t="shared" si="186"/>
        <v>3777468.48</v>
      </c>
      <c r="AP1014" s="53">
        <f t="shared" si="186"/>
        <v>2258171</v>
      </c>
      <c r="AQ1014" s="53">
        <f t="shared" si="186"/>
        <v>118337925.8</v>
      </c>
      <c r="AR1014" s="53">
        <f t="shared" si="186"/>
        <v>0</v>
      </c>
      <c r="AS1014" s="53">
        <f t="shared" si="186"/>
        <v>1032800</v>
      </c>
      <c r="AT1014" s="53">
        <f t="shared" si="186"/>
        <v>8163899.9199999999</v>
      </c>
      <c r="AU1014" s="53">
        <f t="shared" si="186"/>
        <v>0</v>
      </c>
      <c r="AV1014" s="53">
        <f t="shared" si="186"/>
        <v>0</v>
      </c>
      <c r="AW1014" s="53">
        <f t="shared" si="186"/>
        <v>0</v>
      </c>
      <c r="AX1014" s="53">
        <f t="shared" si="173"/>
        <v>0</v>
      </c>
      <c r="AY1014" s="41" t="s">
        <v>557</v>
      </c>
    </row>
    <row r="1015" spans="1:51" x14ac:dyDescent="0.2">
      <c r="A1015" s="41" t="s">
        <v>273</v>
      </c>
      <c r="B1015" s="41">
        <v>2011</v>
      </c>
      <c r="C1015" s="41" t="s">
        <v>91</v>
      </c>
      <c r="D1015" s="41" t="s">
        <v>88</v>
      </c>
      <c r="E1015" s="41">
        <v>0</v>
      </c>
      <c r="F1015" s="41" t="s">
        <v>629</v>
      </c>
      <c r="G1015" s="53">
        <v>1566511</v>
      </c>
      <c r="H1015" s="46">
        <v>1.5458737155372673</v>
      </c>
      <c r="I1015" s="56">
        <v>0.69223567533199581</v>
      </c>
      <c r="J1015" s="110">
        <v>39.947843200590363</v>
      </c>
      <c r="L1015" s="56">
        <v>0.28768815965331024</v>
      </c>
      <c r="M1015" s="88">
        <v>5.0069858494450408</v>
      </c>
      <c r="R1015" s="76">
        <f t="shared" si="187"/>
        <v>93176.97159999999</v>
      </c>
      <c r="S1015" s="53">
        <v>23294.242899999997</v>
      </c>
      <c r="T1015" s="53">
        <v>542.19740000000002</v>
      </c>
      <c r="U1015" s="53">
        <v>31289.367900000001</v>
      </c>
      <c r="X1015" s="76">
        <f t="shared" si="188"/>
        <v>6760</v>
      </c>
      <c r="Y1015" s="53">
        <v>3380</v>
      </c>
      <c r="Z1015" s="76">
        <f t="shared" si="188"/>
        <v>141380.35340000002</v>
      </c>
      <c r="AA1015" s="53">
        <v>70690.176700000011</v>
      </c>
      <c r="AO1015" s="53">
        <f t="shared" si="186"/>
        <v>2421628.1800000002</v>
      </c>
      <c r="AP1015" s="53">
        <f t="shared" si="186"/>
        <v>1084394.8</v>
      </c>
      <c r="AQ1015" s="53">
        <f t="shared" si="186"/>
        <v>62578735.800000012</v>
      </c>
      <c r="AR1015" s="53">
        <f t="shared" si="186"/>
        <v>0</v>
      </c>
      <c r="AS1015" s="53">
        <f t="shared" si="186"/>
        <v>450666.66666666669</v>
      </c>
      <c r="AT1015" s="53">
        <f t="shared" si="186"/>
        <v>7843498.4100000001</v>
      </c>
      <c r="AU1015" s="53">
        <f t="shared" si="186"/>
        <v>0</v>
      </c>
      <c r="AV1015" s="53">
        <f t="shared" si="186"/>
        <v>0</v>
      </c>
      <c r="AW1015" s="53">
        <f t="shared" si="186"/>
        <v>0</v>
      </c>
      <c r="AX1015" s="53">
        <f t="shared" si="173"/>
        <v>0</v>
      </c>
      <c r="AY1015" s="41" t="s">
        <v>557</v>
      </c>
    </row>
    <row r="1016" spans="1:51" x14ac:dyDescent="0.2">
      <c r="A1016" s="41" t="s">
        <v>273</v>
      </c>
      <c r="B1016" s="41">
        <v>2012</v>
      </c>
      <c r="C1016" s="41" t="s">
        <v>91</v>
      </c>
      <c r="D1016" s="41" t="s">
        <v>88</v>
      </c>
      <c r="E1016" s="41">
        <v>0</v>
      </c>
      <c r="F1016" s="41" t="s">
        <v>629</v>
      </c>
      <c r="G1016" s="53">
        <v>1668080</v>
      </c>
      <c r="H1016" s="46">
        <v>1.9507217279746774</v>
      </c>
      <c r="I1016" s="56">
        <v>0.54034650616277391</v>
      </c>
      <c r="J1016" s="110">
        <v>29.82369310824421</v>
      </c>
      <c r="L1016" s="56">
        <v>0.42685962303966235</v>
      </c>
      <c r="M1016" s="88">
        <v>2.4824947844228098</v>
      </c>
      <c r="R1016" s="76">
        <f t="shared" si="187"/>
        <v>118366.164</v>
      </c>
      <c r="S1016" s="53">
        <v>29591.541000000001</v>
      </c>
      <c r="T1016" s="53">
        <v>450.67059999999998</v>
      </c>
      <c r="U1016" s="53">
        <v>24874.152999999998</v>
      </c>
      <c r="X1016" s="76">
        <f t="shared" si="188"/>
        <v>10680.54</v>
      </c>
      <c r="Y1016" s="53">
        <v>5340.27</v>
      </c>
      <c r="Z1016" s="76">
        <f t="shared" si="188"/>
        <v>74838</v>
      </c>
      <c r="AA1016" s="53">
        <v>37419</v>
      </c>
      <c r="AO1016" s="53">
        <f t="shared" si="186"/>
        <v>3253959.9</v>
      </c>
      <c r="AP1016" s="53">
        <f t="shared" si="186"/>
        <v>901341.2</v>
      </c>
      <c r="AQ1016" s="53">
        <f t="shared" si="186"/>
        <v>49748306</v>
      </c>
      <c r="AR1016" s="53">
        <f t="shared" si="186"/>
        <v>0</v>
      </c>
      <c r="AS1016" s="53">
        <f t="shared" si="186"/>
        <v>712036</v>
      </c>
      <c r="AT1016" s="53">
        <f t="shared" si="186"/>
        <v>4140999.9000000004</v>
      </c>
      <c r="AU1016" s="53">
        <f t="shared" si="186"/>
        <v>0</v>
      </c>
      <c r="AV1016" s="53">
        <f t="shared" si="186"/>
        <v>0</v>
      </c>
      <c r="AW1016" s="53">
        <f t="shared" si="186"/>
        <v>0</v>
      </c>
      <c r="AX1016" s="53">
        <f t="shared" si="173"/>
        <v>0</v>
      </c>
      <c r="AY1016" s="41" t="s">
        <v>557</v>
      </c>
    </row>
    <row r="1017" spans="1:51" x14ac:dyDescent="0.2">
      <c r="A1017" s="41" t="s">
        <v>273</v>
      </c>
      <c r="B1017" s="41">
        <v>2013</v>
      </c>
      <c r="C1017" s="41" t="s">
        <v>91</v>
      </c>
      <c r="D1017" s="41" t="s">
        <v>88</v>
      </c>
      <c r="E1017" s="41">
        <v>0</v>
      </c>
      <c r="F1017" s="41" t="s">
        <v>629</v>
      </c>
      <c r="G1017" s="53">
        <v>1766157</v>
      </c>
      <c r="H1017" s="46">
        <v>2.4620354815568488</v>
      </c>
      <c r="I1017" s="56">
        <v>0.7745078155566012</v>
      </c>
      <c r="J1017" s="110">
        <v>38.499962234387993</v>
      </c>
      <c r="L1017" s="56">
        <v>0.31314694371262958</v>
      </c>
      <c r="M1017" s="88">
        <v>1.4846298488752701</v>
      </c>
      <c r="R1017" s="76">
        <f t="shared" si="187"/>
        <v>135120</v>
      </c>
      <c r="S1017" s="53">
        <v>33780</v>
      </c>
      <c r="T1017" s="53">
        <v>683.95120000000009</v>
      </c>
      <c r="U1017" s="53">
        <v>33998.488899999997</v>
      </c>
      <c r="X1017" s="76">
        <f t="shared" si="188"/>
        <v>8296</v>
      </c>
      <c r="Y1017" s="53">
        <v>4148</v>
      </c>
      <c r="Z1017" s="76">
        <f t="shared" si="188"/>
        <v>47238</v>
      </c>
      <c r="AA1017" s="53">
        <v>23619</v>
      </c>
      <c r="AO1017" s="53">
        <f t="shared" si="186"/>
        <v>4348341.1999999993</v>
      </c>
      <c r="AP1017" s="53">
        <f t="shared" si="186"/>
        <v>1367902.4000000001</v>
      </c>
      <c r="AQ1017" s="53">
        <f t="shared" si="186"/>
        <v>67996977.799999997</v>
      </c>
      <c r="AR1017" s="53">
        <f t="shared" si="186"/>
        <v>0</v>
      </c>
      <c r="AS1017" s="53">
        <f t="shared" si="186"/>
        <v>553066.66666666674</v>
      </c>
      <c r="AT1017" s="53">
        <f t="shared" si="186"/>
        <v>2622089.4000000004</v>
      </c>
      <c r="AU1017" s="53">
        <f t="shared" si="186"/>
        <v>0</v>
      </c>
      <c r="AV1017" s="53">
        <f t="shared" si="186"/>
        <v>0</v>
      </c>
      <c r="AW1017" s="53">
        <f t="shared" si="186"/>
        <v>0</v>
      </c>
      <c r="AX1017" s="53">
        <f t="shared" si="173"/>
        <v>0</v>
      </c>
      <c r="AY1017" s="41" t="s">
        <v>557</v>
      </c>
    </row>
    <row r="1018" spans="1:51" x14ac:dyDescent="0.2">
      <c r="A1018" s="41" t="s">
        <v>273</v>
      </c>
      <c r="B1018" s="41">
        <v>2014</v>
      </c>
      <c r="C1018" s="41" t="s">
        <v>91</v>
      </c>
      <c r="D1018" s="41" t="s">
        <v>88</v>
      </c>
      <c r="E1018" s="41">
        <v>0</v>
      </c>
      <c r="F1018" s="41" t="s">
        <v>629</v>
      </c>
      <c r="G1018" s="53">
        <v>1739112</v>
      </c>
      <c r="H1018" s="46">
        <v>2.3695690674321148</v>
      </c>
      <c r="I1018" s="56">
        <v>0.89170243204577981</v>
      </c>
      <c r="J1018" s="110">
        <v>38.060443490700997</v>
      </c>
      <c r="L1018" s="56">
        <v>0.30576217441238213</v>
      </c>
      <c r="M1018" s="46">
        <v>2.5227137182654138</v>
      </c>
      <c r="R1018" s="76">
        <f t="shared" si="187"/>
        <v>126611.04</v>
      </c>
      <c r="S1018" s="53">
        <v>31652.76</v>
      </c>
      <c r="T1018" s="53">
        <v>775.38520000000005</v>
      </c>
      <c r="U1018" s="53">
        <v>33095.686999999998</v>
      </c>
      <c r="X1018" s="76">
        <f t="shared" si="188"/>
        <v>7976.32</v>
      </c>
      <c r="Y1018" s="53">
        <v>3988.16</v>
      </c>
      <c r="Z1018" s="76">
        <f t="shared" si="188"/>
        <v>75792</v>
      </c>
      <c r="AA1018" s="53">
        <v>37896</v>
      </c>
      <c r="AO1018" s="53">
        <f t="shared" si="186"/>
        <v>4120946</v>
      </c>
      <c r="AP1018" s="53">
        <f t="shared" si="186"/>
        <v>1550770.4000000001</v>
      </c>
      <c r="AQ1018" s="53">
        <f t="shared" si="186"/>
        <v>66191373.999999993</v>
      </c>
      <c r="AR1018" s="53">
        <f t="shared" si="186"/>
        <v>0</v>
      </c>
      <c r="AS1018" s="53">
        <f t="shared" si="186"/>
        <v>531754.66666666674</v>
      </c>
      <c r="AT1018" s="53">
        <f t="shared" si="186"/>
        <v>4387281.7</v>
      </c>
      <c r="AU1018" s="53">
        <f t="shared" si="186"/>
        <v>0</v>
      </c>
      <c r="AV1018" s="53">
        <f t="shared" si="186"/>
        <v>0</v>
      </c>
      <c r="AW1018" s="53">
        <f t="shared" si="186"/>
        <v>0</v>
      </c>
      <c r="AX1018" s="53">
        <f t="shared" si="173"/>
        <v>0</v>
      </c>
      <c r="AY1018" s="41" t="s">
        <v>557</v>
      </c>
    </row>
    <row r="1019" spans="1:51" x14ac:dyDescent="0.2">
      <c r="A1019" s="41" t="s">
        <v>273</v>
      </c>
      <c r="B1019" s="41">
        <v>2015</v>
      </c>
      <c r="C1019" s="41" t="s">
        <v>91</v>
      </c>
      <c r="D1019" s="41" t="s">
        <v>88</v>
      </c>
      <c r="E1019" s="41">
        <v>0</v>
      </c>
      <c r="F1019" s="41" t="s">
        <v>629</v>
      </c>
      <c r="G1019" s="53">
        <v>1807865</v>
      </c>
      <c r="H1019" s="46">
        <v>1.9401049304013296</v>
      </c>
      <c r="I1019" s="56">
        <v>0.77540081809205885</v>
      </c>
      <c r="J1019" s="110">
        <v>48.781833820556294</v>
      </c>
      <c r="L1019" s="56">
        <v>0.50477072864032069</v>
      </c>
      <c r="M1019" s="46">
        <v>3.4585132186308161</v>
      </c>
      <c r="R1019" s="76">
        <f t="shared" si="187"/>
        <v>111283.56</v>
      </c>
      <c r="S1019" s="53">
        <v>27820.89</v>
      </c>
      <c r="T1019" s="53">
        <v>700.91</v>
      </c>
      <c r="U1019" s="53">
        <v>44095.485000000001</v>
      </c>
      <c r="X1019" s="76">
        <f t="shared" si="188"/>
        <v>13688.36</v>
      </c>
      <c r="Y1019" s="53">
        <v>6844.18</v>
      </c>
      <c r="Z1019" s="76">
        <f t="shared" si="188"/>
        <v>110262</v>
      </c>
      <c r="AA1019" s="53">
        <v>55131</v>
      </c>
      <c r="AO1019" s="53">
        <f t="shared" si="186"/>
        <v>3507447.8</v>
      </c>
      <c r="AP1019" s="53">
        <f t="shared" si="186"/>
        <v>1401820</v>
      </c>
      <c r="AQ1019" s="53">
        <f t="shared" si="186"/>
        <v>88190970</v>
      </c>
      <c r="AR1019" s="53">
        <f t="shared" si="186"/>
        <v>0</v>
      </c>
      <c r="AS1019" s="53">
        <f t="shared" si="186"/>
        <v>912557.33333333337</v>
      </c>
      <c r="AT1019" s="53">
        <f t="shared" si="186"/>
        <v>6252525</v>
      </c>
      <c r="AU1019" s="53">
        <f t="shared" si="186"/>
        <v>0</v>
      </c>
      <c r="AV1019" s="53">
        <f t="shared" si="186"/>
        <v>0</v>
      </c>
      <c r="AW1019" s="53">
        <f t="shared" si="186"/>
        <v>0</v>
      </c>
      <c r="AX1019" s="53">
        <f t="shared" si="173"/>
        <v>0</v>
      </c>
      <c r="AY1019" s="41" t="s">
        <v>557</v>
      </c>
    </row>
    <row r="1020" spans="1:51" x14ac:dyDescent="0.2">
      <c r="A1020" s="41" t="s">
        <v>273</v>
      </c>
      <c r="B1020" s="60" t="s">
        <v>559</v>
      </c>
      <c r="C1020" s="60" t="s">
        <v>91</v>
      </c>
      <c r="D1020" s="60" t="s">
        <v>88</v>
      </c>
      <c r="E1020" s="60">
        <v>0</v>
      </c>
      <c r="F1020" s="60" t="s">
        <v>629</v>
      </c>
      <c r="G1020" s="79">
        <f>SUM(G995:G1019)</f>
        <v>31507236.952</v>
      </c>
      <c r="H1020" s="80">
        <f>AO1020/$G1020</f>
        <v>2.0744015755976744</v>
      </c>
      <c r="I1020" s="80">
        <f>AP1020/$G1020</f>
        <v>0.91664414572432729</v>
      </c>
      <c r="J1020" s="78">
        <f>AQ1020/$G1020</f>
        <v>60.52525365379428</v>
      </c>
      <c r="L1020" s="80">
        <f>AS1020/$G1020</f>
        <v>0.5586092755815617</v>
      </c>
      <c r="M1020" s="80">
        <f>AT1020/$G1020</f>
        <v>8.0849049933163162</v>
      </c>
      <c r="R1020" s="79">
        <f>SUM(R995:R1019)</f>
        <v>1708762.027346032</v>
      </c>
      <c r="S1020" s="79">
        <f>SUM(S995:S1019)</f>
        <v>427190.50683650799</v>
      </c>
      <c r="T1020" s="79">
        <f>SUM(T995:T1019)</f>
        <v>14785.409799999999</v>
      </c>
      <c r="U1020" s="79">
        <f>SUM(U995:U1019)</f>
        <v>974377.62380000006</v>
      </c>
      <c r="X1020" s="79">
        <f>SUM(X995:X1019)</f>
        <v>162902.70000000001</v>
      </c>
      <c r="Y1020" s="79">
        <f>SUM(Y995:Y1019)</f>
        <v>81451.350000000006</v>
      </c>
      <c r="Z1020" s="79">
        <f>SUM(Z995:Z1019)</f>
        <v>3864626.8093274375</v>
      </c>
      <c r="AA1020" s="79">
        <f>SUM(AA995:AA1019)</f>
        <v>1932313.4046637188</v>
      </c>
      <c r="AO1020" s="79">
        <f t="shared" ref="AO1020:AX1020" si="189">SUM(AO995:AO1019)</f>
        <v>65358661.975958064</v>
      </c>
      <c r="AP1020" s="79">
        <f t="shared" si="189"/>
        <v>28880924.299999997</v>
      </c>
      <c r="AQ1020" s="79">
        <f t="shared" si="189"/>
        <v>1906983508.45</v>
      </c>
      <c r="AR1020" s="79">
        <f t="shared" si="189"/>
        <v>0</v>
      </c>
      <c r="AS1020" s="79">
        <f t="shared" si="189"/>
        <v>17600234.809333332</v>
      </c>
      <c r="AT1020" s="79">
        <f t="shared" si="189"/>
        <v>254733017.35882515</v>
      </c>
      <c r="AU1020" s="79">
        <f t="shared" si="189"/>
        <v>0</v>
      </c>
      <c r="AV1020" s="79">
        <f t="shared" si="189"/>
        <v>0</v>
      </c>
      <c r="AW1020" s="79">
        <f t="shared" si="189"/>
        <v>0</v>
      </c>
      <c r="AX1020" s="79">
        <f t="shared" si="189"/>
        <v>0</v>
      </c>
      <c r="AY1020" s="41" t="s">
        <v>557</v>
      </c>
    </row>
    <row r="1021" spans="1:51" x14ac:dyDescent="0.2">
      <c r="A1021" s="41" t="s">
        <v>273</v>
      </c>
      <c r="B1021" s="43" t="s">
        <v>560</v>
      </c>
      <c r="G1021" s="53">
        <f>STDEV(G995:G1019)</f>
        <v>354697.16381912434</v>
      </c>
      <c r="H1021" s="46">
        <f>STDEV(H995:H1019)</f>
        <v>1.2143749472257681</v>
      </c>
      <c r="I1021" s="46">
        <f>STDEV(I995:I1019)</f>
        <v>0.53134892702504233</v>
      </c>
      <c r="J1021" s="47">
        <f>STDEV(J995:J1019)</f>
        <v>26.785074207739072</v>
      </c>
      <c r="L1021" s="46">
        <f>STDEV(L995:L1019)</f>
        <v>0.20289974693447266</v>
      </c>
      <c r="M1021" s="46">
        <f>STDEV(M995:M1019)</f>
        <v>3.9243873992166431</v>
      </c>
      <c r="R1021" s="53">
        <f>STDEV(R995:R1019)</f>
        <v>43941.874149576099</v>
      </c>
      <c r="S1021" s="53">
        <f>STDEV(S995:S1019)</f>
        <v>10985.468537394025</v>
      </c>
      <c r="T1021" s="53">
        <f>STDEV(T995:T1019)</f>
        <v>426.03260057924552</v>
      </c>
      <c r="U1021" s="53">
        <f>STDEV(U995:U1019)</f>
        <v>20563.100749853969</v>
      </c>
      <c r="X1021" s="53">
        <f>STDEV(X995:X1019)</f>
        <v>7978.5659263220132</v>
      </c>
      <c r="Y1021" s="53">
        <f>STDEV(Y995:Y1019)</f>
        <v>3378.6768676900856</v>
      </c>
      <c r="Z1021" s="53">
        <f>STDEV(Z995:Z1019)</f>
        <v>63552.372505301981</v>
      </c>
      <c r="AA1021" s="53">
        <f>STDEV(AA995:AA1019)</f>
        <v>31776.18625265099</v>
      </c>
      <c r="AY1021" s="41" t="s">
        <v>557</v>
      </c>
    </row>
    <row r="1022" spans="1:51" x14ac:dyDescent="0.2">
      <c r="A1022" s="41" t="s">
        <v>273</v>
      </c>
      <c r="B1022" s="81" t="s">
        <v>249</v>
      </c>
      <c r="G1022" s="41">
        <f>COUNT(G995:G1019)</f>
        <v>25</v>
      </c>
      <c r="H1022" s="41">
        <f>COUNT(H995:H1019)</f>
        <v>25</v>
      </c>
      <c r="I1022" s="41">
        <f>COUNT(I995:I1019)</f>
        <v>25</v>
      </c>
      <c r="J1022" s="41">
        <f>COUNT(J995:J1019)</f>
        <v>25</v>
      </c>
      <c r="L1022" s="41">
        <f>COUNT(L995:L1019)</f>
        <v>25</v>
      </c>
      <c r="M1022" s="41">
        <f>COUNT(M995:M1019)</f>
        <v>25</v>
      </c>
      <c r="R1022" s="41">
        <f>COUNT(R995:R1019)</f>
        <v>25</v>
      </c>
      <c r="S1022" s="41">
        <f>COUNT(S995:S1019)</f>
        <v>25</v>
      </c>
      <c r="T1022" s="41">
        <f>COUNT(T995:T1019)</f>
        <v>25</v>
      </c>
      <c r="U1022" s="41">
        <f>COUNT(U995:U1019)</f>
        <v>25</v>
      </c>
      <c r="X1022" s="41">
        <f>COUNT(X995:X1019)</f>
        <v>25</v>
      </c>
      <c r="Y1022" s="41">
        <f>COUNT(Y995:Y1019)</f>
        <v>13</v>
      </c>
      <c r="Z1022" s="41">
        <f>COUNT(Z995:Z1019)</f>
        <v>25</v>
      </c>
      <c r="AA1022" s="41">
        <f>COUNT(AA995:AA1019)</f>
        <v>25</v>
      </c>
      <c r="AY1022" s="41" t="s">
        <v>557</v>
      </c>
    </row>
    <row r="1023" spans="1:51" x14ac:dyDescent="0.2">
      <c r="A1023" s="82"/>
      <c r="B1023" s="82"/>
      <c r="C1023" s="82"/>
      <c r="D1023" s="82"/>
      <c r="E1023" s="82"/>
      <c r="F1023" s="82"/>
      <c r="G1023" s="82"/>
      <c r="H1023" s="82"/>
      <c r="I1023" s="82"/>
      <c r="J1023" s="82"/>
      <c r="K1023" s="82"/>
      <c r="L1023" s="82"/>
      <c r="M1023" s="82"/>
      <c r="N1023" s="82"/>
      <c r="O1023" s="82"/>
      <c r="P1023" s="82"/>
      <c r="Q1023" s="82"/>
      <c r="R1023" s="82"/>
      <c r="S1023" s="82"/>
      <c r="T1023" s="82"/>
      <c r="U1023" s="82"/>
      <c r="V1023" s="82"/>
      <c r="W1023" s="82"/>
      <c r="X1023" s="82"/>
      <c r="Y1023" s="82"/>
      <c r="Z1023" s="82"/>
      <c r="AA1023" s="82"/>
      <c r="AB1023" s="82"/>
      <c r="AC1023" s="82"/>
      <c r="AD1023" s="82"/>
      <c r="AE1023" s="82"/>
      <c r="AF1023" s="82"/>
      <c r="AG1023" s="82"/>
      <c r="AH1023" s="82"/>
      <c r="AI1023" s="82"/>
      <c r="AJ1023" s="82"/>
      <c r="AK1023" s="82"/>
      <c r="AL1023" s="82"/>
      <c r="AM1023" s="82"/>
      <c r="AN1023" s="82"/>
      <c r="AO1023" s="82"/>
      <c r="AP1023" s="82"/>
      <c r="AQ1023" s="82"/>
      <c r="AR1023" s="82"/>
      <c r="AS1023" s="82"/>
      <c r="AT1023" s="82"/>
      <c r="AU1023" s="82"/>
      <c r="AV1023" s="82"/>
      <c r="AW1023" s="82"/>
      <c r="AX1023" s="82"/>
      <c r="AY1023" s="41" t="s">
        <v>557</v>
      </c>
    </row>
    <row r="1024" spans="1:51" x14ac:dyDescent="0.2">
      <c r="A1024" s="86" t="s">
        <v>468</v>
      </c>
      <c r="B1024" s="58" t="s">
        <v>636</v>
      </c>
      <c r="AY1024" s="41" t="s">
        <v>557</v>
      </c>
    </row>
    <row r="1025" spans="1:51" x14ac:dyDescent="0.2">
      <c r="A1025" s="86" t="s">
        <v>468</v>
      </c>
      <c r="B1025" s="41">
        <v>2008</v>
      </c>
      <c r="C1025" s="41" t="s">
        <v>87</v>
      </c>
      <c r="D1025" s="41" t="s">
        <v>401</v>
      </c>
      <c r="E1025" s="41">
        <v>100</v>
      </c>
      <c r="F1025" s="41" t="s">
        <v>390</v>
      </c>
      <c r="G1025" s="53">
        <f>2775000*0.9072</f>
        <v>2517480</v>
      </c>
      <c r="I1025" s="46">
        <f>0.057*31.1/0.9072</f>
        <v>1.9540343915343916</v>
      </c>
      <c r="T1025" s="53">
        <f>120000*31.1/1000</f>
        <v>3732</v>
      </c>
      <c r="AM1025" s="53">
        <f>(9245000-2775000)*0.9072</f>
        <v>5869584</v>
      </c>
      <c r="AO1025" s="53">
        <f t="shared" ref="AO1025:AW1033" si="190">$G1025*H1025</f>
        <v>0</v>
      </c>
      <c r="AP1025" s="53">
        <f t="shared" si="190"/>
        <v>4919242.5</v>
      </c>
      <c r="AQ1025" s="53">
        <f t="shared" si="190"/>
        <v>0</v>
      </c>
      <c r="AR1025" s="53">
        <f t="shared" si="190"/>
        <v>0</v>
      </c>
      <c r="AS1025" s="53">
        <f t="shared" si="190"/>
        <v>0</v>
      </c>
      <c r="AT1025" s="53">
        <f t="shared" si="190"/>
        <v>0</v>
      </c>
      <c r="AU1025" s="53">
        <f t="shared" si="190"/>
        <v>0</v>
      </c>
      <c r="AV1025" s="53">
        <f t="shared" si="190"/>
        <v>0</v>
      </c>
      <c r="AW1025" s="53">
        <f t="shared" si="190"/>
        <v>0</v>
      </c>
      <c r="AX1025" s="53">
        <f t="shared" si="173"/>
        <v>251748000</v>
      </c>
      <c r="AY1025" s="41" t="s">
        <v>557</v>
      </c>
    </row>
    <row r="1026" spans="1:51" x14ac:dyDescent="0.2">
      <c r="A1026" s="86" t="s">
        <v>468</v>
      </c>
      <c r="B1026" s="41">
        <v>2009</v>
      </c>
      <c r="C1026" s="41" t="s">
        <v>87</v>
      </c>
      <c r="D1026" s="41" t="s">
        <v>401</v>
      </c>
      <c r="E1026" s="41">
        <v>100</v>
      </c>
      <c r="F1026" s="41" t="s">
        <v>390</v>
      </c>
      <c r="G1026" s="53">
        <f>699000*0.9072</f>
        <v>634132.80000000005</v>
      </c>
      <c r="I1026" s="46">
        <f>0.05*31.1/0.9072</f>
        <v>1.7140652557319225</v>
      </c>
      <c r="T1026" s="53">
        <f>28000*31.1/1000</f>
        <v>870.8</v>
      </c>
      <c r="AM1026" s="53">
        <f>(26432000-699000)*0.9072</f>
        <v>23344977.600000001</v>
      </c>
      <c r="AO1026" s="53">
        <f t="shared" si="190"/>
        <v>0</v>
      </c>
      <c r="AP1026" s="53">
        <f t="shared" si="190"/>
        <v>1086945.0000000002</v>
      </c>
      <c r="AQ1026" s="53">
        <f t="shared" si="190"/>
        <v>0</v>
      </c>
      <c r="AR1026" s="53">
        <f t="shared" si="190"/>
        <v>0</v>
      </c>
      <c r="AS1026" s="53">
        <f t="shared" si="190"/>
        <v>0</v>
      </c>
      <c r="AT1026" s="53">
        <f t="shared" si="190"/>
        <v>0</v>
      </c>
      <c r="AU1026" s="53">
        <f t="shared" si="190"/>
        <v>0</v>
      </c>
      <c r="AV1026" s="53">
        <f t="shared" si="190"/>
        <v>0</v>
      </c>
      <c r="AW1026" s="53">
        <f t="shared" si="190"/>
        <v>0</v>
      </c>
      <c r="AX1026" s="53">
        <f t="shared" si="173"/>
        <v>63413280.000000007</v>
      </c>
      <c r="AY1026" s="41" t="s">
        <v>557</v>
      </c>
    </row>
    <row r="1027" spans="1:51" x14ac:dyDescent="0.2">
      <c r="A1027" s="86" t="s">
        <v>468</v>
      </c>
      <c r="B1027" s="41">
        <v>2010</v>
      </c>
      <c r="C1027" s="41" t="s">
        <v>87</v>
      </c>
      <c r="D1027" s="41" t="s">
        <v>401</v>
      </c>
      <c r="E1027" s="41">
        <v>100</v>
      </c>
      <c r="F1027" s="41" t="s">
        <v>390</v>
      </c>
      <c r="AM1027" s="53">
        <f>25280000*0.9072</f>
        <v>22934016</v>
      </c>
      <c r="AO1027" s="53">
        <f t="shared" si="190"/>
        <v>0</v>
      </c>
      <c r="AP1027" s="53">
        <f t="shared" si="190"/>
        <v>0</v>
      </c>
      <c r="AQ1027" s="53">
        <f t="shared" si="190"/>
        <v>0</v>
      </c>
      <c r="AR1027" s="53">
        <f t="shared" si="190"/>
        <v>0</v>
      </c>
      <c r="AS1027" s="53">
        <f t="shared" si="190"/>
        <v>0</v>
      </c>
      <c r="AT1027" s="53">
        <f t="shared" si="190"/>
        <v>0</v>
      </c>
      <c r="AU1027" s="53">
        <f t="shared" si="190"/>
        <v>0</v>
      </c>
      <c r="AV1027" s="53">
        <f t="shared" si="190"/>
        <v>0</v>
      </c>
      <c r="AW1027" s="53">
        <f t="shared" si="190"/>
        <v>0</v>
      </c>
      <c r="AX1027" s="53">
        <f t="shared" ref="AX1027:AX1033" si="191">$G1027*E1027</f>
        <v>0</v>
      </c>
      <c r="AY1027" s="41" t="s">
        <v>557</v>
      </c>
    </row>
    <row r="1028" spans="1:51" x14ac:dyDescent="0.2">
      <c r="A1028" s="86" t="s">
        <v>468</v>
      </c>
      <c r="B1028" s="41">
        <v>2011</v>
      </c>
      <c r="C1028" s="41" t="s">
        <v>87</v>
      </c>
      <c r="D1028" s="41" t="s">
        <v>401</v>
      </c>
      <c r="E1028" s="41">
        <v>100</v>
      </c>
      <c r="F1028" s="41" t="s">
        <v>390</v>
      </c>
      <c r="G1028" s="53">
        <f>2317000*0.9072</f>
        <v>2101982.4</v>
      </c>
      <c r="I1028" s="46">
        <f>0.036*31.1/0.9072</f>
        <v>1.234126984126984</v>
      </c>
      <c r="T1028" s="53">
        <f>62000*31.1/1000</f>
        <v>1928.2</v>
      </c>
      <c r="AM1028" s="53">
        <f>(21433000-2317000)*0.9072</f>
        <v>17342035.199999999</v>
      </c>
      <c r="AO1028" s="53">
        <f t="shared" si="190"/>
        <v>0</v>
      </c>
      <c r="AP1028" s="53">
        <f t="shared" si="190"/>
        <v>2594113.1999999997</v>
      </c>
      <c r="AQ1028" s="53">
        <f t="shared" si="190"/>
        <v>0</v>
      </c>
      <c r="AR1028" s="53">
        <f t="shared" si="190"/>
        <v>0</v>
      </c>
      <c r="AS1028" s="53">
        <f t="shared" si="190"/>
        <v>0</v>
      </c>
      <c r="AT1028" s="53">
        <f t="shared" si="190"/>
        <v>0</v>
      </c>
      <c r="AU1028" s="53">
        <f t="shared" si="190"/>
        <v>0</v>
      </c>
      <c r="AV1028" s="53">
        <f t="shared" si="190"/>
        <v>0</v>
      </c>
      <c r="AW1028" s="53">
        <f t="shared" si="190"/>
        <v>0</v>
      </c>
      <c r="AX1028" s="53">
        <f t="shared" si="191"/>
        <v>210198240</v>
      </c>
      <c r="AY1028" s="41" t="s">
        <v>557</v>
      </c>
    </row>
    <row r="1029" spans="1:51" x14ac:dyDescent="0.2">
      <c r="A1029" s="86" t="s">
        <v>468</v>
      </c>
      <c r="B1029" s="41">
        <v>2012</v>
      </c>
      <c r="C1029" s="41" t="s">
        <v>87</v>
      </c>
      <c r="D1029" s="41" t="s">
        <v>401</v>
      </c>
      <c r="E1029" s="41">
        <v>100</v>
      </c>
      <c r="F1029" s="41" t="s">
        <v>390</v>
      </c>
      <c r="G1029" s="53">
        <f>2424000*0.9072</f>
        <v>2199052.7999999998</v>
      </c>
      <c r="I1029" s="46">
        <f>0.06*31.1/0.9072</f>
        <v>2.056878306878307</v>
      </c>
      <c r="T1029" s="53">
        <f>98000*31.1/1000</f>
        <v>3047.8</v>
      </c>
      <c r="AM1029" s="53">
        <f>(9693000-2424000)*0.9072</f>
        <v>6594436.7999999998</v>
      </c>
      <c r="AO1029" s="53">
        <f t="shared" si="190"/>
        <v>0</v>
      </c>
      <c r="AP1029" s="53">
        <f t="shared" si="190"/>
        <v>4523184</v>
      </c>
      <c r="AQ1029" s="53">
        <f t="shared" si="190"/>
        <v>0</v>
      </c>
      <c r="AR1029" s="53">
        <f t="shared" si="190"/>
        <v>0</v>
      </c>
      <c r="AS1029" s="53">
        <f t="shared" si="190"/>
        <v>0</v>
      </c>
      <c r="AT1029" s="53">
        <f t="shared" si="190"/>
        <v>0</v>
      </c>
      <c r="AU1029" s="53">
        <f t="shared" si="190"/>
        <v>0</v>
      </c>
      <c r="AV1029" s="53">
        <f t="shared" si="190"/>
        <v>0</v>
      </c>
      <c r="AW1029" s="53">
        <f t="shared" si="190"/>
        <v>0</v>
      </c>
      <c r="AX1029" s="53">
        <f t="shared" si="191"/>
        <v>219905279.99999997</v>
      </c>
      <c r="AY1029" s="41" t="s">
        <v>557</v>
      </c>
    </row>
    <row r="1030" spans="1:51" x14ac:dyDescent="0.2">
      <c r="A1030" s="86" t="s">
        <v>468</v>
      </c>
      <c r="B1030" s="41">
        <v>2013</v>
      </c>
      <c r="C1030" s="41" t="s">
        <v>87</v>
      </c>
      <c r="D1030" s="41" t="s">
        <v>401</v>
      </c>
      <c r="E1030" s="41">
        <v>100</v>
      </c>
      <c r="F1030" s="41" t="s">
        <v>390</v>
      </c>
      <c r="G1030" s="53">
        <v>2202000</v>
      </c>
      <c r="I1030" s="46">
        <v>1.8</v>
      </c>
      <c r="T1030" s="53">
        <f>92000*31.1/1000</f>
        <v>2861.2</v>
      </c>
      <c r="AM1030" s="53">
        <f>10539000-2202000</f>
        <v>8337000</v>
      </c>
      <c r="AO1030" s="53">
        <f t="shared" si="190"/>
        <v>0</v>
      </c>
      <c r="AP1030" s="53">
        <f t="shared" si="190"/>
        <v>3963600</v>
      </c>
      <c r="AQ1030" s="53">
        <f t="shared" si="190"/>
        <v>0</v>
      </c>
      <c r="AR1030" s="53">
        <f t="shared" si="190"/>
        <v>0</v>
      </c>
      <c r="AS1030" s="53">
        <f t="shared" si="190"/>
        <v>0</v>
      </c>
      <c r="AT1030" s="53">
        <f t="shared" si="190"/>
        <v>0</v>
      </c>
      <c r="AU1030" s="53">
        <f t="shared" si="190"/>
        <v>0</v>
      </c>
      <c r="AV1030" s="53">
        <f t="shared" si="190"/>
        <v>0</v>
      </c>
      <c r="AW1030" s="53">
        <f t="shared" si="190"/>
        <v>0</v>
      </c>
      <c r="AX1030" s="53">
        <f t="shared" si="191"/>
        <v>220200000</v>
      </c>
      <c r="AY1030" s="41" t="s">
        <v>557</v>
      </c>
    </row>
    <row r="1031" spans="1:51" x14ac:dyDescent="0.2">
      <c r="A1031" s="86" t="s">
        <v>468</v>
      </c>
      <c r="B1031" s="41">
        <v>2014</v>
      </c>
      <c r="C1031" s="41" t="s">
        <v>87</v>
      </c>
      <c r="D1031" s="41" t="s">
        <v>401</v>
      </c>
      <c r="E1031" s="41">
        <v>100</v>
      </c>
      <c r="F1031" s="41" t="s">
        <v>390</v>
      </c>
      <c r="G1031" s="53">
        <v>2305000</v>
      </c>
      <c r="I1031" s="41">
        <v>1.58</v>
      </c>
      <c r="T1031" s="53">
        <f>86000*31.1/1000</f>
        <v>2674.6</v>
      </c>
      <c r="AM1031" s="53">
        <f>6713000-2305000</f>
        <v>4408000</v>
      </c>
      <c r="AO1031" s="53">
        <f t="shared" si="190"/>
        <v>0</v>
      </c>
      <c r="AP1031" s="53">
        <f t="shared" si="190"/>
        <v>3641900</v>
      </c>
      <c r="AQ1031" s="53">
        <f t="shared" si="190"/>
        <v>0</v>
      </c>
      <c r="AR1031" s="53">
        <f t="shared" si="190"/>
        <v>0</v>
      </c>
      <c r="AS1031" s="53">
        <f t="shared" si="190"/>
        <v>0</v>
      </c>
      <c r="AT1031" s="53">
        <f t="shared" si="190"/>
        <v>0</v>
      </c>
      <c r="AU1031" s="53">
        <f t="shared" si="190"/>
        <v>0</v>
      </c>
      <c r="AV1031" s="53">
        <f t="shared" si="190"/>
        <v>0</v>
      </c>
      <c r="AW1031" s="53">
        <f t="shared" si="190"/>
        <v>0</v>
      </c>
      <c r="AX1031" s="53">
        <f t="shared" si="191"/>
        <v>230500000</v>
      </c>
      <c r="AY1031" s="41" t="s">
        <v>557</v>
      </c>
    </row>
    <row r="1032" spans="1:51" x14ac:dyDescent="0.2">
      <c r="A1032" s="86" t="s">
        <v>468</v>
      </c>
      <c r="B1032" s="41">
        <v>2015</v>
      </c>
      <c r="C1032" s="41" t="s">
        <v>87</v>
      </c>
      <c r="D1032" s="41" t="s">
        <v>401</v>
      </c>
      <c r="E1032" s="41">
        <v>100</v>
      </c>
      <c r="F1032" s="41" t="s">
        <v>390</v>
      </c>
      <c r="G1032" s="53">
        <v>2059000</v>
      </c>
      <c r="I1032" s="41">
        <v>1.41</v>
      </c>
      <c r="T1032" s="53">
        <f>68000*31.1/1000</f>
        <v>2114.8000000000002</v>
      </c>
      <c r="AM1032" s="53">
        <f>7401000-2059000</f>
        <v>5342000</v>
      </c>
      <c r="AO1032" s="53">
        <f t="shared" si="190"/>
        <v>0</v>
      </c>
      <c r="AP1032" s="53">
        <f t="shared" si="190"/>
        <v>2903190</v>
      </c>
      <c r="AQ1032" s="53">
        <f t="shared" si="190"/>
        <v>0</v>
      </c>
      <c r="AR1032" s="53">
        <f t="shared" si="190"/>
        <v>0</v>
      </c>
      <c r="AS1032" s="53">
        <f t="shared" si="190"/>
        <v>0</v>
      </c>
      <c r="AT1032" s="53">
        <f t="shared" si="190"/>
        <v>0</v>
      </c>
      <c r="AU1032" s="53">
        <f t="shared" si="190"/>
        <v>0</v>
      </c>
      <c r="AV1032" s="53">
        <f t="shared" si="190"/>
        <v>0</v>
      </c>
      <c r="AW1032" s="53">
        <f t="shared" si="190"/>
        <v>0</v>
      </c>
      <c r="AX1032" s="53">
        <f t="shared" si="191"/>
        <v>205900000</v>
      </c>
      <c r="AY1032" s="41" t="s">
        <v>557</v>
      </c>
    </row>
    <row r="1033" spans="1:51" x14ac:dyDescent="0.2">
      <c r="A1033" s="86" t="s">
        <v>468</v>
      </c>
      <c r="B1033" s="41">
        <v>2016</v>
      </c>
      <c r="C1033" s="41" t="s">
        <v>87</v>
      </c>
      <c r="D1033" s="41" t="s">
        <v>401</v>
      </c>
      <c r="E1033" s="41">
        <v>100</v>
      </c>
      <c r="F1033" s="41" t="s">
        <v>390</v>
      </c>
      <c r="G1033" s="53">
        <v>507000</v>
      </c>
      <c r="I1033" s="41">
        <v>2.69</v>
      </c>
      <c r="T1033" s="53">
        <f>34000*31.1/1000</f>
        <v>1057.4000000000001</v>
      </c>
      <c r="AM1033" s="53">
        <f>578000-507000</f>
        <v>71000</v>
      </c>
      <c r="AO1033" s="53">
        <f t="shared" si="190"/>
        <v>0</v>
      </c>
      <c r="AP1033" s="53">
        <f t="shared" si="190"/>
        <v>1363830</v>
      </c>
      <c r="AQ1033" s="53">
        <f t="shared" si="190"/>
        <v>0</v>
      </c>
      <c r="AR1033" s="53">
        <f t="shared" si="190"/>
        <v>0</v>
      </c>
      <c r="AS1033" s="53">
        <f t="shared" si="190"/>
        <v>0</v>
      </c>
      <c r="AT1033" s="53">
        <f t="shared" si="190"/>
        <v>0</v>
      </c>
      <c r="AU1033" s="53">
        <f t="shared" si="190"/>
        <v>0</v>
      </c>
      <c r="AV1033" s="53">
        <f t="shared" si="190"/>
        <v>0</v>
      </c>
      <c r="AW1033" s="53">
        <f t="shared" si="190"/>
        <v>0</v>
      </c>
      <c r="AX1033" s="53">
        <f t="shared" si="191"/>
        <v>50700000</v>
      </c>
      <c r="AY1033" s="41" t="s">
        <v>557</v>
      </c>
    </row>
    <row r="1034" spans="1:51" x14ac:dyDescent="0.2">
      <c r="A1034" s="86" t="s">
        <v>468</v>
      </c>
      <c r="B1034" s="60" t="s">
        <v>248</v>
      </c>
      <c r="C1034" s="60" t="s">
        <v>87</v>
      </c>
      <c r="D1034" s="60" t="s">
        <v>401</v>
      </c>
      <c r="E1034" s="60">
        <v>100</v>
      </c>
      <c r="F1034" s="60" t="s">
        <v>390</v>
      </c>
      <c r="G1034" s="79">
        <f>AVERAGE(G1025:G1033)</f>
        <v>1815706</v>
      </c>
      <c r="I1034" s="80">
        <f>AP1034/SUM($G1025:$G1033)</f>
        <v>1.7208185617605494</v>
      </c>
      <c r="T1034" s="79">
        <f>AVERAGE(T1025:T1033)</f>
        <v>2285.8500000000004</v>
      </c>
      <c r="AM1034" s="79">
        <f>AVERAGE(AM1025:AM1033)</f>
        <v>10471449.955555554</v>
      </c>
      <c r="AO1034" s="79">
        <f>SUM(AO1025:AO1033)</f>
        <v>0</v>
      </c>
      <c r="AP1034" s="79">
        <f t="shared" ref="AP1034:AX1034" si="192">SUM(AP1025:AP1033)</f>
        <v>24996004.699999999</v>
      </c>
      <c r="AQ1034" s="79">
        <f t="shared" si="192"/>
        <v>0</v>
      </c>
      <c r="AR1034" s="79">
        <f t="shared" si="192"/>
        <v>0</v>
      </c>
      <c r="AS1034" s="79">
        <f t="shared" si="192"/>
        <v>0</v>
      </c>
      <c r="AT1034" s="79">
        <f t="shared" si="192"/>
        <v>0</v>
      </c>
      <c r="AU1034" s="79">
        <f t="shared" si="192"/>
        <v>0</v>
      </c>
      <c r="AV1034" s="79">
        <f t="shared" si="192"/>
        <v>0</v>
      </c>
      <c r="AW1034" s="79">
        <f t="shared" si="192"/>
        <v>0</v>
      </c>
      <c r="AX1034" s="79">
        <f t="shared" si="192"/>
        <v>1452564800</v>
      </c>
      <c r="AY1034" s="41" t="s">
        <v>557</v>
      </c>
    </row>
    <row r="1035" spans="1:51" x14ac:dyDescent="0.2">
      <c r="A1035" s="86" t="s">
        <v>468</v>
      </c>
      <c r="B1035" s="43" t="s">
        <v>560</v>
      </c>
      <c r="G1035" s="53">
        <f>STDEV(G1025:G1033)</f>
        <v>781760.46368303872</v>
      </c>
      <c r="I1035" s="46">
        <f>STDEV(I1025:I1033)</f>
        <v>0.44876321455450136</v>
      </c>
      <c r="T1035" s="53">
        <f>STDEV(T1025:T1033)</f>
        <v>987.25444252518389</v>
      </c>
      <c r="AM1035" s="53">
        <f>STDEV(AM1025:AM1033)</f>
        <v>8516590.6280602328</v>
      </c>
      <c r="AY1035" s="41" t="s">
        <v>557</v>
      </c>
    </row>
    <row r="1036" spans="1:51" x14ac:dyDescent="0.2">
      <c r="A1036" s="86" t="s">
        <v>468</v>
      </c>
      <c r="B1036" s="81" t="s">
        <v>249</v>
      </c>
      <c r="G1036" s="41">
        <f>COUNT(G1025:G1033)</f>
        <v>8</v>
      </c>
      <c r="I1036" s="41">
        <f>COUNT(I1025:I1033)</f>
        <v>8</v>
      </c>
      <c r="T1036" s="41">
        <f>COUNT(T1025:T1033)</f>
        <v>8</v>
      </c>
      <c r="AM1036" s="41">
        <f>COUNT(AM1025:AM1033)</f>
        <v>9</v>
      </c>
      <c r="AY1036" s="41" t="s">
        <v>557</v>
      </c>
    </row>
    <row r="1037" spans="1:51" x14ac:dyDescent="0.2">
      <c r="A1037" s="82"/>
      <c r="B1037" s="82"/>
      <c r="C1037" s="82"/>
      <c r="D1037" s="82"/>
      <c r="E1037" s="82"/>
      <c r="F1037" s="82"/>
      <c r="G1037" s="82"/>
      <c r="H1037" s="82"/>
      <c r="I1037" s="82"/>
      <c r="J1037" s="82"/>
      <c r="K1037" s="82"/>
      <c r="L1037" s="82"/>
      <c r="M1037" s="82"/>
      <c r="N1037" s="82"/>
      <c r="O1037" s="82"/>
      <c r="P1037" s="82"/>
      <c r="Q1037" s="82"/>
      <c r="R1037" s="82"/>
      <c r="S1037" s="82"/>
      <c r="T1037" s="82"/>
      <c r="U1037" s="82"/>
      <c r="V1037" s="82"/>
      <c r="W1037" s="82"/>
      <c r="X1037" s="82"/>
      <c r="Y1037" s="82"/>
      <c r="Z1037" s="82"/>
      <c r="AA1037" s="82"/>
      <c r="AB1037" s="82"/>
      <c r="AC1037" s="82"/>
      <c r="AD1037" s="82"/>
      <c r="AE1037" s="82"/>
      <c r="AF1037" s="82"/>
      <c r="AG1037" s="82"/>
      <c r="AH1037" s="82"/>
      <c r="AI1037" s="82"/>
      <c r="AJ1037" s="82"/>
      <c r="AK1037" s="82"/>
      <c r="AL1037" s="82"/>
      <c r="AM1037" s="82"/>
      <c r="AN1037" s="82"/>
      <c r="AO1037" s="82"/>
      <c r="AP1037" s="82"/>
      <c r="AQ1037" s="82"/>
      <c r="AR1037" s="82"/>
      <c r="AS1037" s="82"/>
      <c r="AT1037" s="82"/>
      <c r="AU1037" s="82"/>
      <c r="AV1037" s="82"/>
      <c r="AW1037" s="82"/>
      <c r="AX1037" s="82"/>
      <c r="AY1037" s="41" t="s">
        <v>557</v>
      </c>
    </row>
    <row r="1038" spans="1:51" x14ac:dyDescent="0.2">
      <c r="A1038" s="86" t="s">
        <v>463</v>
      </c>
      <c r="B1038" s="58" t="s">
        <v>636</v>
      </c>
      <c r="AY1038" s="41" t="s">
        <v>557</v>
      </c>
    </row>
    <row r="1039" spans="1:51" x14ac:dyDescent="0.2">
      <c r="A1039" s="86" t="s">
        <v>463</v>
      </c>
      <c r="B1039" s="41">
        <v>2002</v>
      </c>
      <c r="C1039" s="41" t="s">
        <v>96</v>
      </c>
      <c r="D1039" s="41" t="s">
        <v>175</v>
      </c>
      <c r="E1039" s="47">
        <f>100*10322/(10322+1638)</f>
        <v>86.304347826086953</v>
      </c>
      <c r="F1039" s="41" t="s">
        <v>390</v>
      </c>
      <c r="G1039" s="53">
        <f>11960000*0.9072</f>
        <v>10850112</v>
      </c>
      <c r="I1039" s="46">
        <f>0.2*31.1/0.9072</f>
        <v>6.8562610229276899</v>
      </c>
      <c r="T1039" s="53">
        <f>2050000*31.1/1000</f>
        <v>63755</v>
      </c>
      <c r="AM1039" s="53">
        <f>(144533000-11960000)*0.9072</f>
        <v>120270225.59999999</v>
      </c>
      <c r="AO1039" s="53">
        <f t="shared" ref="AO1039:AW1053" si="193">$G1039*H1039</f>
        <v>0</v>
      </c>
      <c r="AP1039" s="53">
        <f t="shared" si="193"/>
        <v>74391200</v>
      </c>
      <c r="AQ1039" s="53">
        <f t="shared" si="193"/>
        <v>0</v>
      </c>
      <c r="AR1039" s="53">
        <f t="shared" si="193"/>
        <v>0</v>
      </c>
      <c r="AS1039" s="53">
        <f t="shared" si="193"/>
        <v>0</v>
      </c>
      <c r="AT1039" s="53">
        <f t="shared" si="193"/>
        <v>0</v>
      </c>
      <c r="AU1039" s="53">
        <f t="shared" si="193"/>
        <v>0</v>
      </c>
      <c r="AV1039" s="53">
        <f t="shared" si="193"/>
        <v>0</v>
      </c>
      <c r="AW1039" s="53">
        <f t="shared" si="193"/>
        <v>0</v>
      </c>
      <c r="AX1039" s="53">
        <f t="shared" ref="AX1039:AX1053" si="194">$G1039*E1039</f>
        <v>936411840</v>
      </c>
      <c r="AY1039" s="41" t="s">
        <v>557</v>
      </c>
    </row>
    <row r="1040" spans="1:51" x14ac:dyDescent="0.2">
      <c r="A1040" s="86" t="s">
        <v>463</v>
      </c>
      <c r="B1040" s="41">
        <v>2003</v>
      </c>
      <c r="C1040" s="41" t="s">
        <v>96</v>
      </c>
      <c r="D1040" s="41" t="s">
        <v>175</v>
      </c>
      <c r="E1040" s="47">
        <f>100*10041/(10041+1622)</f>
        <v>86.092772014061566</v>
      </c>
      <c r="F1040" s="41" t="s">
        <v>390</v>
      </c>
      <c r="G1040" s="53">
        <f>11663000*0.9072</f>
        <v>10580673.6</v>
      </c>
      <c r="I1040" s="46">
        <f>0.216*31.1/0.9072</f>
        <v>7.4047619047619051</v>
      </c>
      <c r="T1040" s="53">
        <f>2111000*31.1/1000</f>
        <v>65652.100000000006</v>
      </c>
      <c r="AM1040" s="53">
        <f>(143324000-11663000)*0.9072</f>
        <v>119442859.2</v>
      </c>
      <c r="AO1040" s="53">
        <f t="shared" si="193"/>
        <v>0</v>
      </c>
      <c r="AP1040" s="53">
        <f t="shared" si="193"/>
        <v>78347368.799999997</v>
      </c>
      <c r="AQ1040" s="53">
        <f t="shared" si="193"/>
        <v>0</v>
      </c>
      <c r="AR1040" s="53">
        <f t="shared" si="193"/>
        <v>0</v>
      </c>
      <c r="AS1040" s="53">
        <f t="shared" si="193"/>
        <v>0</v>
      </c>
      <c r="AT1040" s="53">
        <f t="shared" si="193"/>
        <v>0</v>
      </c>
      <c r="AU1040" s="53">
        <f t="shared" si="193"/>
        <v>0</v>
      </c>
      <c r="AV1040" s="53">
        <f t="shared" si="193"/>
        <v>0</v>
      </c>
      <c r="AW1040" s="53">
        <f t="shared" si="193"/>
        <v>0</v>
      </c>
      <c r="AX1040" s="53">
        <f t="shared" si="194"/>
        <v>910919520</v>
      </c>
      <c r="AY1040" s="41" t="s">
        <v>557</v>
      </c>
    </row>
    <row r="1041" spans="1:51" x14ac:dyDescent="0.2">
      <c r="A1041" s="86" t="s">
        <v>463</v>
      </c>
      <c r="B1041" s="41">
        <v>2004</v>
      </c>
      <c r="C1041" s="41" t="s">
        <v>96</v>
      </c>
      <c r="D1041" s="41" t="s">
        <v>175</v>
      </c>
      <c r="E1041" s="47">
        <f>100*10779/(1566+10779)</f>
        <v>87.314702308626977</v>
      </c>
      <c r="F1041" s="41" t="s">
        <v>390</v>
      </c>
      <c r="G1041" s="53">
        <f>12345000*0.9072</f>
        <v>11199384</v>
      </c>
      <c r="I1041" s="46">
        <f>0.183*31.1/0.9072</f>
        <v>6.2734788359788363</v>
      </c>
      <c r="T1041" s="53">
        <f>1943000*31.1/1000</f>
        <v>60427.3</v>
      </c>
      <c r="AM1041" s="53">
        <f>(135785000-12345000)*0.9072</f>
        <v>111984768</v>
      </c>
      <c r="AO1041" s="53">
        <f t="shared" si="193"/>
        <v>0</v>
      </c>
      <c r="AP1041" s="53">
        <f t="shared" si="193"/>
        <v>70259098.5</v>
      </c>
      <c r="AQ1041" s="53">
        <f t="shared" si="193"/>
        <v>0</v>
      </c>
      <c r="AR1041" s="53">
        <f t="shared" si="193"/>
        <v>0</v>
      </c>
      <c r="AS1041" s="53">
        <f t="shared" si="193"/>
        <v>0</v>
      </c>
      <c r="AT1041" s="53">
        <f t="shared" si="193"/>
        <v>0</v>
      </c>
      <c r="AU1041" s="53">
        <f t="shared" si="193"/>
        <v>0</v>
      </c>
      <c r="AV1041" s="53">
        <f t="shared" si="193"/>
        <v>0</v>
      </c>
      <c r="AW1041" s="53">
        <f t="shared" si="193"/>
        <v>0</v>
      </c>
      <c r="AX1041" s="53">
        <f t="shared" si="194"/>
        <v>977870880</v>
      </c>
      <c r="AY1041" s="41" t="s">
        <v>557</v>
      </c>
    </row>
    <row r="1042" spans="1:51" x14ac:dyDescent="0.2">
      <c r="A1042" s="86" t="s">
        <v>463</v>
      </c>
      <c r="B1042" s="41">
        <v>2005</v>
      </c>
      <c r="C1042" s="41" t="s">
        <v>96</v>
      </c>
      <c r="D1042" s="41" t="s">
        <v>175</v>
      </c>
      <c r="E1042" s="47">
        <f>100*10097/(1488+10097)</f>
        <v>87.155804920155376</v>
      </c>
      <c r="F1042" s="41" t="s">
        <v>390</v>
      </c>
      <c r="G1042" s="53">
        <f>11585000*0.9072</f>
        <v>10509912</v>
      </c>
      <c r="I1042" s="46">
        <f>0.202*31.1/0.9072</f>
        <v>6.9248236331569668</v>
      </c>
      <c r="T1042" s="53">
        <f>2024000*31.1/1000</f>
        <v>62946.400000000001</v>
      </c>
      <c r="AM1042" s="53">
        <f>(131296000-11585000)*0.9072</f>
        <v>108601819.2</v>
      </c>
      <c r="AO1042" s="53">
        <f t="shared" si="193"/>
        <v>0</v>
      </c>
      <c r="AP1042" s="53">
        <f t="shared" si="193"/>
        <v>72779287</v>
      </c>
      <c r="AQ1042" s="53">
        <f t="shared" si="193"/>
        <v>0</v>
      </c>
      <c r="AR1042" s="53">
        <f t="shared" si="193"/>
        <v>0</v>
      </c>
      <c r="AS1042" s="53">
        <f t="shared" si="193"/>
        <v>0</v>
      </c>
      <c r="AT1042" s="53">
        <f t="shared" si="193"/>
        <v>0</v>
      </c>
      <c r="AU1042" s="53">
        <f t="shared" si="193"/>
        <v>0</v>
      </c>
      <c r="AV1042" s="53">
        <f t="shared" si="193"/>
        <v>0</v>
      </c>
      <c r="AW1042" s="53">
        <f t="shared" si="193"/>
        <v>0</v>
      </c>
      <c r="AX1042" s="53">
        <f t="shared" si="194"/>
        <v>915999840</v>
      </c>
      <c r="AY1042" s="41" t="s">
        <v>557</v>
      </c>
    </row>
    <row r="1043" spans="1:51" x14ac:dyDescent="0.2">
      <c r="A1043" s="86" t="s">
        <v>463</v>
      </c>
      <c r="B1043" s="41">
        <v>2006</v>
      </c>
      <c r="C1043" s="41" t="s">
        <v>96</v>
      </c>
      <c r="D1043" s="41" t="s">
        <v>175</v>
      </c>
      <c r="E1043" s="47">
        <f>100*8519/(8519+1420)</f>
        <v>85.712848375088043</v>
      </c>
      <c r="F1043" s="41" t="s">
        <v>390</v>
      </c>
      <c r="G1043" s="53">
        <f>11932000*0.9072</f>
        <v>10824710.4</v>
      </c>
      <c r="I1043" s="46">
        <f>0.178*31.1/0.9072</f>
        <v>6.102072310405644</v>
      </c>
      <c r="T1043" s="53">
        <f>1865000*31.1/1000</f>
        <v>58001.5</v>
      </c>
      <c r="AM1043" s="53">
        <f>(132649000-11932000)*0.9072</f>
        <v>109514462.40000001</v>
      </c>
      <c r="AO1043" s="53">
        <f t="shared" si="193"/>
        <v>0</v>
      </c>
      <c r="AP1043" s="53">
        <f t="shared" si="193"/>
        <v>66053165.600000009</v>
      </c>
      <c r="AQ1043" s="53">
        <f t="shared" si="193"/>
        <v>0</v>
      </c>
      <c r="AR1043" s="53">
        <f t="shared" si="193"/>
        <v>0</v>
      </c>
      <c r="AS1043" s="53">
        <f t="shared" si="193"/>
        <v>0</v>
      </c>
      <c r="AT1043" s="53">
        <f t="shared" si="193"/>
        <v>0</v>
      </c>
      <c r="AU1043" s="53">
        <f t="shared" si="193"/>
        <v>0</v>
      </c>
      <c r="AV1043" s="53">
        <f t="shared" si="193"/>
        <v>0</v>
      </c>
      <c r="AW1043" s="53">
        <f t="shared" si="193"/>
        <v>0</v>
      </c>
      <c r="AX1043" s="53">
        <f t="shared" si="194"/>
        <v>927816761.21943867</v>
      </c>
      <c r="AY1043" s="41" t="s">
        <v>557</v>
      </c>
    </row>
    <row r="1044" spans="1:51" x14ac:dyDescent="0.2">
      <c r="A1044" s="86" t="s">
        <v>463</v>
      </c>
      <c r="B1044" s="41">
        <v>2007</v>
      </c>
      <c r="C1044" s="41" t="s">
        <v>96</v>
      </c>
      <c r="D1044" s="41" t="s">
        <v>175</v>
      </c>
      <c r="E1044" s="47">
        <f>100*4647/(4647+1300)</f>
        <v>78.140238775853376</v>
      </c>
      <c r="F1044" s="41" t="s">
        <v>390</v>
      </c>
      <c r="G1044" s="53">
        <f>11844000*0.9072</f>
        <v>10744876.800000001</v>
      </c>
      <c r="I1044" s="46">
        <f>0.159*31.1/0.9072</f>
        <v>5.4507275132275135</v>
      </c>
      <c r="T1044" s="53">
        <f>1629000*31.1/1000</f>
        <v>50661.9</v>
      </c>
      <c r="AM1044" s="53">
        <f>(138168000-11844000)*0.9072</f>
        <v>114601132.8</v>
      </c>
      <c r="AO1044" s="53">
        <f t="shared" si="193"/>
        <v>0</v>
      </c>
      <c r="AP1044" s="53">
        <f t="shared" si="193"/>
        <v>58567395.600000009</v>
      </c>
      <c r="AQ1044" s="53">
        <f t="shared" si="193"/>
        <v>0</v>
      </c>
      <c r="AR1044" s="53">
        <f t="shared" si="193"/>
        <v>0</v>
      </c>
      <c r="AS1044" s="53">
        <f t="shared" si="193"/>
        <v>0</v>
      </c>
      <c r="AT1044" s="53">
        <f t="shared" si="193"/>
        <v>0</v>
      </c>
      <c r="AU1044" s="53">
        <f t="shared" si="193"/>
        <v>0</v>
      </c>
      <c r="AV1044" s="53">
        <f t="shared" si="193"/>
        <v>0</v>
      </c>
      <c r="AW1044" s="53">
        <f t="shared" si="193"/>
        <v>0</v>
      </c>
      <c r="AX1044" s="53">
        <f t="shared" si="194"/>
        <v>839607238.76912737</v>
      </c>
      <c r="AY1044" s="41" t="s">
        <v>557</v>
      </c>
    </row>
    <row r="1045" spans="1:51" x14ac:dyDescent="0.2">
      <c r="A1045" s="86" t="s">
        <v>463</v>
      </c>
      <c r="B1045" s="41">
        <v>2008</v>
      </c>
      <c r="C1045" s="41" t="s">
        <v>96</v>
      </c>
      <c r="D1045" s="41" t="s">
        <v>175</v>
      </c>
      <c r="E1045" s="47">
        <v>90.323193429782677</v>
      </c>
      <c r="F1045" s="41" t="s">
        <v>390</v>
      </c>
      <c r="G1045" s="53">
        <f>11550000*0.9072</f>
        <v>10478160</v>
      </c>
      <c r="I1045" s="46">
        <f>0.175*31.1/0.9072</f>
        <v>5.9992283950617287</v>
      </c>
      <c r="T1045" s="53">
        <f>1706000*31.1/1000</f>
        <v>53056.6</v>
      </c>
      <c r="AM1045" s="53">
        <f>(127905000-11550000)*0.9072</f>
        <v>105557256</v>
      </c>
      <c r="AO1045" s="53">
        <f t="shared" si="193"/>
        <v>0</v>
      </c>
      <c r="AP1045" s="53">
        <f t="shared" si="193"/>
        <v>62860875</v>
      </c>
      <c r="AQ1045" s="53">
        <f t="shared" si="193"/>
        <v>0</v>
      </c>
      <c r="AR1045" s="53">
        <f t="shared" si="193"/>
        <v>0</v>
      </c>
      <c r="AS1045" s="53">
        <f t="shared" si="193"/>
        <v>0</v>
      </c>
      <c r="AT1045" s="53">
        <f t="shared" si="193"/>
        <v>0</v>
      </c>
      <c r="AU1045" s="53">
        <f t="shared" si="193"/>
        <v>0</v>
      </c>
      <c r="AV1045" s="53">
        <f t="shared" si="193"/>
        <v>0</v>
      </c>
      <c r="AW1045" s="53">
        <f t="shared" si="193"/>
        <v>0</v>
      </c>
      <c r="AX1045" s="53">
        <f t="shared" si="194"/>
        <v>946420872.46821165</v>
      </c>
      <c r="AY1045" s="41" t="s">
        <v>557</v>
      </c>
    </row>
    <row r="1046" spans="1:51" x14ac:dyDescent="0.2">
      <c r="A1046" s="86" t="s">
        <v>463</v>
      </c>
      <c r="B1046" s="41">
        <v>2009</v>
      </c>
      <c r="C1046" s="41" t="s">
        <v>96</v>
      </c>
      <c r="D1046" s="41" t="s">
        <v>175</v>
      </c>
      <c r="E1046" s="47">
        <v>72.47490352119047</v>
      </c>
      <c r="F1046" s="41" t="s">
        <v>390</v>
      </c>
      <c r="G1046" s="53">
        <f>9592000*0.9072</f>
        <v>8701862.4000000004</v>
      </c>
      <c r="I1046" s="46">
        <f>0.172*31.1/0.9072</f>
        <v>5.8963844797178124</v>
      </c>
      <c r="T1046" s="53">
        <f>1419000*31.1/1000</f>
        <v>44130.9</v>
      </c>
      <c r="AM1046" s="53">
        <f>(132038000-9592000)*0.9072</f>
        <v>111083011.2</v>
      </c>
      <c r="AO1046" s="53">
        <f t="shared" si="193"/>
        <v>0</v>
      </c>
      <c r="AP1046" s="53">
        <f t="shared" si="193"/>
        <v>51309526.399999999</v>
      </c>
      <c r="AQ1046" s="53">
        <f t="shared" si="193"/>
        <v>0</v>
      </c>
      <c r="AR1046" s="53">
        <f t="shared" si="193"/>
        <v>0</v>
      </c>
      <c r="AS1046" s="53">
        <f t="shared" si="193"/>
        <v>0</v>
      </c>
      <c r="AT1046" s="53">
        <f t="shared" si="193"/>
        <v>0</v>
      </c>
      <c r="AU1046" s="53">
        <f t="shared" si="193"/>
        <v>0</v>
      </c>
      <c r="AV1046" s="53">
        <f t="shared" si="193"/>
        <v>0</v>
      </c>
      <c r="AW1046" s="53">
        <f t="shared" si="193"/>
        <v>0</v>
      </c>
      <c r="AX1046" s="53">
        <f t="shared" si="194"/>
        <v>630666637.89467502</v>
      </c>
      <c r="AY1046" s="41" t="s">
        <v>557</v>
      </c>
    </row>
    <row r="1047" spans="1:51" x14ac:dyDescent="0.2">
      <c r="A1047" s="86" t="s">
        <v>463</v>
      </c>
      <c r="B1047" s="41">
        <v>2010</v>
      </c>
      <c r="C1047" s="41" t="s">
        <v>96</v>
      </c>
      <c r="D1047" s="41" t="s">
        <v>175</v>
      </c>
      <c r="E1047" s="47">
        <v>93.349973291195568</v>
      </c>
      <c r="F1047" s="41" t="s">
        <v>390</v>
      </c>
      <c r="G1047" s="53">
        <f>7993000*0.9072</f>
        <v>7251249.5999999996</v>
      </c>
      <c r="I1047" s="46">
        <f>0.187*31.1/0.9072</f>
        <v>6.4106040564373901</v>
      </c>
      <c r="T1047" s="53">
        <f>1239000*31.1/1000</f>
        <v>38532.9</v>
      </c>
      <c r="AM1047" s="53">
        <f>(123681000-7993000)*0.9072</f>
        <v>104952153.59999999</v>
      </c>
      <c r="AO1047" s="53">
        <f t="shared" si="193"/>
        <v>0</v>
      </c>
      <c r="AP1047" s="53">
        <f t="shared" si="193"/>
        <v>46484890.100000001</v>
      </c>
      <c r="AQ1047" s="53">
        <f t="shared" si="193"/>
        <v>0</v>
      </c>
      <c r="AR1047" s="53">
        <f t="shared" si="193"/>
        <v>0</v>
      </c>
      <c r="AS1047" s="53">
        <f t="shared" si="193"/>
        <v>0</v>
      </c>
      <c r="AT1047" s="53">
        <f t="shared" si="193"/>
        <v>0</v>
      </c>
      <c r="AU1047" s="53">
        <f t="shared" si="193"/>
        <v>0</v>
      </c>
      <c r="AV1047" s="53">
        <f t="shared" si="193"/>
        <v>0</v>
      </c>
      <c r="AW1047" s="53">
        <f t="shared" si="193"/>
        <v>0</v>
      </c>
      <c r="AX1047" s="53">
        <f t="shared" si="194"/>
        <v>676903956.48779249</v>
      </c>
      <c r="AY1047" s="41" t="s">
        <v>557</v>
      </c>
    </row>
    <row r="1048" spans="1:51" x14ac:dyDescent="0.2">
      <c r="A1048" s="86" t="s">
        <v>463</v>
      </c>
      <c r="B1048" s="41">
        <v>2011</v>
      </c>
      <c r="C1048" s="41" t="s">
        <v>96</v>
      </c>
      <c r="D1048" s="41" t="s">
        <v>175</v>
      </c>
      <c r="E1048" s="47">
        <v>72.638513394978077</v>
      </c>
      <c r="F1048" s="41" t="s">
        <v>390</v>
      </c>
      <c r="G1048" s="53">
        <f>7798000*0.9072</f>
        <v>7074345.5999999996</v>
      </c>
      <c r="I1048" s="46">
        <f>0.166*31.1/0.9072</f>
        <v>5.6906966490299826</v>
      </c>
      <c r="T1048" s="53">
        <f>1088000*31.1/1000</f>
        <v>33836.800000000003</v>
      </c>
      <c r="AM1048" s="53">
        <f>(118523000-7798000)*0.9072</f>
        <v>100449720</v>
      </c>
      <c r="AO1048" s="53">
        <f t="shared" si="193"/>
        <v>0</v>
      </c>
      <c r="AP1048" s="53">
        <f t="shared" si="193"/>
        <v>40257954.799999997</v>
      </c>
      <c r="AQ1048" s="53">
        <f t="shared" si="193"/>
        <v>0</v>
      </c>
      <c r="AR1048" s="53">
        <f t="shared" si="193"/>
        <v>0</v>
      </c>
      <c r="AS1048" s="53">
        <f t="shared" si="193"/>
        <v>0</v>
      </c>
      <c r="AT1048" s="53">
        <f t="shared" si="193"/>
        <v>0</v>
      </c>
      <c r="AU1048" s="53">
        <f t="shared" si="193"/>
        <v>0</v>
      </c>
      <c r="AV1048" s="53">
        <f t="shared" si="193"/>
        <v>0</v>
      </c>
      <c r="AW1048" s="53">
        <f t="shared" si="193"/>
        <v>0</v>
      </c>
      <c r="AX1048" s="53">
        <f t="shared" si="194"/>
        <v>513869947.62630421</v>
      </c>
      <c r="AY1048" s="41" t="s">
        <v>557</v>
      </c>
    </row>
    <row r="1049" spans="1:51" x14ac:dyDescent="0.2">
      <c r="A1049" s="86" t="s">
        <v>463</v>
      </c>
      <c r="B1049" s="41">
        <v>2012</v>
      </c>
      <c r="C1049" s="41" t="s">
        <v>96</v>
      </c>
      <c r="D1049" s="41" t="s">
        <v>175</v>
      </c>
      <c r="E1049" s="47">
        <v>90.668563300142253</v>
      </c>
      <c r="F1049" s="41" t="s">
        <v>390</v>
      </c>
      <c r="G1049" s="53">
        <f>8253000*0.9072</f>
        <v>7487121.5999999996</v>
      </c>
      <c r="I1049" s="46">
        <f>0.172*31.1/0.9072</f>
        <v>5.8963844797178124</v>
      </c>
      <c r="T1049" s="53">
        <f>1174000*31.1/1000</f>
        <v>36511.4</v>
      </c>
      <c r="AM1049" s="53">
        <f>(110361000-8253000)*0.9072</f>
        <v>92632377.599999994</v>
      </c>
      <c r="AO1049" s="53">
        <f t="shared" si="193"/>
        <v>0</v>
      </c>
      <c r="AP1049" s="53">
        <f t="shared" si="193"/>
        <v>44146947.599999994</v>
      </c>
      <c r="AQ1049" s="53">
        <f t="shared" si="193"/>
        <v>0</v>
      </c>
      <c r="AR1049" s="53">
        <f t="shared" si="193"/>
        <v>0</v>
      </c>
      <c r="AS1049" s="53">
        <f t="shared" si="193"/>
        <v>0</v>
      </c>
      <c r="AT1049" s="53">
        <f t="shared" si="193"/>
        <v>0</v>
      </c>
      <c r="AU1049" s="53">
        <f t="shared" si="193"/>
        <v>0</v>
      </c>
      <c r="AV1049" s="53">
        <f t="shared" si="193"/>
        <v>0</v>
      </c>
      <c r="AW1049" s="53">
        <f t="shared" si="193"/>
        <v>0</v>
      </c>
      <c r="AX1049" s="53">
        <f t="shared" si="194"/>
        <v>678846558.72546232</v>
      </c>
      <c r="AY1049" s="41" t="s">
        <v>557</v>
      </c>
    </row>
    <row r="1050" spans="1:51" x14ac:dyDescent="0.2">
      <c r="A1050" s="86" t="s">
        <v>463</v>
      </c>
      <c r="B1050" s="41">
        <v>2013</v>
      </c>
      <c r="C1050" s="41" t="s">
        <v>96</v>
      </c>
      <c r="D1050" s="41" t="s">
        <v>175</v>
      </c>
      <c r="E1050" s="47">
        <v>79.851734180566581</v>
      </c>
      <c r="F1050" s="41" t="s">
        <v>390</v>
      </c>
      <c r="G1050" s="53">
        <v>6829000</v>
      </c>
      <c r="I1050" s="41">
        <v>5.01</v>
      </c>
      <c r="T1050" s="53">
        <f>892000*31.1/1000</f>
        <v>27741.200000000001</v>
      </c>
      <c r="AM1050" s="53">
        <f>87350000-6829000</f>
        <v>80521000</v>
      </c>
      <c r="AO1050" s="53">
        <f t="shared" si="193"/>
        <v>0</v>
      </c>
      <c r="AP1050" s="53">
        <f t="shared" si="193"/>
        <v>34213290</v>
      </c>
      <c r="AQ1050" s="53">
        <f t="shared" si="193"/>
        <v>0</v>
      </c>
      <c r="AR1050" s="53">
        <f t="shared" si="193"/>
        <v>0</v>
      </c>
      <c r="AS1050" s="53">
        <f t="shared" si="193"/>
        <v>0</v>
      </c>
      <c r="AT1050" s="53">
        <f t="shared" si="193"/>
        <v>0</v>
      </c>
      <c r="AU1050" s="53">
        <f t="shared" si="193"/>
        <v>0</v>
      </c>
      <c r="AV1050" s="53">
        <f t="shared" si="193"/>
        <v>0</v>
      </c>
      <c r="AW1050" s="53">
        <f t="shared" si="193"/>
        <v>0</v>
      </c>
      <c r="AX1050" s="53">
        <f t="shared" si="194"/>
        <v>545307492.71908915</v>
      </c>
      <c r="AY1050" s="41" t="s">
        <v>557</v>
      </c>
    </row>
    <row r="1051" spans="1:51" x14ac:dyDescent="0.2">
      <c r="A1051" s="86" t="s">
        <v>463</v>
      </c>
      <c r="B1051" s="41">
        <v>2014</v>
      </c>
      <c r="C1051" s="41" t="s">
        <v>96</v>
      </c>
      <c r="D1051" s="41" t="s">
        <v>175</v>
      </c>
      <c r="E1051" s="47">
        <v>78.76127480457005</v>
      </c>
      <c r="F1051" s="41" t="s">
        <v>390</v>
      </c>
      <c r="G1051" s="53">
        <v>5307000</v>
      </c>
      <c r="I1051" s="41">
        <v>6.28</v>
      </c>
      <c r="T1051" s="53">
        <f>902000*31.1/1000</f>
        <v>28052.2</v>
      </c>
      <c r="AM1051" s="53">
        <f>81410000-5307000</f>
        <v>76103000</v>
      </c>
      <c r="AO1051" s="53">
        <f t="shared" si="193"/>
        <v>0</v>
      </c>
      <c r="AP1051" s="53">
        <f t="shared" si="193"/>
        <v>33327960</v>
      </c>
      <c r="AQ1051" s="53">
        <f t="shared" si="193"/>
        <v>0</v>
      </c>
      <c r="AR1051" s="53">
        <f t="shared" si="193"/>
        <v>0</v>
      </c>
      <c r="AS1051" s="53">
        <f t="shared" si="193"/>
        <v>0</v>
      </c>
      <c r="AT1051" s="53">
        <f t="shared" si="193"/>
        <v>0</v>
      </c>
      <c r="AU1051" s="53">
        <f t="shared" si="193"/>
        <v>0</v>
      </c>
      <c r="AV1051" s="53">
        <f t="shared" si="193"/>
        <v>0</v>
      </c>
      <c r="AW1051" s="53">
        <f t="shared" si="193"/>
        <v>0</v>
      </c>
      <c r="AX1051" s="53">
        <f t="shared" si="194"/>
        <v>417986085.38785326</v>
      </c>
      <c r="AY1051" s="41" t="s">
        <v>557</v>
      </c>
    </row>
    <row r="1052" spans="1:51" x14ac:dyDescent="0.2">
      <c r="A1052" s="86" t="s">
        <v>463</v>
      </c>
      <c r="B1052" s="41">
        <v>2015</v>
      </c>
      <c r="C1052" s="41" t="s">
        <v>96</v>
      </c>
      <c r="D1052" s="41" t="s">
        <v>175</v>
      </c>
      <c r="E1052" s="47">
        <v>83.196593623429223</v>
      </c>
      <c r="F1052" s="41" t="s">
        <v>390</v>
      </c>
      <c r="G1052" s="53">
        <v>6752000</v>
      </c>
      <c r="I1052" s="41">
        <v>6.01</v>
      </c>
      <c r="T1052" s="53">
        <f>1053000*31.1/1000</f>
        <v>32748.3</v>
      </c>
      <c r="AM1052" s="53">
        <f>72304000-6752000</f>
        <v>65552000</v>
      </c>
      <c r="AO1052" s="53">
        <f t="shared" si="193"/>
        <v>0</v>
      </c>
      <c r="AP1052" s="53">
        <f t="shared" si="193"/>
        <v>40579520</v>
      </c>
      <c r="AQ1052" s="53">
        <f t="shared" si="193"/>
        <v>0</v>
      </c>
      <c r="AR1052" s="53">
        <f t="shared" si="193"/>
        <v>0</v>
      </c>
      <c r="AS1052" s="53">
        <f t="shared" si="193"/>
        <v>0</v>
      </c>
      <c r="AT1052" s="53">
        <f t="shared" si="193"/>
        <v>0</v>
      </c>
      <c r="AU1052" s="53">
        <f t="shared" si="193"/>
        <v>0</v>
      </c>
      <c r="AV1052" s="53">
        <f t="shared" si="193"/>
        <v>0</v>
      </c>
      <c r="AW1052" s="53">
        <f t="shared" si="193"/>
        <v>0</v>
      </c>
      <c r="AX1052" s="53">
        <f t="shared" si="194"/>
        <v>561743400.14539409</v>
      </c>
      <c r="AY1052" s="41" t="s">
        <v>557</v>
      </c>
    </row>
    <row r="1053" spans="1:51" x14ac:dyDescent="0.2">
      <c r="A1053" s="86" t="s">
        <v>463</v>
      </c>
      <c r="B1053" s="41">
        <v>2016</v>
      </c>
      <c r="C1053" s="41" t="s">
        <v>96</v>
      </c>
      <c r="D1053" s="41" t="s">
        <v>175</v>
      </c>
      <c r="E1053" s="47">
        <v>53.126826417299824</v>
      </c>
      <c r="F1053" s="41" t="s">
        <v>390</v>
      </c>
      <c r="G1053" s="53">
        <v>7361000</v>
      </c>
      <c r="I1053" s="41">
        <v>5.65</v>
      </c>
      <c r="T1053" s="53">
        <f>1096000*31.1/1000</f>
        <v>34085.599999999999</v>
      </c>
      <c r="AM1053" s="53">
        <f>67834000-7361000</f>
        <v>60473000</v>
      </c>
      <c r="AO1053" s="53">
        <f t="shared" si="193"/>
        <v>0</v>
      </c>
      <c r="AP1053" s="53">
        <f t="shared" si="193"/>
        <v>41589650</v>
      </c>
      <c r="AQ1053" s="53">
        <f t="shared" si="193"/>
        <v>0</v>
      </c>
      <c r="AR1053" s="53">
        <f t="shared" si="193"/>
        <v>0</v>
      </c>
      <c r="AS1053" s="53">
        <f t="shared" si="193"/>
        <v>0</v>
      </c>
      <c r="AT1053" s="53">
        <f t="shared" si="193"/>
        <v>0</v>
      </c>
      <c r="AU1053" s="53">
        <f t="shared" si="193"/>
        <v>0</v>
      </c>
      <c r="AV1053" s="53">
        <f t="shared" si="193"/>
        <v>0</v>
      </c>
      <c r="AW1053" s="53">
        <f t="shared" si="193"/>
        <v>0</v>
      </c>
      <c r="AX1053" s="53">
        <f t="shared" si="194"/>
        <v>391066569.25774401</v>
      </c>
      <c r="AY1053" s="41" t="s">
        <v>557</v>
      </c>
    </row>
    <row r="1054" spans="1:51" x14ac:dyDescent="0.2">
      <c r="A1054" s="86" t="s">
        <v>463</v>
      </c>
      <c r="B1054" s="60" t="s">
        <v>559</v>
      </c>
      <c r="C1054" s="60" t="s">
        <v>96</v>
      </c>
      <c r="D1054" s="60" t="s">
        <v>175</v>
      </c>
      <c r="E1054" s="78">
        <f>AX1054/G1054</f>
        <v>82.389705161017247</v>
      </c>
      <c r="F1054" s="60" t="s">
        <v>390</v>
      </c>
      <c r="G1054" s="79">
        <f>SUM(G1039:G1053)</f>
        <v>131951407.99999999</v>
      </c>
      <c r="I1054" s="80">
        <f>AP1054/G1054</f>
        <v>6.1777903074744005</v>
      </c>
      <c r="T1054" s="79">
        <f>AVERAGE(T1039:T1053)</f>
        <v>46009.340000000004</v>
      </c>
      <c r="AM1054" s="79">
        <f>AVERAGE(AM1039:AM1053)</f>
        <v>98782585.706666663</v>
      </c>
      <c r="AO1054" s="79">
        <f>SUM(AO1039:AO1053)</f>
        <v>0</v>
      </c>
      <c r="AP1054" s="79">
        <f t="shared" ref="AP1054:AX1054" si="195">SUM(AP1039:AP1053)</f>
        <v>815168129.39999998</v>
      </c>
      <c r="AQ1054" s="79">
        <f t="shared" si="195"/>
        <v>0</v>
      </c>
      <c r="AR1054" s="79">
        <f t="shared" si="195"/>
        <v>0</v>
      </c>
      <c r="AS1054" s="79">
        <f t="shared" si="195"/>
        <v>0</v>
      </c>
      <c r="AT1054" s="79">
        <f t="shared" si="195"/>
        <v>0</v>
      </c>
      <c r="AU1054" s="79">
        <f t="shared" si="195"/>
        <v>0</v>
      </c>
      <c r="AV1054" s="79">
        <f t="shared" si="195"/>
        <v>0</v>
      </c>
      <c r="AW1054" s="79">
        <f t="shared" si="195"/>
        <v>0</v>
      </c>
      <c r="AX1054" s="79">
        <f t="shared" si="195"/>
        <v>10871437600.701092</v>
      </c>
      <c r="AY1054" s="41" t="s">
        <v>557</v>
      </c>
    </row>
    <row r="1055" spans="1:51" x14ac:dyDescent="0.2">
      <c r="A1055" s="86" t="s">
        <v>463</v>
      </c>
      <c r="B1055" s="43" t="s">
        <v>560</v>
      </c>
      <c r="G1055" s="53">
        <f>STDEV(G1039:G1053)</f>
        <v>2003806.5283965166</v>
      </c>
      <c r="I1055" s="46">
        <f>STDEV(I1039:I1053)</f>
        <v>0.60863302498785421</v>
      </c>
      <c r="T1055" s="53">
        <f>STDEV(T1039:T1053)</f>
        <v>13842.563734717411</v>
      </c>
      <c r="AM1055" s="53">
        <f>STDEV(AM1039:AM1053)</f>
        <v>19310045.56365044</v>
      </c>
      <c r="AY1055" s="41" t="s">
        <v>557</v>
      </c>
    </row>
    <row r="1056" spans="1:51" x14ac:dyDescent="0.2">
      <c r="A1056" s="86" t="s">
        <v>463</v>
      </c>
      <c r="B1056" s="81" t="s">
        <v>249</v>
      </c>
      <c r="G1056" s="41">
        <f>COUNT(G1039:G1053)</f>
        <v>15</v>
      </c>
      <c r="I1056" s="41">
        <f>COUNT(I1039:I1053)</f>
        <v>15</v>
      </c>
      <c r="T1056" s="41">
        <f>COUNT(T1039:T1053)</f>
        <v>15</v>
      </c>
      <c r="AM1056" s="41">
        <f>COUNT(AM1039:AM1053)</f>
        <v>15</v>
      </c>
      <c r="AY1056" s="41" t="s">
        <v>557</v>
      </c>
    </row>
    <row r="1057" spans="1:51" x14ac:dyDescent="0.2">
      <c r="A1057" s="82"/>
      <c r="B1057" s="82"/>
      <c r="C1057" s="82"/>
      <c r="D1057" s="82"/>
      <c r="E1057" s="82"/>
      <c r="F1057" s="82"/>
      <c r="G1057" s="82"/>
      <c r="H1057" s="82"/>
      <c r="I1057" s="82"/>
      <c r="J1057" s="82"/>
      <c r="K1057" s="82"/>
      <c r="L1057" s="82"/>
      <c r="M1057" s="82"/>
      <c r="N1057" s="82"/>
      <c r="O1057" s="82"/>
      <c r="P1057" s="82"/>
      <c r="Q1057" s="82"/>
      <c r="R1057" s="82"/>
      <c r="S1057" s="82"/>
      <c r="T1057" s="82"/>
      <c r="U1057" s="82"/>
      <c r="V1057" s="82"/>
      <c r="W1057" s="82"/>
      <c r="X1057" s="82"/>
      <c r="Y1057" s="82"/>
      <c r="Z1057" s="82"/>
      <c r="AA1057" s="82"/>
      <c r="AB1057" s="82"/>
      <c r="AC1057" s="82"/>
      <c r="AD1057" s="82"/>
      <c r="AE1057" s="82"/>
      <c r="AF1057" s="82"/>
      <c r="AG1057" s="82"/>
      <c r="AH1057" s="82"/>
      <c r="AI1057" s="82"/>
      <c r="AJ1057" s="82"/>
      <c r="AK1057" s="82"/>
      <c r="AL1057" s="82"/>
      <c r="AM1057" s="82"/>
      <c r="AN1057" s="82"/>
      <c r="AO1057" s="82"/>
      <c r="AP1057" s="82"/>
      <c r="AQ1057" s="82"/>
      <c r="AR1057" s="82"/>
      <c r="AS1057" s="82"/>
      <c r="AT1057" s="82"/>
      <c r="AU1057" s="82"/>
      <c r="AV1057" s="82"/>
      <c r="AW1057" s="82"/>
      <c r="AX1057" s="82"/>
      <c r="AY1057" s="41" t="s">
        <v>557</v>
      </c>
    </row>
    <row r="1058" spans="1:51" x14ac:dyDescent="0.2">
      <c r="A1058" s="41" t="s">
        <v>183</v>
      </c>
      <c r="B1058" s="41">
        <v>1972</v>
      </c>
      <c r="C1058" s="41" t="s">
        <v>96</v>
      </c>
      <c r="D1058" s="41" t="s">
        <v>88</v>
      </c>
      <c r="E1058" s="47">
        <v>100</v>
      </c>
      <c r="F1058" s="41" t="s">
        <v>556</v>
      </c>
      <c r="G1058" s="114">
        <v>171485.71428571426</v>
      </c>
      <c r="H1058" s="115">
        <v>3.5</v>
      </c>
      <c r="I1058" s="115">
        <v>1</v>
      </c>
      <c r="J1058" s="115">
        <v>12</v>
      </c>
      <c r="R1058" s="76">
        <v>10003.333333333334</v>
      </c>
      <c r="S1058" s="53">
        <v>3001</v>
      </c>
      <c r="T1058" s="114">
        <v>85.742857142857133</v>
      </c>
      <c r="U1058" s="114">
        <v>823.1314285714285</v>
      </c>
      <c r="AM1058" s="76">
        <v>342971.42857142852</v>
      </c>
      <c r="AO1058" s="53">
        <f t="shared" ref="AO1058:AW1086" si="196">$G1058*H1058</f>
        <v>600199.99999999988</v>
      </c>
      <c r="AP1058" s="53">
        <f t="shared" si="196"/>
        <v>171485.71428571426</v>
      </c>
      <c r="AQ1058" s="53">
        <f t="shared" si="196"/>
        <v>2057828.5714285711</v>
      </c>
      <c r="AR1058" s="53">
        <f t="shared" si="196"/>
        <v>0</v>
      </c>
      <c r="AS1058" s="53">
        <f t="shared" si="196"/>
        <v>0</v>
      </c>
      <c r="AT1058" s="53">
        <f t="shared" si="196"/>
        <v>0</v>
      </c>
      <c r="AU1058" s="53">
        <f t="shared" si="196"/>
        <v>0</v>
      </c>
      <c r="AV1058" s="53">
        <f t="shared" si="196"/>
        <v>0</v>
      </c>
      <c r="AW1058" s="53">
        <f t="shared" si="196"/>
        <v>0</v>
      </c>
      <c r="AX1058" s="53">
        <f t="shared" ref="AX1058:AX1102" si="197">$G1058*E1058</f>
        <v>17148571.428571425</v>
      </c>
      <c r="AY1058" s="41" t="s">
        <v>557</v>
      </c>
    </row>
    <row r="1059" spans="1:51" x14ac:dyDescent="0.2">
      <c r="A1059" s="41" t="s">
        <v>183</v>
      </c>
      <c r="B1059" s="41">
        <v>1973</v>
      </c>
      <c r="C1059" s="41" t="s">
        <v>96</v>
      </c>
      <c r="D1059" s="41" t="s">
        <v>88</v>
      </c>
      <c r="E1059" s="47">
        <v>100</v>
      </c>
      <c r="F1059" s="41" t="s">
        <v>556</v>
      </c>
      <c r="G1059" s="76">
        <v>1445400</v>
      </c>
      <c r="H1059" s="58">
        <v>3.42</v>
      </c>
      <c r="I1059" s="115">
        <v>0.75</v>
      </c>
      <c r="J1059" s="115">
        <v>9</v>
      </c>
      <c r="R1059" s="76">
        <v>90337.14285714287</v>
      </c>
      <c r="S1059" s="53">
        <v>31618</v>
      </c>
      <c r="T1059" s="114">
        <v>867.24</v>
      </c>
      <c r="U1059" s="114">
        <v>9106.0199999999986</v>
      </c>
      <c r="AM1059" s="76">
        <v>2890800</v>
      </c>
      <c r="AO1059" s="53">
        <f t="shared" si="196"/>
        <v>4943268</v>
      </c>
      <c r="AP1059" s="53">
        <f t="shared" si="196"/>
        <v>1084050</v>
      </c>
      <c r="AQ1059" s="53">
        <f t="shared" si="196"/>
        <v>13008600</v>
      </c>
      <c r="AR1059" s="53">
        <f t="shared" si="196"/>
        <v>0</v>
      </c>
      <c r="AS1059" s="53">
        <f t="shared" si="196"/>
        <v>0</v>
      </c>
      <c r="AT1059" s="53">
        <f t="shared" si="196"/>
        <v>0</v>
      </c>
      <c r="AU1059" s="53">
        <f t="shared" si="196"/>
        <v>0</v>
      </c>
      <c r="AV1059" s="53">
        <f t="shared" si="196"/>
        <v>0</v>
      </c>
      <c r="AW1059" s="53">
        <f t="shared" si="196"/>
        <v>0</v>
      </c>
      <c r="AX1059" s="53">
        <f t="shared" si="197"/>
        <v>144540000</v>
      </c>
      <c r="AY1059" s="41" t="s">
        <v>557</v>
      </c>
    </row>
    <row r="1060" spans="1:51" x14ac:dyDescent="0.2">
      <c r="A1060" s="41" t="s">
        <v>183</v>
      </c>
      <c r="B1060" s="41">
        <v>1974</v>
      </c>
      <c r="C1060" s="41" t="s">
        <v>96</v>
      </c>
      <c r="D1060" s="41" t="s">
        <v>88</v>
      </c>
      <c r="E1060" s="47">
        <v>100</v>
      </c>
      <c r="F1060" s="41" t="s">
        <v>556</v>
      </c>
      <c r="G1060" s="76">
        <v>2562300</v>
      </c>
      <c r="H1060" s="58">
        <v>2.85</v>
      </c>
      <c r="I1060" s="115">
        <v>0.75</v>
      </c>
      <c r="J1060" s="115">
        <v>9</v>
      </c>
      <c r="R1060" s="76">
        <v>187080</v>
      </c>
      <c r="S1060" s="53">
        <v>65478</v>
      </c>
      <c r="T1060" s="114">
        <v>1537.38</v>
      </c>
      <c r="U1060" s="114">
        <v>16142.49</v>
      </c>
      <c r="AM1060" s="76">
        <v>5124600</v>
      </c>
      <c r="AO1060" s="53">
        <f t="shared" si="196"/>
        <v>7302555</v>
      </c>
      <c r="AP1060" s="53">
        <f t="shared" si="196"/>
        <v>1921725</v>
      </c>
      <c r="AQ1060" s="53">
        <f t="shared" si="196"/>
        <v>23060700</v>
      </c>
      <c r="AR1060" s="53">
        <f t="shared" si="196"/>
        <v>0</v>
      </c>
      <c r="AS1060" s="53">
        <f t="shared" si="196"/>
        <v>0</v>
      </c>
      <c r="AT1060" s="53">
        <f t="shared" si="196"/>
        <v>0</v>
      </c>
      <c r="AU1060" s="53">
        <f t="shared" si="196"/>
        <v>0</v>
      </c>
      <c r="AV1060" s="53">
        <f t="shared" si="196"/>
        <v>0</v>
      </c>
      <c r="AW1060" s="53">
        <f t="shared" si="196"/>
        <v>0</v>
      </c>
      <c r="AX1060" s="53">
        <f t="shared" si="197"/>
        <v>256230000</v>
      </c>
      <c r="AY1060" s="41" t="s">
        <v>557</v>
      </c>
    </row>
    <row r="1061" spans="1:51" x14ac:dyDescent="0.2">
      <c r="A1061" s="41" t="s">
        <v>183</v>
      </c>
      <c r="B1061" s="41">
        <v>1975</v>
      </c>
      <c r="C1061" s="41" t="s">
        <v>96</v>
      </c>
      <c r="D1061" s="41" t="s">
        <v>88</v>
      </c>
      <c r="E1061" s="47">
        <v>100</v>
      </c>
      <c r="F1061" s="41" t="s">
        <v>556</v>
      </c>
      <c r="G1061" s="76">
        <v>2697350</v>
      </c>
      <c r="H1061" s="58">
        <v>2.64</v>
      </c>
      <c r="I1061" s="56">
        <v>0.99634826774426755</v>
      </c>
      <c r="J1061" s="54">
        <v>15.372230416625841</v>
      </c>
      <c r="R1061" s="76">
        <v>179208.57142857145</v>
      </c>
      <c r="S1061" s="53">
        <v>62723</v>
      </c>
      <c r="T1061" s="76">
        <v>2150</v>
      </c>
      <c r="U1061" s="76">
        <v>29025</v>
      </c>
      <c r="AM1061" s="76">
        <v>5394700</v>
      </c>
      <c r="AO1061" s="53">
        <f t="shared" si="196"/>
        <v>7121004</v>
      </c>
      <c r="AP1061" s="53">
        <f t="shared" si="196"/>
        <v>2687500</v>
      </c>
      <c r="AQ1061" s="53">
        <f t="shared" si="196"/>
        <v>41464285.714285716</v>
      </c>
      <c r="AR1061" s="53">
        <f t="shared" si="196"/>
        <v>0</v>
      </c>
      <c r="AS1061" s="53">
        <f t="shared" si="196"/>
        <v>0</v>
      </c>
      <c r="AT1061" s="53">
        <f t="shared" si="196"/>
        <v>0</v>
      </c>
      <c r="AU1061" s="53">
        <f t="shared" si="196"/>
        <v>0</v>
      </c>
      <c r="AV1061" s="53">
        <f t="shared" si="196"/>
        <v>0</v>
      </c>
      <c r="AW1061" s="53">
        <f t="shared" si="196"/>
        <v>0</v>
      </c>
      <c r="AX1061" s="53">
        <f t="shared" si="197"/>
        <v>269735000</v>
      </c>
      <c r="AY1061" s="41" t="s">
        <v>557</v>
      </c>
    </row>
    <row r="1062" spans="1:51" x14ac:dyDescent="0.2">
      <c r="A1062" s="41" t="s">
        <v>183</v>
      </c>
      <c r="B1062" s="41">
        <v>1976</v>
      </c>
      <c r="C1062" s="41" t="s">
        <v>96</v>
      </c>
      <c r="D1062" s="41" t="s">
        <v>88</v>
      </c>
      <c r="E1062" s="47">
        <v>100</v>
      </c>
      <c r="F1062" s="41" t="s">
        <v>556</v>
      </c>
      <c r="G1062" s="76">
        <v>2894450</v>
      </c>
      <c r="H1062" s="58">
        <v>2.44</v>
      </c>
      <c r="I1062" s="56">
        <v>0.94016134326037759</v>
      </c>
      <c r="J1062" s="54">
        <v>12.279658360951871</v>
      </c>
      <c r="R1062" s="76">
        <v>197342.85714285716</v>
      </c>
      <c r="S1062" s="53">
        <v>69070</v>
      </c>
      <c r="T1062" s="76">
        <v>2177</v>
      </c>
      <c r="U1062" s="76">
        <v>24880</v>
      </c>
      <c r="AM1062" s="76">
        <v>5788900</v>
      </c>
      <c r="AO1062" s="53">
        <f t="shared" si="196"/>
        <v>7062458</v>
      </c>
      <c r="AP1062" s="53">
        <f t="shared" si="196"/>
        <v>2721250</v>
      </c>
      <c r="AQ1062" s="53">
        <f t="shared" si="196"/>
        <v>35542857.142857142</v>
      </c>
      <c r="AR1062" s="53">
        <f t="shared" si="196"/>
        <v>0</v>
      </c>
      <c r="AS1062" s="53">
        <f t="shared" si="196"/>
        <v>0</v>
      </c>
      <c r="AT1062" s="53">
        <f t="shared" si="196"/>
        <v>0</v>
      </c>
      <c r="AU1062" s="53">
        <f t="shared" si="196"/>
        <v>0</v>
      </c>
      <c r="AV1062" s="53">
        <f t="shared" si="196"/>
        <v>0</v>
      </c>
      <c r="AW1062" s="53">
        <f t="shared" si="196"/>
        <v>0</v>
      </c>
      <c r="AX1062" s="53">
        <f t="shared" si="197"/>
        <v>289445000</v>
      </c>
      <c r="AY1062" s="41" t="s">
        <v>557</v>
      </c>
    </row>
    <row r="1063" spans="1:51" x14ac:dyDescent="0.2">
      <c r="A1063" s="41" t="s">
        <v>183</v>
      </c>
      <c r="B1063" s="41">
        <v>1977</v>
      </c>
      <c r="C1063" s="41" t="s">
        <v>96</v>
      </c>
      <c r="D1063" s="41" t="s">
        <v>88</v>
      </c>
      <c r="E1063" s="47">
        <v>100</v>
      </c>
      <c r="F1063" s="41" t="s">
        <v>556</v>
      </c>
      <c r="G1063" s="76">
        <v>2547700</v>
      </c>
      <c r="H1063" s="58">
        <v>2.34</v>
      </c>
      <c r="I1063" s="56">
        <v>0.85449621226989037</v>
      </c>
      <c r="J1063" s="54">
        <v>12.207088746712722</v>
      </c>
      <c r="R1063" s="76">
        <v>163200</v>
      </c>
      <c r="S1063" s="53">
        <v>57120</v>
      </c>
      <c r="T1063" s="76">
        <v>1741.6</v>
      </c>
      <c r="U1063" s="76">
        <v>21770</v>
      </c>
      <c r="AM1063" s="76">
        <v>5095400</v>
      </c>
      <c r="AO1063" s="53">
        <f t="shared" si="196"/>
        <v>5961618</v>
      </c>
      <c r="AP1063" s="53">
        <f t="shared" si="196"/>
        <v>2176999.9999999995</v>
      </c>
      <c r="AQ1063" s="53">
        <f t="shared" si="196"/>
        <v>31100000.000000004</v>
      </c>
      <c r="AR1063" s="53">
        <f t="shared" si="196"/>
        <v>0</v>
      </c>
      <c r="AS1063" s="53">
        <f t="shared" si="196"/>
        <v>0</v>
      </c>
      <c r="AT1063" s="53">
        <f t="shared" si="196"/>
        <v>0</v>
      </c>
      <c r="AU1063" s="53">
        <f t="shared" si="196"/>
        <v>0</v>
      </c>
      <c r="AV1063" s="53">
        <f t="shared" si="196"/>
        <v>0</v>
      </c>
      <c r="AW1063" s="53">
        <f t="shared" si="196"/>
        <v>0</v>
      </c>
      <c r="AX1063" s="53">
        <f t="shared" si="197"/>
        <v>254770000</v>
      </c>
      <c r="AY1063" s="41" t="s">
        <v>557</v>
      </c>
    </row>
    <row r="1064" spans="1:51" x14ac:dyDescent="0.2">
      <c r="A1064" s="41" t="s">
        <v>183</v>
      </c>
      <c r="B1064" s="41">
        <v>1978</v>
      </c>
      <c r="C1064" s="41" t="s">
        <v>96</v>
      </c>
      <c r="D1064" s="41" t="s">
        <v>88</v>
      </c>
      <c r="E1064" s="47">
        <v>100</v>
      </c>
      <c r="F1064" s="41" t="s">
        <v>556</v>
      </c>
      <c r="G1064" s="76">
        <v>2744800</v>
      </c>
      <c r="H1064" s="58">
        <v>2.14</v>
      </c>
      <c r="I1064" s="115">
        <v>0.75</v>
      </c>
      <c r="J1064" s="115">
        <v>9</v>
      </c>
      <c r="R1064" s="76">
        <v>147380</v>
      </c>
      <c r="S1064" s="53">
        <v>58952</v>
      </c>
      <c r="T1064" s="114">
        <v>1646.88</v>
      </c>
      <c r="U1064" s="114">
        <v>17292.239999999998</v>
      </c>
      <c r="AM1064" s="76">
        <v>5489600</v>
      </c>
      <c r="AO1064" s="53">
        <f t="shared" si="196"/>
        <v>5873872</v>
      </c>
      <c r="AP1064" s="53">
        <f t="shared" si="196"/>
        <v>2058600</v>
      </c>
      <c r="AQ1064" s="53">
        <f t="shared" si="196"/>
        <v>24703200</v>
      </c>
      <c r="AR1064" s="53">
        <f t="shared" si="196"/>
        <v>0</v>
      </c>
      <c r="AS1064" s="53">
        <f t="shared" si="196"/>
        <v>0</v>
      </c>
      <c r="AT1064" s="53">
        <f t="shared" si="196"/>
        <v>0</v>
      </c>
      <c r="AU1064" s="53">
        <f t="shared" si="196"/>
        <v>0</v>
      </c>
      <c r="AV1064" s="53">
        <f t="shared" si="196"/>
        <v>0</v>
      </c>
      <c r="AW1064" s="53">
        <f t="shared" si="196"/>
        <v>0</v>
      </c>
      <c r="AX1064" s="53">
        <f t="shared" si="197"/>
        <v>274480000</v>
      </c>
      <c r="AY1064" s="41" t="s">
        <v>557</v>
      </c>
    </row>
    <row r="1065" spans="1:51" x14ac:dyDescent="0.2">
      <c r="A1065" s="41" t="s">
        <v>183</v>
      </c>
      <c r="B1065" s="41">
        <v>1979</v>
      </c>
      <c r="C1065" s="41" t="s">
        <v>96</v>
      </c>
      <c r="D1065" s="41" t="s">
        <v>88</v>
      </c>
      <c r="E1065" s="47">
        <v>100</v>
      </c>
      <c r="F1065" s="41" t="s">
        <v>556</v>
      </c>
      <c r="G1065" s="76">
        <v>2960150</v>
      </c>
      <c r="H1065" s="58">
        <v>2.12</v>
      </c>
      <c r="I1065" s="115">
        <v>0.75</v>
      </c>
      <c r="J1065" s="115">
        <v>9</v>
      </c>
      <c r="R1065" s="76">
        <v>150495</v>
      </c>
      <c r="S1065" s="53">
        <v>60198</v>
      </c>
      <c r="T1065" s="114">
        <v>1776.09</v>
      </c>
      <c r="U1065" s="114">
        <v>18648.944999999996</v>
      </c>
      <c r="AM1065" s="76">
        <v>5920300</v>
      </c>
      <c r="AO1065" s="53">
        <f t="shared" si="196"/>
        <v>6275518</v>
      </c>
      <c r="AP1065" s="53">
        <f t="shared" si="196"/>
        <v>2220112.5</v>
      </c>
      <c r="AQ1065" s="53">
        <f t="shared" si="196"/>
        <v>26641350</v>
      </c>
      <c r="AR1065" s="53">
        <f t="shared" si="196"/>
        <v>0</v>
      </c>
      <c r="AS1065" s="53">
        <f t="shared" si="196"/>
        <v>0</v>
      </c>
      <c r="AT1065" s="53">
        <f t="shared" si="196"/>
        <v>0</v>
      </c>
      <c r="AU1065" s="53">
        <f t="shared" si="196"/>
        <v>0</v>
      </c>
      <c r="AV1065" s="53">
        <f t="shared" si="196"/>
        <v>0</v>
      </c>
      <c r="AW1065" s="53">
        <f t="shared" si="196"/>
        <v>0</v>
      </c>
      <c r="AX1065" s="53">
        <f t="shared" si="197"/>
        <v>296015000</v>
      </c>
      <c r="AY1065" s="41" t="s">
        <v>557</v>
      </c>
    </row>
    <row r="1066" spans="1:51" x14ac:dyDescent="0.2">
      <c r="A1066" s="41" t="s">
        <v>183</v>
      </c>
      <c r="B1066" s="41">
        <v>1980</v>
      </c>
      <c r="C1066" s="41" t="s">
        <v>96</v>
      </c>
      <c r="D1066" s="41" t="s">
        <v>88</v>
      </c>
      <c r="E1066" s="47">
        <v>95.73770491803279</v>
      </c>
      <c r="F1066" s="41" t="s">
        <v>556</v>
      </c>
      <c r="G1066" s="76">
        <v>3011250</v>
      </c>
      <c r="H1066" s="58">
        <v>2.13</v>
      </c>
      <c r="I1066" s="56">
        <v>0.67010236612702367</v>
      </c>
      <c r="J1066" s="54">
        <v>8.951222914072229</v>
      </c>
      <c r="R1066" s="76">
        <v>144962.5</v>
      </c>
      <c r="S1066" s="53">
        <v>57985</v>
      </c>
      <c r="T1066" s="76">
        <v>1614.2766000000001</v>
      </c>
      <c r="U1066" s="76">
        <v>18868.059000000001</v>
      </c>
      <c r="AM1066" s="76">
        <v>6022500</v>
      </c>
      <c r="AO1066" s="53">
        <f t="shared" si="196"/>
        <v>6413962.5</v>
      </c>
      <c r="AP1066" s="53">
        <f t="shared" si="196"/>
        <v>2017845.75</v>
      </c>
      <c r="AQ1066" s="53">
        <f t="shared" si="196"/>
        <v>26954370</v>
      </c>
      <c r="AR1066" s="53">
        <f t="shared" si="196"/>
        <v>0</v>
      </c>
      <c r="AS1066" s="53">
        <f t="shared" si="196"/>
        <v>0</v>
      </c>
      <c r="AT1066" s="53">
        <f t="shared" si="196"/>
        <v>0</v>
      </c>
      <c r="AU1066" s="53">
        <f t="shared" si="196"/>
        <v>0</v>
      </c>
      <c r="AV1066" s="53">
        <f t="shared" si="196"/>
        <v>0</v>
      </c>
      <c r="AW1066" s="53">
        <f t="shared" si="196"/>
        <v>0</v>
      </c>
      <c r="AX1066" s="53">
        <f t="shared" si="197"/>
        <v>288290163.93442625</v>
      </c>
      <c r="AY1066" s="41" t="s">
        <v>557</v>
      </c>
    </row>
    <row r="1067" spans="1:51" x14ac:dyDescent="0.2">
      <c r="A1067" s="41" t="s">
        <v>183</v>
      </c>
      <c r="B1067" s="41">
        <v>1981</v>
      </c>
      <c r="C1067" s="41" t="s">
        <v>96</v>
      </c>
      <c r="D1067" s="41" t="s">
        <v>88</v>
      </c>
      <c r="E1067" s="47">
        <v>69.461077844311376</v>
      </c>
      <c r="F1067" s="41" t="s">
        <v>556</v>
      </c>
      <c r="G1067" s="76">
        <v>3292300</v>
      </c>
      <c r="H1067" s="58">
        <v>2.13</v>
      </c>
      <c r="I1067" s="56">
        <v>0.54401148133523669</v>
      </c>
      <c r="J1067" s="54">
        <v>9.2707987902508471</v>
      </c>
      <c r="R1067" s="76">
        <v>149996.155</v>
      </c>
      <c r="S1067" s="53">
        <v>59998.462</v>
      </c>
      <c r="T1067" s="76">
        <v>1432.8391999999999</v>
      </c>
      <c r="U1067" s="76">
        <v>21365.5756</v>
      </c>
      <c r="AM1067" s="76">
        <v>6584600</v>
      </c>
      <c r="AO1067" s="53">
        <f t="shared" si="196"/>
        <v>7012599</v>
      </c>
      <c r="AP1067" s="53">
        <f t="shared" si="196"/>
        <v>1791048.9999999998</v>
      </c>
      <c r="AQ1067" s="53">
        <f t="shared" si="196"/>
        <v>30522250.857142866</v>
      </c>
      <c r="AR1067" s="53">
        <f t="shared" si="196"/>
        <v>0</v>
      </c>
      <c r="AS1067" s="53">
        <f t="shared" si="196"/>
        <v>0</v>
      </c>
      <c r="AT1067" s="53">
        <f t="shared" si="196"/>
        <v>0</v>
      </c>
      <c r="AU1067" s="53">
        <f t="shared" si="196"/>
        <v>0</v>
      </c>
      <c r="AV1067" s="53">
        <f t="shared" si="196"/>
        <v>0</v>
      </c>
      <c r="AW1067" s="53">
        <f t="shared" si="196"/>
        <v>0</v>
      </c>
      <c r="AX1067" s="53">
        <f t="shared" si="197"/>
        <v>228686706.58682635</v>
      </c>
      <c r="AY1067" s="41" t="s">
        <v>557</v>
      </c>
    </row>
    <row r="1068" spans="1:51" x14ac:dyDescent="0.2">
      <c r="A1068" s="41" t="s">
        <v>183</v>
      </c>
      <c r="B1068" s="41">
        <v>1982</v>
      </c>
      <c r="C1068" s="41" t="s">
        <v>96</v>
      </c>
      <c r="D1068" s="41" t="s">
        <v>88</v>
      </c>
      <c r="E1068" s="47">
        <v>57.790368271954677</v>
      </c>
      <c r="F1068" s="41" t="s">
        <v>556</v>
      </c>
      <c r="G1068" s="76">
        <v>3551450</v>
      </c>
      <c r="H1068" s="58">
        <v>2.4300000000000002</v>
      </c>
      <c r="I1068" s="46">
        <v>0.622</v>
      </c>
      <c r="J1068" s="46">
        <v>8.0860000000000003</v>
      </c>
      <c r="R1068" s="76">
        <v>182750</v>
      </c>
      <c r="S1068" s="53">
        <v>73100</v>
      </c>
      <c r="T1068" s="76">
        <v>1656.7514250000002</v>
      </c>
      <c r="U1068" s="76">
        <v>18666.066054999999</v>
      </c>
      <c r="AM1068" s="76">
        <v>7102900</v>
      </c>
      <c r="AO1068" s="53">
        <f t="shared" si="196"/>
        <v>8630023.5</v>
      </c>
      <c r="AP1068" s="53">
        <f t="shared" si="196"/>
        <v>2209001.9</v>
      </c>
      <c r="AQ1068" s="53">
        <f t="shared" si="196"/>
        <v>28717024.699999999</v>
      </c>
      <c r="AR1068" s="53">
        <f t="shared" si="196"/>
        <v>0</v>
      </c>
      <c r="AS1068" s="53">
        <f t="shared" si="196"/>
        <v>0</v>
      </c>
      <c r="AT1068" s="53">
        <f t="shared" si="196"/>
        <v>0</v>
      </c>
      <c r="AU1068" s="53">
        <f t="shared" si="196"/>
        <v>0</v>
      </c>
      <c r="AV1068" s="53">
        <f t="shared" si="196"/>
        <v>0</v>
      </c>
      <c r="AW1068" s="53">
        <f t="shared" si="196"/>
        <v>0</v>
      </c>
      <c r="AX1068" s="53">
        <f t="shared" si="197"/>
        <v>205239603.39943343</v>
      </c>
      <c r="AY1068" s="41" t="s">
        <v>557</v>
      </c>
    </row>
    <row r="1069" spans="1:51" x14ac:dyDescent="0.2">
      <c r="A1069" s="41" t="s">
        <v>183</v>
      </c>
      <c r="B1069" s="41">
        <v>1983</v>
      </c>
      <c r="C1069" s="41" t="s">
        <v>96</v>
      </c>
      <c r="D1069" s="41" t="s">
        <v>88</v>
      </c>
      <c r="E1069" s="47">
        <v>31.090487238979119</v>
      </c>
      <c r="F1069" s="41" t="s">
        <v>556</v>
      </c>
      <c r="G1069" s="76">
        <v>4146400</v>
      </c>
      <c r="H1069" s="58">
        <v>2.2400000000000002</v>
      </c>
      <c r="I1069" s="56">
        <v>0.61878979355585562</v>
      </c>
      <c r="J1069" s="54">
        <v>10.59711005760591</v>
      </c>
      <c r="R1069" s="76">
        <v>196520</v>
      </c>
      <c r="S1069" s="53">
        <v>78608</v>
      </c>
      <c r="T1069" s="76">
        <v>2052.6</v>
      </c>
      <c r="U1069" s="76">
        <v>30757.9</v>
      </c>
      <c r="AM1069" s="76">
        <v>8292800</v>
      </c>
      <c r="AO1069" s="53">
        <f t="shared" si="196"/>
        <v>9287936</v>
      </c>
      <c r="AP1069" s="53">
        <f t="shared" si="196"/>
        <v>2565749.9999999995</v>
      </c>
      <c r="AQ1069" s="53">
        <f t="shared" si="196"/>
        <v>43939857.142857149</v>
      </c>
      <c r="AR1069" s="53">
        <f t="shared" si="196"/>
        <v>0</v>
      </c>
      <c r="AS1069" s="53">
        <f t="shared" si="196"/>
        <v>0</v>
      </c>
      <c r="AT1069" s="53">
        <f t="shared" si="196"/>
        <v>0</v>
      </c>
      <c r="AU1069" s="53">
        <f t="shared" si="196"/>
        <v>0</v>
      </c>
      <c r="AV1069" s="53">
        <f t="shared" si="196"/>
        <v>0</v>
      </c>
      <c r="AW1069" s="53">
        <f t="shared" si="196"/>
        <v>0</v>
      </c>
      <c r="AX1069" s="53">
        <f t="shared" si="197"/>
        <v>128913596.28770302</v>
      </c>
      <c r="AY1069" s="41" t="s">
        <v>557</v>
      </c>
    </row>
    <row r="1070" spans="1:51" x14ac:dyDescent="0.2">
      <c r="A1070" s="41" t="s">
        <v>183</v>
      </c>
      <c r="B1070" s="41">
        <v>1984</v>
      </c>
      <c r="C1070" s="41" t="s">
        <v>96</v>
      </c>
      <c r="D1070" s="41" t="s">
        <v>88</v>
      </c>
      <c r="E1070" s="47">
        <v>14.6</v>
      </c>
      <c r="F1070" s="41" t="s">
        <v>556</v>
      </c>
      <c r="G1070" s="53">
        <v>4781500</v>
      </c>
      <c r="H1070" s="58">
        <v>2.02</v>
      </c>
      <c r="I1070" s="56">
        <v>0.57725086269998949</v>
      </c>
      <c r="J1070" s="54">
        <v>9.8213949597406671</v>
      </c>
      <c r="R1070" s="53">
        <v>190000</v>
      </c>
      <c r="S1070" s="53">
        <v>82509.298739000282</v>
      </c>
      <c r="T1070" s="53">
        <v>2208.1</v>
      </c>
      <c r="U1070" s="53">
        <v>32872.699999999997</v>
      </c>
      <c r="AM1070" s="76">
        <v>9563000</v>
      </c>
      <c r="AO1070" s="53">
        <f t="shared" si="196"/>
        <v>9658630</v>
      </c>
      <c r="AP1070" s="53">
        <f t="shared" si="196"/>
        <v>2760124.9999999995</v>
      </c>
      <c r="AQ1070" s="53">
        <f t="shared" si="196"/>
        <v>46961000</v>
      </c>
      <c r="AR1070" s="53">
        <f t="shared" si="196"/>
        <v>0</v>
      </c>
      <c r="AS1070" s="53">
        <f t="shared" si="196"/>
        <v>0</v>
      </c>
      <c r="AT1070" s="53">
        <f t="shared" si="196"/>
        <v>0</v>
      </c>
      <c r="AU1070" s="53">
        <f t="shared" si="196"/>
        <v>0</v>
      </c>
      <c r="AV1070" s="53">
        <f t="shared" si="196"/>
        <v>0</v>
      </c>
      <c r="AW1070" s="53">
        <f t="shared" si="196"/>
        <v>0</v>
      </c>
      <c r="AX1070" s="53">
        <f t="shared" si="197"/>
        <v>69809900</v>
      </c>
      <c r="AY1070" s="41" t="s">
        <v>557</v>
      </c>
    </row>
    <row r="1071" spans="1:51" x14ac:dyDescent="0.2">
      <c r="A1071" s="41" t="s">
        <v>183</v>
      </c>
      <c r="B1071" s="41">
        <v>1985</v>
      </c>
      <c r="C1071" s="41" t="s">
        <v>96</v>
      </c>
      <c r="D1071" s="41" t="s">
        <v>88</v>
      </c>
      <c r="E1071" s="47">
        <v>17.658349328214971</v>
      </c>
      <c r="F1071" s="41" t="s">
        <v>556</v>
      </c>
      <c r="G1071" s="53">
        <v>5256000</v>
      </c>
      <c r="H1071" s="58">
        <v>2.02</v>
      </c>
      <c r="I1071" s="56">
        <v>0.56211948249619481</v>
      </c>
      <c r="J1071" s="54">
        <v>9.357387475538161</v>
      </c>
      <c r="R1071" s="53">
        <v>233000</v>
      </c>
      <c r="S1071" s="53">
        <v>88723.577973328502</v>
      </c>
      <c r="T1071" s="53">
        <v>2363.6</v>
      </c>
      <c r="U1071" s="53">
        <v>34427.699999999997</v>
      </c>
      <c r="AM1071" s="76">
        <v>10512000</v>
      </c>
      <c r="AO1071" s="53">
        <f t="shared" si="196"/>
        <v>10617120</v>
      </c>
      <c r="AP1071" s="53">
        <f t="shared" si="196"/>
        <v>2954500</v>
      </c>
      <c r="AQ1071" s="53">
        <f t="shared" si="196"/>
        <v>49182428.571428575</v>
      </c>
      <c r="AR1071" s="53">
        <f t="shared" si="196"/>
        <v>0</v>
      </c>
      <c r="AS1071" s="53">
        <f t="shared" si="196"/>
        <v>0</v>
      </c>
      <c r="AT1071" s="53">
        <f t="shared" si="196"/>
        <v>0</v>
      </c>
      <c r="AU1071" s="53">
        <f t="shared" si="196"/>
        <v>0</v>
      </c>
      <c r="AV1071" s="53">
        <f t="shared" si="196"/>
        <v>0</v>
      </c>
      <c r="AW1071" s="53">
        <f t="shared" si="196"/>
        <v>0</v>
      </c>
      <c r="AX1071" s="53">
        <f t="shared" si="197"/>
        <v>92812284.069097891</v>
      </c>
      <c r="AY1071" s="41" t="s">
        <v>557</v>
      </c>
    </row>
    <row r="1072" spans="1:51" x14ac:dyDescent="0.2">
      <c r="A1072" s="41" t="s">
        <v>183</v>
      </c>
      <c r="B1072" s="41">
        <v>1986</v>
      </c>
      <c r="C1072" s="41" t="s">
        <v>96</v>
      </c>
      <c r="D1072" s="41" t="s">
        <v>88</v>
      </c>
      <c r="E1072" s="47">
        <v>11.25</v>
      </c>
      <c r="F1072" s="41" t="s">
        <v>556</v>
      </c>
      <c r="G1072" s="53">
        <v>5511500</v>
      </c>
      <c r="H1072" s="96">
        <v>1.96</v>
      </c>
      <c r="I1072" s="56">
        <v>0.59954186700535239</v>
      </c>
      <c r="J1072" s="54">
        <v>9.7297080131154345</v>
      </c>
      <c r="R1072" s="53">
        <v>251000</v>
      </c>
      <c r="S1072" s="53">
        <v>95799.691554023404</v>
      </c>
      <c r="T1072" s="53">
        <v>2643.5</v>
      </c>
      <c r="U1072" s="53">
        <v>37537.699999999997</v>
      </c>
      <c r="AM1072" s="76">
        <v>11023000</v>
      </c>
      <c r="AO1072" s="53">
        <f t="shared" si="196"/>
        <v>10802540</v>
      </c>
      <c r="AP1072" s="53">
        <f t="shared" si="196"/>
        <v>3304374.9999999995</v>
      </c>
      <c r="AQ1072" s="53">
        <f t="shared" si="196"/>
        <v>53625285.714285716</v>
      </c>
      <c r="AR1072" s="53">
        <f t="shared" si="196"/>
        <v>0</v>
      </c>
      <c r="AS1072" s="53">
        <f t="shared" si="196"/>
        <v>0</v>
      </c>
      <c r="AT1072" s="53">
        <f t="shared" si="196"/>
        <v>0</v>
      </c>
      <c r="AU1072" s="53">
        <f t="shared" si="196"/>
        <v>0</v>
      </c>
      <c r="AV1072" s="53">
        <f t="shared" si="196"/>
        <v>0</v>
      </c>
      <c r="AW1072" s="53">
        <f t="shared" si="196"/>
        <v>0</v>
      </c>
      <c r="AX1072" s="53">
        <f t="shared" si="197"/>
        <v>62004375</v>
      </c>
      <c r="AY1072" s="41" t="s">
        <v>557</v>
      </c>
    </row>
    <row r="1073" spans="1:51" x14ac:dyDescent="0.2">
      <c r="A1073" s="41" t="s">
        <v>183</v>
      </c>
      <c r="B1073" s="41">
        <v>1987</v>
      </c>
      <c r="C1073" s="41" t="s">
        <v>96</v>
      </c>
      <c r="D1073" s="41" t="s">
        <v>88</v>
      </c>
      <c r="E1073" s="47">
        <v>7.0261437908496731</v>
      </c>
      <c r="F1073" s="41" t="s">
        <v>556</v>
      </c>
      <c r="G1073" s="53">
        <v>5975000</v>
      </c>
      <c r="H1073" s="96">
        <v>1.92</v>
      </c>
      <c r="I1073" s="96">
        <v>0.65</v>
      </c>
      <c r="J1073" s="96">
        <v>10.4</v>
      </c>
      <c r="R1073" s="53">
        <v>259000</v>
      </c>
      <c r="S1073" s="53">
        <v>102059.33049079198</v>
      </c>
      <c r="T1073" s="53">
        <v>2861.2</v>
      </c>
      <c r="U1073" s="53">
        <v>41798.400000000001</v>
      </c>
      <c r="AM1073" s="76">
        <v>11950000</v>
      </c>
      <c r="AO1073" s="53">
        <f t="shared" si="196"/>
        <v>11472000</v>
      </c>
      <c r="AP1073" s="53">
        <f t="shared" si="196"/>
        <v>3883750</v>
      </c>
      <c r="AQ1073" s="53">
        <f t="shared" si="196"/>
        <v>62140000</v>
      </c>
      <c r="AR1073" s="53">
        <f t="shared" si="196"/>
        <v>0</v>
      </c>
      <c r="AS1073" s="53">
        <f t="shared" si="196"/>
        <v>0</v>
      </c>
      <c r="AT1073" s="53">
        <f t="shared" si="196"/>
        <v>0</v>
      </c>
      <c r="AU1073" s="53">
        <f t="shared" si="196"/>
        <v>0</v>
      </c>
      <c r="AV1073" s="53">
        <f t="shared" si="196"/>
        <v>0</v>
      </c>
      <c r="AW1073" s="53">
        <f t="shared" si="196"/>
        <v>0</v>
      </c>
      <c r="AX1073" s="53">
        <f t="shared" si="197"/>
        <v>41981209.150326796</v>
      </c>
      <c r="AY1073" s="41" t="s">
        <v>557</v>
      </c>
    </row>
    <row r="1074" spans="1:51" x14ac:dyDescent="0.2">
      <c r="A1074" s="41" t="s">
        <v>183</v>
      </c>
      <c r="B1074" s="41">
        <v>1988</v>
      </c>
      <c r="C1074" s="41" t="s">
        <v>96</v>
      </c>
      <c r="D1074" s="41" t="s">
        <v>88</v>
      </c>
      <c r="E1074" s="47">
        <v>4.6920821114369504</v>
      </c>
      <c r="F1074" s="41" t="s">
        <v>556</v>
      </c>
      <c r="G1074" s="53">
        <v>6812000</v>
      </c>
      <c r="H1074" s="96">
        <v>2.0499999999999998</v>
      </c>
      <c r="I1074" s="96">
        <v>0.66</v>
      </c>
      <c r="J1074" s="96">
        <v>11.4</v>
      </c>
      <c r="R1074" s="53">
        <v>294000</v>
      </c>
      <c r="S1074" s="53">
        <v>121473.28313526264</v>
      </c>
      <c r="T1074" s="53">
        <v>3514.3</v>
      </c>
      <c r="U1074" s="53">
        <v>50133.2</v>
      </c>
      <c r="AM1074" s="76">
        <v>13624000</v>
      </c>
      <c r="AO1074" s="53">
        <f t="shared" si="196"/>
        <v>13964599.999999998</v>
      </c>
      <c r="AP1074" s="53">
        <f t="shared" si="196"/>
        <v>4495920</v>
      </c>
      <c r="AQ1074" s="53">
        <f t="shared" si="196"/>
        <v>77656800</v>
      </c>
      <c r="AR1074" s="53">
        <f t="shared" si="196"/>
        <v>0</v>
      </c>
      <c r="AS1074" s="53">
        <f t="shared" si="196"/>
        <v>0</v>
      </c>
      <c r="AT1074" s="53">
        <f t="shared" si="196"/>
        <v>0</v>
      </c>
      <c r="AU1074" s="53">
        <f t="shared" si="196"/>
        <v>0</v>
      </c>
      <c r="AV1074" s="53">
        <f t="shared" si="196"/>
        <v>0</v>
      </c>
      <c r="AW1074" s="53">
        <f t="shared" si="196"/>
        <v>0</v>
      </c>
      <c r="AX1074" s="53">
        <f t="shared" si="197"/>
        <v>31962463.343108505</v>
      </c>
      <c r="AY1074" s="41" t="s">
        <v>557</v>
      </c>
    </row>
    <row r="1075" spans="1:51" x14ac:dyDescent="0.2">
      <c r="A1075" s="41" t="s">
        <v>183</v>
      </c>
      <c r="B1075" s="41">
        <v>1989</v>
      </c>
      <c r="C1075" s="41" t="s">
        <v>96</v>
      </c>
      <c r="D1075" s="41" t="s">
        <v>88</v>
      </c>
      <c r="E1075" s="47">
        <v>0.7946562248070943</v>
      </c>
      <c r="F1075" s="41" t="s">
        <v>556</v>
      </c>
      <c r="G1075" s="53">
        <v>9009000</v>
      </c>
      <c r="H1075" s="41">
        <v>1.84</v>
      </c>
      <c r="I1075" s="88">
        <v>0.6</v>
      </c>
      <c r="J1075" s="96">
        <v>10.3</v>
      </c>
      <c r="R1075" s="93">
        <v>332000</v>
      </c>
      <c r="S1075" s="93">
        <v>143971.69554567721</v>
      </c>
      <c r="T1075" s="53">
        <v>4322.8999999999996</v>
      </c>
      <c r="U1075" s="53">
        <v>61298.1</v>
      </c>
      <c r="AM1075" s="53">
        <v>3000000</v>
      </c>
      <c r="AO1075" s="53">
        <f t="shared" si="196"/>
        <v>16576560</v>
      </c>
      <c r="AP1075" s="53">
        <f t="shared" si="196"/>
        <v>5405400</v>
      </c>
      <c r="AQ1075" s="53">
        <f t="shared" si="196"/>
        <v>92792700</v>
      </c>
      <c r="AR1075" s="53">
        <f t="shared" si="196"/>
        <v>0</v>
      </c>
      <c r="AS1075" s="53">
        <f t="shared" si="196"/>
        <v>0</v>
      </c>
      <c r="AT1075" s="53">
        <f t="shared" si="196"/>
        <v>0</v>
      </c>
      <c r="AU1075" s="53">
        <f t="shared" si="196"/>
        <v>0</v>
      </c>
      <c r="AV1075" s="53">
        <f t="shared" si="196"/>
        <v>0</v>
      </c>
      <c r="AW1075" s="53">
        <f t="shared" si="196"/>
        <v>0</v>
      </c>
      <c r="AX1075" s="53">
        <f t="shared" si="197"/>
        <v>7159057.9292871123</v>
      </c>
      <c r="AY1075" s="41" t="s">
        <v>557</v>
      </c>
    </row>
    <row r="1076" spans="1:51" x14ac:dyDescent="0.2">
      <c r="A1076" s="41" t="s">
        <v>183</v>
      </c>
      <c r="B1076" s="41">
        <v>1990</v>
      </c>
      <c r="C1076" s="41" t="s">
        <v>96</v>
      </c>
      <c r="D1076" s="41" t="s">
        <v>88</v>
      </c>
      <c r="E1076" s="47">
        <v>40.74074074074074</v>
      </c>
      <c r="F1076" s="41" t="s">
        <v>556</v>
      </c>
      <c r="G1076" s="53">
        <v>11569000</v>
      </c>
      <c r="H1076" s="41">
        <v>1.61</v>
      </c>
      <c r="I1076" s="41">
        <v>0.98</v>
      </c>
      <c r="J1076" s="41">
        <v>6.96</v>
      </c>
      <c r="R1076" s="93">
        <v>437000</v>
      </c>
      <c r="S1076" s="93">
        <v>164111.40342919351</v>
      </c>
      <c r="T1076" s="93">
        <v>8832.4</v>
      </c>
      <c r="U1076" s="93">
        <v>54393.9</v>
      </c>
      <c r="AM1076" s="53">
        <v>13700000</v>
      </c>
      <c r="AO1076" s="53">
        <f t="shared" si="196"/>
        <v>18626090</v>
      </c>
      <c r="AP1076" s="53">
        <f t="shared" si="196"/>
        <v>11337620</v>
      </c>
      <c r="AQ1076" s="53">
        <f t="shared" si="196"/>
        <v>80520240</v>
      </c>
      <c r="AR1076" s="53">
        <f t="shared" si="196"/>
        <v>0</v>
      </c>
      <c r="AS1076" s="53">
        <f t="shared" si="196"/>
        <v>0</v>
      </c>
      <c r="AT1076" s="53">
        <f t="shared" si="196"/>
        <v>0</v>
      </c>
      <c r="AU1076" s="53">
        <f t="shared" si="196"/>
        <v>0</v>
      </c>
      <c r="AV1076" s="53">
        <f t="shared" si="196"/>
        <v>0</v>
      </c>
      <c r="AW1076" s="53">
        <f t="shared" si="196"/>
        <v>0</v>
      </c>
      <c r="AX1076" s="53">
        <f t="shared" si="197"/>
        <v>471329629.62962961</v>
      </c>
      <c r="AY1076" s="41" t="s">
        <v>557</v>
      </c>
    </row>
    <row r="1077" spans="1:51" x14ac:dyDescent="0.2">
      <c r="A1077" s="41" t="s">
        <v>183</v>
      </c>
      <c r="B1077" s="41">
        <v>1991</v>
      </c>
      <c r="C1077" s="41" t="s">
        <v>96</v>
      </c>
      <c r="D1077" s="41" t="s">
        <v>88</v>
      </c>
      <c r="E1077" s="47">
        <v>64</v>
      </c>
      <c r="F1077" s="41" t="s">
        <v>556</v>
      </c>
      <c r="G1077" s="53">
        <v>13956000</v>
      </c>
      <c r="H1077" s="41">
        <v>1.77</v>
      </c>
      <c r="I1077" s="41">
        <v>1.23</v>
      </c>
      <c r="J1077" s="88">
        <v>5.9</v>
      </c>
      <c r="R1077" s="76">
        <v>520870.53571428568</v>
      </c>
      <c r="S1077" s="53">
        <v>208348.21428571429</v>
      </c>
      <c r="T1077" s="53">
        <v>13086.88</v>
      </c>
      <c r="U1077" s="53">
        <v>48761.69</v>
      </c>
      <c r="AM1077" s="53">
        <v>32700000</v>
      </c>
      <c r="AO1077" s="53">
        <f t="shared" si="196"/>
        <v>24702120</v>
      </c>
      <c r="AP1077" s="53">
        <f t="shared" si="196"/>
        <v>17165880</v>
      </c>
      <c r="AQ1077" s="53">
        <f t="shared" si="196"/>
        <v>82340400</v>
      </c>
      <c r="AR1077" s="53">
        <f t="shared" si="196"/>
        <v>0</v>
      </c>
      <c r="AS1077" s="53">
        <f t="shared" si="196"/>
        <v>0</v>
      </c>
      <c r="AT1077" s="53">
        <f t="shared" si="196"/>
        <v>0</v>
      </c>
      <c r="AU1077" s="53">
        <f t="shared" si="196"/>
        <v>0</v>
      </c>
      <c r="AV1077" s="53">
        <f t="shared" si="196"/>
        <v>0</v>
      </c>
      <c r="AW1077" s="53">
        <f t="shared" si="196"/>
        <v>0</v>
      </c>
      <c r="AX1077" s="53">
        <f t="shared" si="197"/>
        <v>893184000</v>
      </c>
      <c r="AY1077" s="41" t="s">
        <v>557</v>
      </c>
    </row>
    <row r="1078" spans="1:51" x14ac:dyDescent="0.2">
      <c r="A1078" s="41" t="s">
        <v>183</v>
      </c>
      <c r="B1078" s="41">
        <v>1992</v>
      </c>
      <c r="C1078" s="41" t="s">
        <v>96</v>
      </c>
      <c r="D1078" s="41" t="s">
        <v>88</v>
      </c>
      <c r="E1078" s="47">
        <v>72.985781990521332</v>
      </c>
      <c r="F1078" s="41" t="s">
        <v>556</v>
      </c>
      <c r="G1078" s="53">
        <v>21070000</v>
      </c>
      <c r="H1078" s="41">
        <v>1.59</v>
      </c>
      <c r="I1078" s="41">
        <v>1.35</v>
      </c>
      <c r="J1078" s="46">
        <v>4.79</v>
      </c>
      <c r="R1078" s="76">
        <v>690959.82142857136</v>
      </c>
      <c r="S1078" s="53">
        <v>276383.92857142858</v>
      </c>
      <c r="T1078" s="53">
        <v>19935.099999999999</v>
      </c>
      <c r="U1078" s="53">
        <v>51081.75</v>
      </c>
      <c r="AM1078" s="53">
        <v>44300000</v>
      </c>
      <c r="AO1078" s="53">
        <f t="shared" si="196"/>
        <v>33501300</v>
      </c>
      <c r="AP1078" s="53">
        <f t="shared" si="196"/>
        <v>28444500.000000004</v>
      </c>
      <c r="AQ1078" s="53">
        <f t="shared" si="196"/>
        <v>100925300</v>
      </c>
      <c r="AR1078" s="53">
        <f t="shared" si="196"/>
        <v>0</v>
      </c>
      <c r="AS1078" s="53">
        <f t="shared" si="196"/>
        <v>0</v>
      </c>
      <c r="AT1078" s="53">
        <f t="shared" si="196"/>
        <v>0</v>
      </c>
      <c r="AU1078" s="53">
        <f t="shared" si="196"/>
        <v>0</v>
      </c>
      <c r="AV1078" s="53">
        <f t="shared" si="196"/>
        <v>0</v>
      </c>
      <c r="AW1078" s="53">
        <f t="shared" si="196"/>
        <v>0</v>
      </c>
      <c r="AX1078" s="53">
        <f t="shared" si="197"/>
        <v>1537810426.5402844</v>
      </c>
      <c r="AY1078" s="41" t="s">
        <v>557</v>
      </c>
    </row>
    <row r="1079" spans="1:51" x14ac:dyDescent="0.2">
      <c r="A1079" s="41" t="s">
        <v>183</v>
      </c>
      <c r="B1079" s="41">
        <v>1993</v>
      </c>
      <c r="C1079" s="41" t="s">
        <v>96</v>
      </c>
      <c r="D1079" s="41" t="s">
        <v>88</v>
      </c>
      <c r="E1079" s="47">
        <v>81.818181818181813</v>
      </c>
      <c r="F1079" s="41" t="s">
        <v>556</v>
      </c>
      <c r="G1079" s="53">
        <v>22739500</v>
      </c>
      <c r="H1079" s="41">
        <v>1.57</v>
      </c>
      <c r="I1079" s="41">
        <v>1.46</v>
      </c>
      <c r="J1079" s="46">
        <v>4.0199999999999996</v>
      </c>
      <c r="R1079" s="76">
        <v>734821.42857142852</v>
      </c>
      <c r="S1079" s="53">
        <v>293928.57142857142</v>
      </c>
      <c r="T1079" s="53">
        <v>24466.37</v>
      </c>
      <c r="U1079" s="53">
        <v>47931.32</v>
      </c>
      <c r="AM1079" s="53">
        <v>81100000</v>
      </c>
      <c r="AO1079" s="53">
        <f t="shared" si="196"/>
        <v>35701015</v>
      </c>
      <c r="AP1079" s="53">
        <f t="shared" si="196"/>
        <v>33199670</v>
      </c>
      <c r="AQ1079" s="53">
        <f t="shared" si="196"/>
        <v>91412789.999999985</v>
      </c>
      <c r="AR1079" s="53">
        <f t="shared" si="196"/>
        <v>0</v>
      </c>
      <c r="AS1079" s="53">
        <f t="shared" si="196"/>
        <v>0</v>
      </c>
      <c r="AT1079" s="53">
        <f t="shared" si="196"/>
        <v>0</v>
      </c>
      <c r="AU1079" s="53">
        <f t="shared" si="196"/>
        <v>0</v>
      </c>
      <c r="AV1079" s="53">
        <f t="shared" si="196"/>
        <v>0</v>
      </c>
      <c r="AW1079" s="53">
        <f t="shared" si="196"/>
        <v>0</v>
      </c>
      <c r="AX1079" s="53">
        <f t="shared" si="197"/>
        <v>1860504545.4545453</v>
      </c>
      <c r="AY1079" s="41" t="s">
        <v>557</v>
      </c>
    </row>
    <row r="1080" spans="1:51" x14ac:dyDescent="0.2">
      <c r="A1080" s="41" t="s">
        <v>183</v>
      </c>
      <c r="B1080" s="41">
        <v>1994</v>
      </c>
      <c r="C1080" s="41" t="s">
        <v>96</v>
      </c>
      <c r="D1080" s="41" t="s">
        <v>88</v>
      </c>
      <c r="E1080" s="47">
        <v>97.491039426523301</v>
      </c>
      <c r="F1080" s="41" t="s">
        <v>556</v>
      </c>
      <c r="G1080" s="53">
        <v>26462500</v>
      </c>
      <c r="H1080" s="41">
        <v>1.51</v>
      </c>
      <c r="I1080" s="41">
        <v>1.31</v>
      </c>
      <c r="J1080" s="46">
        <v>3.02</v>
      </c>
      <c r="R1080" s="76">
        <v>805474.91608455044</v>
      </c>
      <c r="S1080" s="53">
        <v>322189.9664338202</v>
      </c>
      <c r="T1080" s="53">
        <v>24382.400000000001</v>
      </c>
      <c r="U1080" s="53">
        <v>40597.94</v>
      </c>
      <c r="AM1080" s="53">
        <v>122600000</v>
      </c>
      <c r="AO1080" s="53">
        <f t="shared" si="196"/>
        <v>39958375</v>
      </c>
      <c r="AP1080" s="53">
        <f t="shared" si="196"/>
        <v>34665875</v>
      </c>
      <c r="AQ1080" s="53">
        <f t="shared" si="196"/>
        <v>79916750</v>
      </c>
      <c r="AR1080" s="53">
        <f t="shared" si="196"/>
        <v>0</v>
      </c>
      <c r="AS1080" s="53">
        <f t="shared" si="196"/>
        <v>0</v>
      </c>
      <c r="AT1080" s="53">
        <f t="shared" si="196"/>
        <v>0</v>
      </c>
      <c r="AU1080" s="53">
        <f t="shared" si="196"/>
        <v>0</v>
      </c>
      <c r="AV1080" s="53">
        <f t="shared" si="196"/>
        <v>0</v>
      </c>
      <c r="AW1080" s="53">
        <f t="shared" si="196"/>
        <v>0</v>
      </c>
      <c r="AX1080" s="53">
        <f t="shared" si="197"/>
        <v>2579856630.8243728</v>
      </c>
      <c r="AY1080" s="41" t="s">
        <v>557</v>
      </c>
    </row>
    <row r="1081" spans="1:51" x14ac:dyDescent="0.2">
      <c r="A1081" s="41" t="s">
        <v>183</v>
      </c>
      <c r="B1081" s="41">
        <v>1995</v>
      </c>
      <c r="C1081" s="41" t="s">
        <v>96</v>
      </c>
      <c r="D1081" s="41" t="s">
        <v>88</v>
      </c>
      <c r="E1081" s="47">
        <v>94.033412887828163</v>
      </c>
      <c r="F1081" s="41" t="s">
        <v>556</v>
      </c>
      <c r="G1081" s="53">
        <v>40843500</v>
      </c>
      <c r="H1081" s="41">
        <v>1.32</v>
      </c>
      <c r="I1081" s="41">
        <v>1.39</v>
      </c>
      <c r="J1081" s="46">
        <v>3.17</v>
      </c>
      <c r="R1081" s="76">
        <v>1109044.7246666062</v>
      </c>
      <c r="S1081" s="53">
        <v>443617.88986664248</v>
      </c>
      <c r="T1081" s="53">
        <v>40753.440000000002</v>
      </c>
      <c r="U1081" s="53">
        <v>71623.3</v>
      </c>
      <c r="AM1081" s="53">
        <v>150100000</v>
      </c>
      <c r="AO1081" s="53">
        <f t="shared" si="196"/>
        <v>53913420</v>
      </c>
      <c r="AP1081" s="53">
        <f t="shared" si="196"/>
        <v>56772464.999999993</v>
      </c>
      <c r="AQ1081" s="53">
        <f t="shared" si="196"/>
        <v>129473895</v>
      </c>
      <c r="AR1081" s="53">
        <f t="shared" si="196"/>
        <v>0</v>
      </c>
      <c r="AS1081" s="53">
        <f t="shared" si="196"/>
        <v>0</v>
      </c>
      <c r="AT1081" s="53">
        <f t="shared" si="196"/>
        <v>0</v>
      </c>
      <c r="AU1081" s="53">
        <f t="shared" si="196"/>
        <v>0</v>
      </c>
      <c r="AV1081" s="53">
        <f t="shared" si="196"/>
        <v>0</v>
      </c>
      <c r="AW1081" s="53">
        <f t="shared" si="196"/>
        <v>0</v>
      </c>
      <c r="AX1081" s="53">
        <f t="shared" si="197"/>
        <v>3840653699.2840095</v>
      </c>
      <c r="AY1081" s="41" t="s">
        <v>557</v>
      </c>
    </row>
    <row r="1082" spans="1:51" x14ac:dyDescent="0.2">
      <c r="A1082" s="41" t="s">
        <v>183</v>
      </c>
      <c r="B1082" s="41">
        <v>1996</v>
      </c>
      <c r="C1082" s="41" t="s">
        <v>96</v>
      </c>
      <c r="D1082" s="41" t="s">
        <v>88</v>
      </c>
      <c r="E1082" s="47">
        <v>91.973969631236443</v>
      </c>
      <c r="F1082" s="41" t="s">
        <v>556</v>
      </c>
      <c r="G1082" s="53">
        <v>46501000</v>
      </c>
      <c r="H1082" s="41">
        <v>1.35</v>
      </c>
      <c r="I1082" s="41">
        <v>1.52</v>
      </c>
      <c r="J1082" s="46">
        <v>3.1</v>
      </c>
      <c r="R1082" s="76">
        <v>1268710.8772566451</v>
      </c>
      <c r="S1082" s="53">
        <v>507484.35090265807</v>
      </c>
      <c r="T1082" s="53">
        <v>52720.72</v>
      </c>
      <c r="U1082" s="53">
        <v>73414.66</v>
      </c>
      <c r="AM1082" s="53">
        <v>151300000</v>
      </c>
      <c r="AO1082" s="53">
        <f t="shared" si="196"/>
        <v>62776350.000000007</v>
      </c>
      <c r="AP1082" s="53">
        <f t="shared" si="196"/>
        <v>70681520</v>
      </c>
      <c r="AQ1082" s="53">
        <f t="shared" si="196"/>
        <v>144153100</v>
      </c>
      <c r="AR1082" s="53">
        <f t="shared" si="196"/>
        <v>0</v>
      </c>
      <c r="AS1082" s="53">
        <f t="shared" si="196"/>
        <v>0</v>
      </c>
      <c r="AT1082" s="53">
        <f t="shared" si="196"/>
        <v>0</v>
      </c>
      <c r="AU1082" s="53">
        <f t="shared" si="196"/>
        <v>0</v>
      </c>
      <c r="AV1082" s="53">
        <f t="shared" si="196"/>
        <v>0</v>
      </c>
      <c r="AW1082" s="53">
        <f t="shared" si="196"/>
        <v>0</v>
      </c>
      <c r="AX1082" s="53">
        <f t="shared" si="197"/>
        <v>4276881561.8221259</v>
      </c>
      <c r="AY1082" s="41" t="s">
        <v>557</v>
      </c>
    </row>
    <row r="1083" spans="1:51" x14ac:dyDescent="0.2">
      <c r="A1083" s="41" t="s">
        <v>183</v>
      </c>
      <c r="B1083" s="41">
        <v>1997</v>
      </c>
      <c r="C1083" s="41" t="s">
        <v>96</v>
      </c>
      <c r="D1083" s="41" t="s">
        <v>88</v>
      </c>
      <c r="E1083" s="47">
        <v>91.942148760330582</v>
      </c>
      <c r="F1083" s="41" t="s">
        <v>556</v>
      </c>
      <c r="G1083" s="93">
        <v>46939000</v>
      </c>
      <c r="H1083" s="62">
        <v>1.37</v>
      </c>
      <c r="I1083" s="62">
        <v>1.51</v>
      </c>
      <c r="J1083" s="62">
        <v>3.11</v>
      </c>
      <c r="R1083" s="76">
        <v>1322802.3224167649</v>
      </c>
      <c r="S1083" s="93">
        <v>529120.92896670604</v>
      </c>
      <c r="T1083" s="93">
        <v>55927.13</v>
      </c>
      <c r="U1083" s="93">
        <v>79886.570000000007</v>
      </c>
      <c r="AM1083" s="53">
        <v>149800000</v>
      </c>
      <c r="AO1083" s="53">
        <f t="shared" si="196"/>
        <v>64306430.000000007</v>
      </c>
      <c r="AP1083" s="53">
        <f t="shared" si="196"/>
        <v>70877890</v>
      </c>
      <c r="AQ1083" s="53">
        <f t="shared" si="196"/>
        <v>145980290</v>
      </c>
      <c r="AR1083" s="53">
        <f t="shared" si="196"/>
        <v>0</v>
      </c>
      <c r="AS1083" s="53">
        <f t="shared" si="196"/>
        <v>0</v>
      </c>
      <c r="AT1083" s="53">
        <f t="shared" si="196"/>
        <v>0</v>
      </c>
      <c r="AU1083" s="53">
        <f t="shared" si="196"/>
        <v>0</v>
      </c>
      <c r="AV1083" s="53">
        <f t="shared" si="196"/>
        <v>0</v>
      </c>
      <c r="AW1083" s="53">
        <f t="shared" si="196"/>
        <v>0</v>
      </c>
      <c r="AX1083" s="53">
        <f t="shared" si="197"/>
        <v>4315672520.6611576</v>
      </c>
      <c r="AY1083" s="41" t="s">
        <v>557</v>
      </c>
    </row>
    <row r="1084" spans="1:51" x14ac:dyDescent="0.2">
      <c r="A1084" s="41" t="s">
        <v>183</v>
      </c>
      <c r="B1084" s="41">
        <v>1998</v>
      </c>
      <c r="C1084" s="41" t="s">
        <v>96</v>
      </c>
      <c r="D1084" s="41" t="s">
        <v>88</v>
      </c>
      <c r="E1084" s="47">
        <v>93.184979137691229</v>
      </c>
      <c r="F1084" s="41" t="s">
        <v>556</v>
      </c>
      <c r="G1084" s="93">
        <v>71702000</v>
      </c>
      <c r="H1084" s="88">
        <v>1.3</v>
      </c>
      <c r="I1084" s="62">
        <v>1.49</v>
      </c>
      <c r="J1084" s="62">
        <v>3.17</v>
      </c>
      <c r="R1084" s="76">
        <v>2022750</v>
      </c>
      <c r="S1084" s="93">
        <v>809100</v>
      </c>
      <c r="T1084" s="93">
        <v>91029.7</v>
      </c>
      <c r="U1084" s="93">
        <v>163306.1</v>
      </c>
      <c r="AM1084" s="53">
        <v>125400000</v>
      </c>
      <c r="AO1084" s="53">
        <f t="shared" si="196"/>
        <v>93212600</v>
      </c>
      <c r="AP1084" s="53">
        <f t="shared" si="196"/>
        <v>106835980</v>
      </c>
      <c r="AQ1084" s="53">
        <f t="shared" si="196"/>
        <v>227295340</v>
      </c>
      <c r="AR1084" s="53">
        <f t="shared" si="196"/>
        <v>0</v>
      </c>
      <c r="AS1084" s="53">
        <f t="shared" si="196"/>
        <v>0</v>
      </c>
      <c r="AT1084" s="53">
        <f t="shared" si="196"/>
        <v>0</v>
      </c>
      <c r="AU1084" s="53">
        <f t="shared" si="196"/>
        <v>0</v>
      </c>
      <c r="AV1084" s="53">
        <f t="shared" si="196"/>
        <v>0</v>
      </c>
      <c r="AW1084" s="53">
        <f t="shared" si="196"/>
        <v>0</v>
      </c>
      <c r="AX1084" s="53">
        <f t="shared" si="197"/>
        <v>6681549374.1307364</v>
      </c>
      <c r="AY1084" s="41" t="s">
        <v>557</v>
      </c>
    </row>
    <row r="1085" spans="1:51" x14ac:dyDescent="0.2">
      <c r="A1085" s="41" t="s">
        <v>183</v>
      </c>
      <c r="B1085" s="41">
        <v>1999</v>
      </c>
      <c r="C1085" s="41" t="s">
        <v>96</v>
      </c>
      <c r="D1085" s="41" t="s">
        <v>88</v>
      </c>
      <c r="E1085" s="47">
        <v>92.102065613608758</v>
      </c>
      <c r="F1085" s="41" t="s">
        <v>556</v>
      </c>
      <c r="G1085" s="93">
        <v>80561000</v>
      </c>
      <c r="H1085" s="62">
        <v>1.1200000000000001</v>
      </c>
      <c r="I1085" s="62">
        <v>1.37</v>
      </c>
      <c r="J1085" s="62">
        <v>2.78</v>
      </c>
      <c r="R1085" s="76">
        <v>1916250</v>
      </c>
      <c r="S1085" s="93">
        <v>766500</v>
      </c>
      <c r="T1085" s="93">
        <v>95974.6</v>
      </c>
      <c r="U1085" s="93">
        <v>152918.70000000001</v>
      </c>
      <c r="AM1085" s="53">
        <v>141300000</v>
      </c>
      <c r="AO1085" s="53">
        <f t="shared" si="196"/>
        <v>90228320.000000015</v>
      </c>
      <c r="AP1085" s="53">
        <f t="shared" si="196"/>
        <v>110368570.00000001</v>
      </c>
      <c r="AQ1085" s="53">
        <f t="shared" si="196"/>
        <v>223959579.99999997</v>
      </c>
      <c r="AR1085" s="53">
        <f t="shared" si="196"/>
        <v>0</v>
      </c>
      <c r="AS1085" s="53">
        <f t="shared" si="196"/>
        <v>0</v>
      </c>
      <c r="AT1085" s="53">
        <f t="shared" si="196"/>
        <v>0</v>
      </c>
      <c r="AU1085" s="53">
        <f t="shared" si="196"/>
        <v>0</v>
      </c>
      <c r="AV1085" s="53">
        <f t="shared" si="196"/>
        <v>0</v>
      </c>
      <c r="AW1085" s="53">
        <f t="shared" si="196"/>
        <v>0</v>
      </c>
      <c r="AX1085" s="53">
        <f t="shared" si="197"/>
        <v>7419834507.8979349</v>
      </c>
      <c r="AY1085" s="41" t="s">
        <v>557</v>
      </c>
    </row>
    <row r="1086" spans="1:51" x14ac:dyDescent="0.2">
      <c r="A1086" s="41" t="s">
        <v>183</v>
      </c>
      <c r="B1086" s="41">
        <v>2000</v>
      </c>
      <c r="C1086" s="41" t="s">
        <v>96</v>
      </c>
      <c r="D1086" s="41" t="s">
        <v>88</v>
      </c>
      <c r="E1086" s="47">
        <v>99.695749440715886</v>
      </c>
      <c r="F1086" s="41" t="s">
        <v>556</v>
      </c>
      <c r="G1086" s="93">
        <v>81803000</v>
      </c>
      <c r="H1086" s="62">
        <v>1.07</v>
      </c>
      <c r="I1086" s="88">
        <v>1.1000000000000001</v>
      </c>
      <c r="J1086" s="62">
        <v>2.97</v>
      </c>
      <c r="R1086" s="76">
        <v>1923250</v>
      </c>
      <c r="S1086" s="93">
        <v>769300</v>
      </c>
      <c r="T1086" s="93">
        <v>75759.600000000006</v>
      </c>
      <c r="U1086" s="93">
        <v>155033.5</v>
      </c>
      <c r="AM1086" s="53">
        <v>161500000</v>
      </c>
      <c r="AO1086" s="53">
        <f t="shared" si="196"/>
        <v>87529210</v>
      </c>
      <c r="AP1086" s="53">
        <f t="shared" si="196"/>
        <v>89983300</v>
      </c>
      <c r="AQ1086" s="53">
        <f t="shared" si="196"/>
        <v>242954910.00000003</v>
      </c>
      <c r="AR1086" s="53">
        <f t="shared" ref="AR1086:AW1102" si="198">$G1086*K1086</f>
        <v>0</v>
      </c>
      <c r="AS1086" s="53">
        <f t="shared" si="198"/>
        <v>0</v>
      </c>
      <c r="AT1086" s="53">
        <f t="shared" si="198"/>
        <v>0</v>
      </c>
      <c r="AU1086" s="53">
        <f t="shared" si="198"/>
        <v>0</v>
      </c>
      <c r="AV1086" s="53">
        <f t="shared" si="198"/>
        <v>0</v>
      </c>
      <c r="AW1086" s="53">
        <f t="shared" si="198"/>
        <v>0</v>
      </c>
      <c r="AX1086" s="53">
        <f t="shared" si="197"/>
        <v>8155411391.4988813</v>
      </c>
      <c r="AY1086" s="41" t="s">
        <v>557</v>
      </c>
    </row>
    <row r="1087" spans="1:51" x14ac:dyDescent="0.2">
      <c r="A1087" s="41" t="s">
        <v>183</v>
      </c>
      <c r="B1087" s="41">
        <v>2001</v>
      </c>
      <c r="C1087" s="41" t="s">
        <v>96</v>
      </c>
      <c r="D1087" s="41" t="s">
        <v>88</v>
      </c>
      <c r="E1087" s="47">
        <v>88.898233809924307</v>
      </c>
      <c r="F1087" s="41" t="s">
        <v>556</v>
      </c>
      <c r="G1087" s="93">
        <v>86787000</v>
      </c>
      <c r="H1087" s="88">
        <v>1</v>
      </c>
      <c r="I1087" s="62">
        <v>1.41</v>
      </c>
      <c r="J1087" s="88">
        <v>3.2</v>
      </c>
      <c r="R1087" s="76">
        <v>1873500</v>
      </c>
      <c r="S1087" s="93">
        <v>749400</v>
      </c>
      <c r="T1087" s="93">
        <v>111835.6</v>
      </c>
      <c r="U1087" s="93">
        <v>172449.5</v>
      </c>
      <c r="AM1087" s="76">
        <v>173574000</v>
      </c>
      <c r="AO1087" s="53">
        <f t="shared" ref="AO1087:AQ1102" si="199">$G1087*H1087</f>
        <v>86787000</v>
      </c>
      <c r="AP1087" s="53">
        <f t="shared" si="199"/>
        <v>122369670</v>
      </c>
      <c r="AQ1087" s="53">
        <f t="shared" si="199"/>
        <v>277718400</v>
      </c>
      <c r="AR1087" s="53">
        <f t="shared" si="198"/>
        <v>0</v>
      </c>
      <c r="AS1087" s="53">
        <f t="shared" si="198"/>
        <v>0</v>
      </c>
      <c r="AT1087" s="53">
        <f t="shared" si="198"/>
        <v>0</v>
      </c>
      <c r="AU1087" s="53">
        <f t="shared" si="198"/>
        <v>0</v>
      </c>
      <c r="AV1087" s="53">
        <f t="shared" si="198"/>
        <v>0</v>
      </c>
      <c r="AW1087" s="53">
        <f t="shared" si="198"/>
        <v>0</v>
      </c>
      <c r="AX1087" s="53">
        <f t="shared" si="197"/>
        <v>7715211017.6619005</v>
      </c>
      <c r="AY1087" s="41" t="s">
        <v>557</v>
      </c>
    </row>
    <row r="1088" spans="1:51" x14ac:dyDescent="0.2">
      <c r="A1088" s="41" t="s">
        <v>183</v>
      </c>
      <c r="B1088" s="41">
        <v>2002</v>
      </c>
      <c r="C1088" s="41" t="s">
        <v>96</v>
      </c>
      <c r="D1088" s="41" t="s">
        <v>88</v>
      </c>
      <c r="E1088" s="47">
        <v>82.555178268251268</v>
      </c>
      <c r="F1088" s="41" t="s">
        <v>556</v>
      </c>
      <c r="G1088" s="93">
        <v>86001000</v>
      </c>
      <c r="H1088" s="62">
        <v>1.1399999999999999</v>
      </c>
      <c r="I1088" s="62">
        <v>1.24</v>
      </c>
      <c r="J1088" s="88">
        <v>3.6</v>
      </c>
      <c r="R1088" s="76">
        <v>2161000</v>
      </c>
      <c r="S1088" s="93">
        <v>864400</v>
      </c>
      <c r="T1088" s="93">
        <v>94233</v>
      </c>
      <c r="U1088" s="93">
        <v>199102.2</v>
      </c>
      <c r="AM1088" s="53">
        <v>202102350</v>
      </c>
      <c r="AO1088" s="53">
        <f t="shared" si="199"/>
        <v>98041139.999999985</v>
      </c>
      <c r="AP1088" s="53">
        <f t="shared" si="199"/>
        <v>106641240</v>
      </c>
      <c r="AQ1088" s="53">
        <f t="shared" si="199"/>
        <v>309603600</v>
      </c>
      <c r="AR1088" s="53">
        <f t="shared" si="198"/>
        <v>0</v>
      </c>
      <c r="AS1088" s="53">
        <f t="shared" si="198"/>
        <v>0</v>
      </c>
      <c r="AT1088" s="53">
        <f t="shared" si="198"/>
        <v>0</v>
      </c>
      <c r="AU1088" s="53">
        <f t="shared" si="198"/>
        <v>0</v>
      </c>
      <c r="AV1088" s="53">
        <f t="shared" si="198"/>
        <v>0</v>
      </c>
      <c r="AW1088" s="53">
        <f t="shared" si="198"/>
        <v>0</v>
      </c>
      <c r="AX1088" s="53">
        <f t="shared" si="197"/>
        <v>7099827886.2478771</v>
      </c>
      <c r="AY1088" s="41" t="s">
        <v>557</v>
      </c>
    </row>
    <row r="1089" spans="1:51" x14ac:dyDescent="0.2">
      <c r="A1089" s="41" t="s">
        <v>183</v>
      </c>
      <c r="B1089" s="41">
        <v>2003</v>
      </c>
      <c r="C1089" s="41" t="s">
        <v>96</v>
      </c>
      <c r="D1089" s="41" t="s">
        <v>88</v>
      </c>
      <c r="E1089" s="47">
        <v>76.699507389162562</v>
      </c>
      <c r="F1089" s="41" t="s">
        <v>556</v>
      </c>
      <c r="G1089" s="93">
        <v>74103000</v>
      </c>
      <c r="H1089" s="62">
        <v>1.0900000000000001</v>
      </c>
      <c r="I1089" s="62">
        <v>1.54</v>
      </c>
      <c r="J1089" s="88">
        <v>4.03</v>
      </c>
      <c r="R1089" s="76">
        <v>1789500</v>
      </c>
      <c r="S1089" s="93">
        <v>715800</v>
      </c>
      <c r="T1089" s="93">
        <v>101448.2</v>
      </c>
      <c r="U1089" s="93">
        <v>201341.4</v>
      </c>
      <c r="AM1089" s="53">
        <v>210452520</v>
      </c>
      <c r="AO1089" s="53">
        <f t="shared" si="199"/>
        <v>80772270</v>
      </c>
      <c r="AP1089" s="53">
        <f t="shared" si="199"/>
        <v>114118620</v>
      </c>
      <c r="AQ1089" s="53">
        <f t="shared" si="199"/>
        <v>298635090</v>
      </c>
      <c r="AR1089" s="53">
        <f t="shared" si="198"/>
        <v>0</v>
      </c>
      <c r="AS1089" s="53">
        <f t="shared" si="198"/>
        <v>0</v>
      </c>
      <c r="AT1089" s="53">
        <f t="shared" si="198"/>
        <v>0</v>
      </c>
      <c r="AU1089" s="53">
        <f t="shared" si="198"/>
        <v>0</v>
      </c>
      <c r="AV1089" s="53">
        <f t="shared" si="198"/>
        <v>0</v>
      </c>
      <c r="AW1089" s="53">
        <f t="shared" si="198"/>
        <v>0</v>
      </c>
      <c r="AX1089" s="53">
        <f t="shared" si="197"/>
        <v>5683663596.0591135</v>
      </c>
      <c r="AY1089" s="41" t="s">
        <v>557</v>
      </c>
    </row>
    <row r="1090" spans="1:51" x14ac:dyDescent="0.2">
      <c r="A1090" s="41" t="s">
        <v>183</v>
      </c>
      <c r="B1090" s="41">
        <v>2004</v>
      </c>
      <c r="C1090" s="41" t="s">
        <v>96</v>
      </c>
      <c r="D1090" s="41" t="s">
        <v>88</v>
      </c>
      <c r="E1090" s="47">
        <v>76.445164775796869</v>
      </c>
      <c r="F1090" s="41" t="s">
        <v>556</v>
      </c>
      <c r="G1090" s="93">
        <v>67750000</v>
      </c>
      <c r="H1090" s="62">
        <v>0.87</v>
      </c>
      <c r="I1090" s="62">
        <v>0.88</v>
      </c>
      <c r="J1090" s="88">
        <v>3.85</v>
      </c>
      <c r="R1090" s="76">
        <v>1291000</v>
      </c>
      <c r="S1090" s="93">
        <v>516400</v>
      </c>
      <c r="T1090" s="93">
        <v>49262.400000000001</v>
      </c>
      <c r="U1090" s="93">
        <v>156650.70000000001</v>
      </c>
      <c r="AM1090" s="53">
        <v>229672500</v>
      </c>
      <c r="AO1090" s="53">
        <f t="shared" si="199"/>
        <v>58942500</v>
      </c>
      <c r="AP1090" s="53">
        <f t="shared" si="199"/>
        <v>59620000</v>
      </c>
      <c r="AQ1090" s="53">
        <f t="shared" si="199"/>
        <v>260837500</v>
      </c>
      <c r="AR1090" s="53">
        <f t="shared" si="198"/>
        <v>0</v>
      </c>
      <c r="AS1090" s="53">
        <f t="shared" si="198"/>
        <v>0</v>
      </c>
      <c r="AT1090" s="53">
        <f t="shared" si="198"/>
        <v>0</v>
      </c>
      <c r="AU1090" s="53">
        <f t="shared" si="198"/>
        <v>0</v>
      </c>
      <c r="AV1090" s="53">
        <f t="shared" si="198"/>
        <v>0</v>
      </c>
      <c r="AW1090" s="53">
        <f t="shared" si="198"/>
        <v>0</v>
      </c>
      <c r="AX1090" s="53">
        <f t="shared" si="197"/>
        <v>5179159913.5602379</v>
      </c>
      <c r="AY1090" s="41" t="s">
        <v>557</v>
      </c>
    </row>
    <row r="1091" spans="1:51" x14ac:dyDescent="0.2">
      <c r="A1091" s="41" t="s">
        <v>183</v>
      </c>
      <c r="B1091" s="41">
        <v>2005</v>
      </c>
      <c r="C1091" s="41" t="s">
        <v>96</v>
      </c>
      <c r="D1091" s="41" t="s">
        <v>88</v>
      </c>
      <c r="E1091" s="47">
        <v>80.573543015726173</v>
      </c>
      <c r="F1091" s="41" t="s">
        <v>556</v>
      </c>
      <c r="G1091" s="93">
        <v>78907000</v>
      </c>
      <c r="H1091" s="62">
        <v>1.1299999999999999</v>
      </c>
      <c r="I1091" s="62">
        <v>1.65</v>
      </c>
      <c r="J1091" s="88">
        <v>4.88</v>
      </c>
      <c r="R1091" s="76">
        <v>1984750</v>
      </c>
      <c r="S1091" s="93">
        <v>793900</v>
      </c>
      <c r="T1091" s="93">
        <v>110280.6</v>
      </c>
      <c r="U1091" s="93">
        <v>234214.1</v>
      </c>
      <c r="AM1091" s="53">
        <v>246189840</v>
      </c>
      <c r="AO1091" s="53">
        <f t="shared" si="199"/>
        <v>89164909.999999985</v>
      </c>
      <c r="AP1091" s="53">
        <f t="shared" si="199"/>
        <v>130196550</v>
      </c>
      <c r="AQ1091" s="53">
        <f t="shared" si="199"/>
        <v>385066160</v>
      </c>
      <c r="AR1091" s="53">
        <f t="shared" si="198"/>
        <v>0</v>
      </c>
      <c r="AS1091" s="53">
        <f t="shared" si="198"/>
        <v>0</v>
      </c>
      <c r="AT1091" s="53">
        <f t="shared" si="198"/>
        <v>0</v>
      </c>
      <c r="AU1091" s="53">
        <f t="shared" si="198"/>
        <v>0</v>
      </c>
      <c r="AV1091" s="53">
        <f t="shared" si="198"/>
        <v>0</v>
      </c>
      <c r="AW1091" s="53">
        <f t="shared" si="198"/>
        <v>0</v>
      </c>
      <c r="AX1091" s="53">
        <f t="shared" si="197"/>
        <v>6357816558.7419052</v>
      </c>
      <c r="AY1091" s="41" t="s">
        <v>557</v>
      </c>
    </row>
    <row r="1092" spans="1:51" x14ac:dyDescent="0.2">
      <c r="A1092" s="41" t="s">
        <v>183</v>
      </c>
      <c r="B1092" s="41">
        <v>2006</v>
      </c>
      <c r="C1092" s="41" t="s">
        <v>96</v>
      </c>
      <c r="D1092" s="41" t="s">
        <v>88</v>
      </c>
      <c r="E1092" s="47">
        <v>80.296425457715785</v>
      </c>
      <c r="F1092" s="41" t="s">
        <v>556</v>
      </c>
      <c r="G1092" s="53">
        <v>83731000</v>
      </c>
      <c r="H1092" s="62">
        <v>0.85</v>
      </c>
      <c r="I1092" s="62">
        <v>0.85</v>
      </c>
      <c r="J1092" s="88">
        <v>3.84</v>
      </c>
      <c r="R1092" s="76">
        <v>1474190.3293114395</v>
      </c>
      <c r="S1092" s="93">
        <v>589676.13172457588</v>
      </c>
      <c r="T1092" s="93">
        <v>56729.51</v>
      </c>
      <c r="U1092" s="93">
        <v>134137.41</v>
      </c>
      <c r="AM1092" s="53">
        <v>252030309.99999997</v>
      </c>
      <c r="AO1092" s="53">
        <f t="shared" si="199"/>
        <v>71171350</v>
      </c>
      <c r="AP1092" s="53">
        <f t="shared" si="199"/>
        <v>71171350</v>
      </c>
      <c r="AQ1092" s="53">
        <f t="shared" si="199"/>
        <v>321527040</v>
      </c>
      <c r="AR1092" s="53">
        <f t="shared" si="198"/>
        <v>0</v>
      </c>
      <c r="AS1092" s="53">
        <f t="shared" si="198"/>
        <v>0</v>
      </c>
      <c r="AT1092" s="53">
        <f t="shared" si="198"/>
        <v>0</v>
      </c>
      <c r="AU1092" s="53">
        <f t="shared" si="198"/>
        <v>0</v>
      </c>
      <c r="AV1092" s="53">
        <f t="shared" si="198"/>
        <v>0</v>
      </c>
      <c r="AW1092" s="53">
        <f t="shared" si="198"/>
        <v>0</v>
      </c>
      <c r="AX1092" s="53">
        <f t="shared" si="197"/>
        <v>6723300000</v>
      </c>
      <c r="AY1092" s="41" t="s">
        <v>557</v>
      </c>
    </row>
    <row r="1093" spans="1:51" x14ac:dyDescent="0.2">
      <c r="A1093" s="41" t="s">
        <v>183</v>
      </c>
      <c r="B1093" s="41">
        <v>2007</v>
      </c>
      <c r="C1093" s="41" t="s">
        <v>96</v>
      </c>
      <c r="D1093" s="41" t="s">
        <v>88</v>
      </c>
      <c r="E1093" s="47">
        <v>74.835371589840079</v>
      </c>
      <c r="F1093" s="41" t="s">
        <v>556</v>
      </c>
      <c r="G1093" s="53">
        <v>77599000</v>
      </c>
      <c r="H1093" s="62">
        <v>0.82</v>
      </c>
      <c r="I1093" s="62">
        <v>1.24</v>
      </c>
      <c r="J1093" s="88">
        <v>3.43</v>
      </c>
      <c r="R1093" s="76">
        <v>1373264.9913816566</v>
      </c>
      <c r="S1093" s="93">
        <v>549305.99655266269</v>
      </c>
      <c r="T1093" s="93">
        <v>81108.800000000003</v>
      </c>
      <c r="U1093" s="93">
        <v>157303.79999999999</v>
      </c>
      <c r="AM1093" s="53">
        <v>269268530</v>
      </c>
      <c r="AO1093" s="53">
        <f t="shared" si="199"/>
        <v>63631179.999999993</v>
      </c>
      <c r="AP1093" s="53">
        <f t="shared" si="199"/>
        <v>96222760</v>
      </c>
      <c r="AQ1093" s="53">
        <f t="shared" si="199"/>
        <v>266164570</v>
      </c>
      <c r="AR1093" s="53">
        <f t="shared" si="198"/>
        <v>0</v>
      </c>
      <c r="AS1093" s="53">
        <f t="shared" si="198"/>
        <v>0</v>
      </c>
      <c r="AT1093" s="53">
        <f t="shared" si="198"/>
        <v>0</v>
      </c>
      <c r="AU1093" s="53">
        <f t="shared" si="198"/>
        <v>0</v>
      </c>
      <c r="AV1093" s="53">
        <f t="shared" si="198"/>
        <v>0</v>
      </c>
      <c r="AW1093" s="53">
        <f t="shared" si="198"/>
        <v>0</v>
      </c>
      <c r="AX1093" s="53">
        <f t="shared" si="197"/>
        <v>5807150000</v>
      </c>
      <c r="AY1093" s="41" t="s">
        <v>557</v>
      </c>
    </row>
    <row r="1094" spans="1:51" x14ac:dyDescent="0.2">
      <c r="A1094" s="41" t="s">
        <v>183</v>
      </c>
      <c r="B1094" s="41">
        <v>2008</v>
      </c>
      <c r="C1094" s="41" t="s">
        <v>96</v>
      </c>
      <c r="D1094" s="41" t="s">
        <v>88</v>
      </c>
      <c r="E1094" s="47">
        <v>67.288750648004154</v>
      </c>
      <c r="F1094" s="41" t="s">
        <v>556</v>
      </c>
      <c r="G1094" s="53">
        <v>70408500</v>
      </c>
      <c r="H1094" s="62">
        <v>0.83</v>
      </c>
      <c r="I1094" s="62">
        <v>0.66</v>
      </c>
      <c r="J1094" s="88">
        <v>3.21</v>
      </c>
      <c r="R1094" s="76">
        <v>1257597.7501587588</v>
      </c>
      <c r="S1094" s="93">
        <v>503039.1000635036</v>
      </c>
      <c r="T1094" s="93">
        <v>36169.300000000003</v>
      </c>
      <c r="U1094" s="93">
        <v>139576.79999999999</v>
      </c>
      <c r="AM1094" s="53">
        <v>230235795</v>
      </c>
      <c r="AO1094" s="53">
        <f t="shared" si="199"/>
        <v>58439055</v>
      </c>
      <c r="AP1094" s="53">
        <f t="shared" si="199"/>
        <v>46469610</v>
      </c>
      <c r="AQ1094" s="53">
        <f t="shared" si="199"/>
        <v>226011285</v>
      </c>
      <c r="AR1094" s="53">
        <f t="shared" si="198"/>
        <v>0</v>
      </c>
      <c r="AS1094" s="53">
        <f t="shared" si="198"/>
        <v>0</v>
      </c>
      <c r="AT1094" s="53">
        <f t="shared" si="198"/>
        <v>0</v>
      </c>
      <c r="AU1094" s="53">
        <f t="shared" si="198"/>
        <v>0</v>
      </c>
      <c r="AV1094" s="53">
        <f t="shared" si="198"/>
        <v>0</v>
      </c>
      <c r="AW1094" s="53">
        <f t="shared" si="198"/>
        <v>0</v>
      </c>
      <c r="AX1094" s="53">
        <f t="shared" si="197"/>
        <v>4737700000</v>
      </c>
      <c r="AY1094" s="41" t="s">
        <v>557</v>
      </c>
    </row>
    <row r="1095" spans="1:51" x14ac:dyDescent="0.2">
      <c r="A1095" s="41" t="s">
        <v>183</v>
      </c>
      <c r="B1095" s="41">
        <v>2009</v>
      </c>
      <c r="C1095" s="41" t="s">
        <v>96</v>
      </c>
      <c r="D1095" s="41" t="s">
        <v>88</v>
      </c>
      <c r="E1095" s="47">
        <v>69.785984053713804</v>
      </c>
      <c r="F1095" s="41" t="s">
        <v>556</v>
      </c>
      <c r="G1095" s="53">
        <v>86979500</v>
      </c>
      <c r="H1095" s="62">
        <v>0.98</v>
      </c>
      <c r="I1095" s="88">
        <v>1.3</v>
      </c>
      <c r="J1095" s="88">
        <v>3.49</v>
      </c>
      <c r="R1095" s="76">
        <v>1860881.7926154404</v>
      </c>
      <c r="S1095" s="93">
        <v>744352.7170461762</v>
      </c>
      <c r="T1095" s="93">
        <v>92802.4</v>
      </c>
      <c r="U1095" s="93">
        <v>245316.8</v>
      </c>
      <c r="AM1095" s="53">
        <v>297469890</v>
      </c>
      <c r="AO1095" s="53">
        <f t="shared" si="199"/>
        <v>85239910</v>
      </c>
      <c r="AP1095" s="53">
        <f t="shared" si="199"/>
        <v>113073350</v>
      </c>
      <c r="AQ1095" s="53">
        <f t="shared" si="199"/>
        <v>303558455</v>
      </c>
      <c r="AR1095" s="53">
        <f t="shared" si="198"/>
        <v>0</v>
      </c>
      <c r="AS1095" s="53">
        <f t="shared" si="198"/>
        <v>0</v>
      </c>
      <c r="AT1095" s="53">
        <f t="shared" si="198"/>
        <v>0</v>
      </c>
      <c r="AU1095" s="53">
        <f t="shared" si="198"/>
        <v>0</v>
      </c>
      <c r="AV1095" s="53">
        <f t="shared" si="198"/>
        <v>0</v>
      </c>
      <c r="AW1095" s="53">
        <f t="shared" si="198"/>
        <v>0</v>
      </c>
      <c r="AX1095" s="53">
        <f t="shared" si="197"/>
        <v>6069950000</v>
      </c>
      <c r="AY1095" s="41" t="s">
        <v>557</v>
      </c>
    </row>
    <row r="1096" spans="1:51" x14ac:dyDescent="0.2">
      <c r="A1096" s="41" t="s">
        <v>183</v>
      </c>
      <c r="B1096" s="41">
        <v>2010</v>
      </c>
      <c r="C1096" s="41" t="s">
        <v>96</v>
      </c>
      <c r="D1096" s="41" t="s">
        <v>88</v>
      </c>
      <c r="E1096" s="47">
        <v>65.073848827106858</v>
      </c>
      <c r="F1096" s="41" t="s">
        <v>556</v>
      </c>
      <c r="G1096" s="53">
        <v>84023000</v>
      </c>
      <c r="H1096" s="62">
        <v>0.85</v>
      </c>
      <c r="I1096" s="88">
        <v>0.9</v>
      </c>
      <c r="J1096" s="88">
        <v>2.79</v>
      </c>
      <c r="R1096" s="76">
        <v>1508210.1061417037</v>
      </c>
      <c r="S1096" s="93">
        <v>603284.04245668149</v>
      </c>
      <c r="T1096" s="93">
        <v>61080.4</v>
      </c>
      <c r="U1096" s="93">
        <v>170925.6</v>
      </c>
      <c r="AM1096" s="53">
        <v>348695450.00000006</v>
      </c>
      <c r="AO1096" s="53">
        <f t="shared" si="199"/>
        <v>71419550</v>
      </c>
      <c r="AP1096" s="53">
        <f t="shared" si="199"/>
        <v>75620700</v>
      </c>
      <c r="AQ1096" s="53">
        <f t="shared" si="199"/>
        <v>234424170</v>
      </c>
      <c r="AR1096" s="53">
        <f t="shared" si="198"/>
        <v>0</v>
      </c>
      <c r="AS1096" s="53">
        <f t="shared" si="198"/>
        <v>0</v>
      </c>
      <c r="AT1096" s="53">
        <f t="shared" si="198"/>
        <v>0</v>
      </c>
      <c r="AU1096" s="53">
        <f t="shared" si="198"/>
        <v>0</v>
      </c>
      <c r="AV1096" s="53">
        <f t="shared" si="198"/>
        <v>0</v>
      </c>
      <c r="AW1096" s="53">
        <f t="shared" si="198"/>
        <v>0</v>
      </c>
      <c r="AX1096" s="53">
        <f t="shared" si="197"/>
        <v>5467699999.999999</v>
      </c>
      <c r="AY1096" s="41" t="s">
        <v>557</v>
      </c>
    </row>
    <row r="1097" spans="1:51" x14ac:dyDescent="0.2">
      <c r="A1097" s="41" t="s">
        <v>183</v>
      </c>
      <c r="B1097" s="41">
        <v>2011</v>
      </c>
      <c r="C1097" s="41" t="s">
        <v>96</v>
      </c>
      <c r="D1097" s="41" t="s">
        <v>88</v>
      </c>
      <c r="E1097" s="47">
        <v>67.971101745936181</v>
      </c>
      <c r="F1097" s="41" t="s">
        <v>556</v>
      </c>
      <c r="G1097" s="53">
        <v>60626500</v>
      </c>
      <c r="H1097" s="41">
        <v>0.79</v>
      </c>
      <c r="I1097" s="62">
        <v>0.93</v>
      </c>
      <c r="J1097" s="41">
        <v>2.4300000000000002</v>
      </c>
      <c r="R1097" s="76">
        <v>1000181.4388097614</v>
      </c>
      <c r="S1097" s="93">
        <v>400072.57552390458</v>
      </c>
      <c r="T1097" s="93">
        <v>44908.4</v>
      </c>
      <c r="U1097" s="93">
        <v>107481.60000000001</v>
      </c>
      <c r="AM1097" s="53">
        <v>213405280</v>
      </c>
      <c r="AO1097" s="53">
        <f t="shared" si="199"/>
        <v>47894935</v>
      </c>
      <c r="AP1097" s="53">
        <f t="shared" si="199"/>
        <v>56382645</v>
      </c>
      <c r="AQ1097" s="53">
        <f t="shared" si="199"/>
        <v>147322395</v>
      </c>
      <c r="AR1097" s="53">
        <f t="shared" si="198"/>
        <v>0</v>
      </c>
      <c r="AS1097" s="53">
        <f t="shared" si="198"/>
        <v>0</v>
      </c>
      <c r="AT1097" s="53">
        <f t="shared" si="198"/>
        <v>0</v>
      </c>
      <c r="AU1097" s="53">
        <f t="shared" si="198"/>
        <v>0</v>
      </c>
      <c r="AV1097" s="53">
        <f t="shared" si="198"/>
        <v>0</v>
      </c>
      <c r="AW1097" s="53">
        <f t="shared" si="198"/>
        <v>0</v>
      </c>
      <c r="AX1097" s="53">
        <f t="shared" si="197"/>
        <v>4120850000</v>
      </c>
      <c r="AY1097" s="41" t="s">
        <v>557</v>
      </c>
    </row>
    <row r="1098" spans="1:51" x14ac:dyDescent="0.2">
      <c r="A1098" s="41" t="s">
        <v>183</v>
      </c>
      <c r="B1098" s="41">
        <v>2012</v>
      </c>
      <c r="C1098" s="41" t="s">
        <v>96</v>
      </c>
      <c r="D1098" s="41" t="s">
        <v>88</v>
      </c>
      <c r="E1098" s="47">
        <v>72</v>
      </c>
      <c r="F1098" s="41" t="s">
        <v>556</v>
      </c>
      <c r="G1098" s="53">
        <v>60225000</v>
      </c>
      <c r="H1098" s="41">
        <v>0.62</v>
      </c>
      <c r="I1098" s="62">
        <v>0.59</v>
      </c>
      <c r="J1098" s="41">
        <v>2.04</v>
      </c>
      <c r="R1098" s="76">
        <v>788124.82990111585</v>
      </c>
      <c r="S1098" s="93">
        <v>315249.93196044635</v>
      </c>
      <c r="T1098" s="93">
        <v>26808.2</v>
      </c>
      <c r="U1098" s="93">
        <v>79522.7</v>
      </c>
      <c r="AM1098" s="53">
        <v>133097250</v>
      </c>
      <c r="AO1098" s="53">
        <f t="shared" si="199"/>
        <v>37339500</v>
      </c>
      <c r="AP1098" s="53">
        <f t="shared" si="199"/>
        <v>35532750</v>
      </c>
      <c r="AQ1098" s="53">
        <f t="shared" si="199"/>
        <v>122859000</v>
      </c>
      <c r="AR1098" s="53">
        <f t="shared" si="198"/>
        <v>0</v>
      </c>
      <c r="AS1098" s="53">
        <f t="shared" si="198"/>
        <v>0</v>
      </c>
      <c r="AT1098" s="53">
        <f t="shared" si="198"/>
        <v>0</v>
      </c>
      <c r="AU1098" s="53">
        <f t="shared" si="198"/>
        <v>0</v>
      </c>
      <c r="AV1098" s="53">
        <f t="shared" si="198"/>
        <v>0</v>
      </c>
      <c r="AW1098" s="53">
        <f t="shared" si="198"/>
        <v>0</v>
      </c>
      <c r="AX1098" s="53">
        <f t="shared" si="197"/>
        <v>4336200000</v>
      </c>
      <c r="AY1098" s="41" t="s">
        <v>557</v>
      </c>
    </row>
    <row r="1099" spans="1:51" x14ac:dyDescent="0.2">
      <c r="A1099" s="41" t="s">
        <v>183</v>
      </c>
      <c r="B1099" s="41">
        <v>2013</v>
      </c>
      <c r="C1099" s="41" t="s">
        <v>96</v>
      </c>
      <c r="D1099" s="41" t="s">
        <v>88</v>
      </c>
      <c r="E1099" s="47">
        <v>71.261160714285708</v>
      </c>
      <c r="F1099" s="41" t="s">
        <v>556</v>
      </c>
      <c r="G1099" s="53">
        <v>65408000</v>
      </c>
      <c r="H1099" s="41">
        <v>0.76</v>
      </c>
      <c r="I1099" s="41">
        <v>0.69</v>
      </c>
      <c r="J1099" s="41">
        <v>2.64</v>
      </c>
      <c r="R1099" s="76">
        <v>1052345.0966161662</v>
      </c>
      <c r="S1099" s="93">
        <v>420938.03864646651</v>
      </c>
      <c r="T1099" s="93">
        <v>35516.199999999997</v>
      </c>
      <c r="U1099" s="93">
        <v>100888.4</v>
      </c>
      <c r="AM1099" s="76">
        <v>143897600</v>
      </c>
      <c r="AO1099" s="53">
        <f t="shared" si="199"/>
        <v>49710080</v>
      </c>
      <c r="AP1099" s="53">
        <f t="shared" si="199"/>
        <v>45131520</v>
      </c>
      <c r="AQ1099" s="53">
        <f t="shared" si="199"/>
        <v>172677120</v>
      </c>
      <c r="AR1099" s="53">
        <f t="shared" si="198"/>
        <v>0</v>
      </c>
      <c r="AS1099" s="53">
        <f t="shared" si="198"/>
        <v>0</v>
      </c>
      <c r="AT1099" s="53">
        <f t="shared" si="198"/>
        <v>0</v>
      </c>
      <c r="AU1099" s="53">
        <f t="shared" si="198"/>
        <v>0</v>
      </c>
      <c r="AV1099" s="53">
        <f t="shared" si="198"/>
        <v>0</v>
      </c>
      <c r="AW1099" s="53">
        <f t="shared" si="198"/>
        <v>0</v>
      </c>
      <c r="AX1099" s="53">
        <f t="shared" si="197"/>
        <v>4661050000</v>
      </c>
      <c r="AY1099" s="41" t="s">
        <v>557</v>
      </c>
    </row>
    <row r="1100" spans="1:51" x14ac:dyDescent="0.2">
      <c r="A1100" s="41" t="s">
        <v>183</v>
      </c>
      <c r="B1100" s="41">
        <v>2014</v>
      </c>
      <c r="C1100" s="41" t="s">
        <v>96</v>
      </c>
      <c r="D1100" s="41" t="s">
        <v>88</v>
      </c>
      <c r="E1100" s="47">
        <v>57.344398340248965</v>
      </c>
      <c r="F1100" s="41" t="s">
        <v>556</v>
      </c>
      <c r="G1100" s="53">
        <v>43982500</v>
      </c>
      <c r="H1100" s="41">
        <v>0.79</v>
      </c>
      <c r="I1100" s="41">
        <v>0.99</v>
      </c>
      <c r="J1100" s="41">
        <v>3.02</v>
      </c>
      <c r="R1100" s="76">
        <v>738229.15721672855</v>
      </c>
      <c r="S1100" s="93">
        <v>295291.66288669145</v>
      </c>
      <c r="T1100" s="93">
        <v>35205.199999999997</v>
      </c>
      <c r="U1100" s="93">
        <v>82166.2</v>
      </c>
      <c r="AM1100" s="76">
        <v>96761500.000000015</v>
      </c>
      <c r="AO1100" s="53">
        <f t="shared" si="199"/>
        <v>34746175</v>
      </c>
      <c r="AP1100" s="53">
        <f t="shared" si="199"/>
        <v>43542675</v>
      </c>
      <c r="AQ1100" s="53">
        <f t="shared" si="199"/>
        <v>132827150</v>
      </c>
      <c r="AR1100" s="53">
        <f t="shared" si="198"/>
        <v>0</v>
      </c>
      <c r="AS1100" s="53">
        <f t="shared" si="198"/>
        <v>0</v>
      </c>
      <c r="AT1100" s="53">
        <f t="shared" si="198"/>
        <v>0</v>
      </c>
      <c r="AU1100" s="53">
        <f t="shared" si="198"/>
        <v>0</v>
      </c>
      <c r="AV1100" s="53">
        <f t="shared" si="198"/>
        <v>0</v>
      </c>
      <c r="AW1100" s="53">
        <f t="shared" si="198"/>
        <v>0</v>
      </c>
      <c r="AX1100" s="53">
        <f t="shared" si="197"/>
        <v>2522150000</v>
      </c>
      <c r="AY1100" s="41" t="s">
        <v>557</v>
      </c>
    </row>
    <row r="1101" spans="1:51" x14ac:dyDescent="0.2">
      <c r="A1101" s="41" t="s">
        <v>183</v>
      </c>
      <c r="B1101" s="41">
        <v>2015</v>
      </c>
      <c r="C1101" s="41" t="s">
        <v>96</v>
      </c>
      <c r="D1101" s="41" t="s">
        <v>88</v>
      </c>
      <c r="E1101" s="47">
        <v>71.323076923076925</v>
      </c>
      <c r="F1101" s="41" t="s">
        <v>556</v>
      </c>
      <c r="G1101" s="53">
        <v>59312500</v>
      </c>
      <c r="H1101" s="41">
        <v>0.67</v>
      </c>
      <c r="I1101" s="41">
        <v>0.79</v>
      </c>
      <c r="J1101" s="46">
        <v>2.5</v>
      </c>
      <c r="R1101" s="76">
        <v>852762.40587861743</v>
      </c>
      <c r="S1101" s="93">
        <v>341104.96235144697</v>
      </c>
      <c r="T1101" s="93">
        <v>38315.199999999997</v>
      </c>
      <c r="U1101" s="93">
        <v>87639.8</v>
      </c>
      <c r="AM1101" s="76">
        <v>130487500.00000001</v>
      </c>
      <c r="AO1101" s="53">
        <f t="shared" si="199"/>
        <v>39739375</v>
      </c>
      <c r="AP1101" s="53">
        <f t="shared" si="199"/>
        <v>46856875</v>
      </c>
      <c r="AQ1101" s="53">
        <f t="shared" si="199"/>
        <v>148281250</v>
      </c>
      <c r="AR1101" s="53">
        <f t="shared" si="198"/>
        <v>0</v>
      </c>
      <c r="AS1101" s="53">
        <f t="shared" si="198"/>
        <v>0</v>
      </c>
      <c r="AT1101" s="53">
        <f t="shared" si="198"/>
        <v>0</v>
      </c>
      <c r="AU1101" s="53">
        <f t="shared" si="198"/>
        <v>0</v>
      </c>
      <c r="AV1101" s="53">
        <f t="shared" si="198"/>
        <v>0</v>
      </c>
      <c r="AW1101" s="53">
        <f t="shared" si="198"/>
        <v>0</v>
      </c>
      <c r="AX1101" s="53">
        <f t="shared" si="197"/>
        <v>4230350000</v>
      </c>
      <c r="AY1101" s="41" t="s">
        <v>557</v>
      </c>
    </row>
    <row r="1102" spans="1:51" x14ac:dyDescent="0.2">
      <c r="A1102" s="41" t="s">
        <v>183</v>
      </c>
      <c r="B1102" s="41">
        <v>2016</v>
      </c>
      <c r="C1102" s="41" t="s">
        <v>96</v>
      </c>
      <c r="D1102" s="41" t="s">
        <v>88</v>
      </c>
      <c r="E1102" s="47">
        <v>72.238986119493063</v>
      </c>
      <c r="F1102" s="41" t="s">
        <v>556</v>
      </c>
      <c r="G1102" s="53">
        <v>60480500</v>
      </c>
      <c r="H1102" s="41">
        <v>0.91</v>
      </c>
      <c r="I1102" s="41">
        <v>0.68</v>
      </c>
      <c r="J1102" s="46">
        <v>3.05</v>
      </c>
      <c r="R1102" s="76">
        <v>1205434.0923523542</v>
      </c>
      <c r="S1102" s="93">
        <v>482173.63694094168</v>
      </c>
      <c r="T1102" s="93">
        <v>32997.1</v>
      </c>
      <c r="U1102" s="93">
        <v>118335.5</v>
      </c>
      <c r="AM1102" s="76">
        <v>133057100.00000001</v>
      </c>
      <c r="AO1102" s="53">
        <f t="shared" si="199"/>
        <v>55037255</v>
      </c>
      <c r="AP1102" s="53">
        <f t="shared" si="199"/>
        <v>41126740</v>
      </c>
      <c r="AQ1102" s="53">
        <f t="shared" si="199"/>
        <v>184465525</v>
      </c>
      <c r="AR1102" s="53">
        <f t="shared" si="198"/>
        <v>0</v>
      </c>
      <c r="AS1102" s="53">
        <f t="shared" si="198"/>
        <v>0</v>
      </c>
      <c r="AT1102" s="53">
        <f t="shared" si="198"/>
        <v>0</v>
      </c>
      <c r="AU1102" s="53">
        <f t="shared" si="198"/>
        <v>0</v>
      </c>
      <c r="AV1102" s="53">
        <f t="shared" si="198"/>
        <v>0</v>
      </c>
      <c r="AW1102" s="53">
        <f t="shared" si="198"/>
        <v>0</v>
      </c>
      <c r="AX1102" s="53">
        <f t="shared" si="197"/>
        <v>4369050000</v>
      </c>
      <c r="AY1102" s="41" t="s">
        <v>557</v>
      </c>
    </row>
    <row r="1103" spans="1:51" x14ac:dyDescent="0.2">
      <c r="A1103" s="41" t="s">
        <v>183</v>
      </c>
      <c r="B1103" s="60" t="s">
        <v>559</v>
      </c>
      <c r="C1103" s="60" t="s">
        <v>96</v>
      </c>
      <c r="D1103" s="60" t="s">
        <v>88</v>
      </c>
      <c r="E1103" s="78">
        <f>AX1103/G1103</f>
        <v>77.431778449038958</v>
      </c>
      <c r="F1103" s="60" t="s">
        <v>556</v>
      </c>
      <c r="G1103" s="79">
        <f>SUM(G1058:G1102)</f>
        <v>1679840535.7142859</v>
      </c>
      <c r="H1103" s="80">
        <f>AO1103/$G1103</f>
        <v>1.0608791972282232</v>
      </c>
      <c r="I1103" s="80">
        <f>AP1103/$G1103</f>
        <v>1.1196537557444599</v>
      </c>
      <c r="J1103" s="80">
        <f>AQ1103/$G1103</f>
        <v>3.6021168169044953</v>
      </c>
      <c r="R1103" s="79">
        <f>SUM(R1058:R1102)</f>
        <v>38321182.176284492</v>
      </c>
      <c r="S1103" s="79">
        <f>SUM(S1058:S1102)</f>
        <v>15286862.389476318</v>
      </c>
      <c r="T1103" s="79">
        <f>SUM(T1058:T1102)</f>
        <v>1548220.8500821425</v>
      </c>
      <c r="U1103" s="79">
        <f>SUM(U1058:U1102)</f>
        <v>3811415.1670835717</v>
      </c>
      <c r="AM1103" s="79">
        <f t="shared" ref="AM1103:AX1103" si="200">SUM(AM1058:AM1102)</f>
        <v>4607919486.4285717</v>
      </c>
      <c r="AO1103" s="79">
        <f t="shared" si="200"/>
        <v>1782107879</v>
      </c>
      <c r="AP1103" s="79">
        <f t="shared" si="200"/>
        <v>1880839764.8642857</v>
      </c>
      <c r="AQ1103" s="79">
        <f t="shared" si="200"/>
        <v>6050981843.4142857</v>
      </c>
      <c r="AR1103" s="79">
        <f t="shared" si="200"/>
        <v>0</v>
      </c>
      <c r="AS1103" s="79">
        <f t="shared" si="200"/>
        <v>0</v>
      </c>
      <c r="AT1103" s="79">
        <f t="shared" si="200"/>
        <v>0</v>
      </c>
      <c r="AU1103" s="79">
        <f t="shared" si="200"/>
        <v>0</v>
      </c>
      <c r="AV1103" s="79">
        <f t="shared" si="200"/>
        <v>0</v>
      </c>
      <c r="AW1103" s="79">
        <f t="shared" si="200"/>
        <v>0</v>
      </c>
      <c r="AX1103" s="79">
        <f t="shared" si="200"/>
        <v>130073040191.14349</v>
      </c>
      <c r="AY1103" s="41" t="s">
        <v>557</v>
      </c>
    </row>
    <row r="1104" spans="1:51" x14ac:dyDescent="0.2">
      <c r="A1104" s="41" t="s">
        <v>183</v>
      </c>
      <c r="B1104" s="43" t="s">
        <v>560</v>
      </c>
      <c r="G1104" s="53">
        <f>STDEV(G1058:G1102)</f>
        <v>33207901.070112139</v>
      </c>
      <c r="H1104" s="46">
        <f>STDEV(H1058:H1102)</f>
        <v>0.72824703045995054</v>
      </c>
      <c r="I1104" s="46">
        <f>STDEV(I1058:I1102)</f>
        <v>0.33718787579678139</v>
      </c>
      <c r="J1104" s="46">
        <f>STDEV(J1058:J1102)</f>
        <v>3.6400751557066306</v>
      </c>
      <c r="R1104" s="53">
        <f>STDEV(R1058:R1102)</f>
        <v>675634.62673747295</v>
      </c>
      <c r="S1104" s="53">
        <f>STDEV(S1058:S1102)</f>
        <v>271194.66824936052</v>
      </c>
      <c r="T1104" s="53">
        <f>STDEV(T1058:T1102)</f>
        <v>35985.154353903054</v>
      </c>
      <c r="U1104" s="53">
        <f>STDEV(U1058:U1102)</f>
        <v>66436.426074354124</v>
      </c>
      <c r="AM1104" s="53">
        <f>STDEV(AM1058:AM1102)</f>
        <v>99938346.200642645</v>
      </c>
      <c r="AY1104" s="41" t="s">
        <v>557</v>
      </c>
    </row>
    <row r="1105" spans="1:51" x14ac:dyDescent="0.2">
      <c r="A1105" s="41" t="s">
        <v>183</v>
      </c>
      <c r="B1105" s="81" t="s">
        <v>249</v>
      </c>
      <c r="G1105" s="41">
        <f>COUNT(G1058:G1102)</f>
        <v>45</v>
      </c>
      <c r="H1105" s="59">
        <f>COUNT(H1058:H1102)</f>
        <v>45</v>
      </c>
      <c r="I1105" s="59">
        <f>COUNT(I1058:I1102)</f>
        <v>45</v>
      </c>
      <c r="J1105" s="59">
        <f>COUNT(J1058:J1102)</f>
        <v>45</v>
      </c>
      <c r="R1105" s="41">
        <f>COUNT(R1058:R1102)</f>
        <v>45</v>
      </c>
      <c r="S1105" s="41">
        <f>COUNT(S1058:S1102)</f>
        <v>45</v>
      </c>
      <c r="T1105" s="41">
        <f>COUNT(T1058:T1102)</f>
        <v>45</v>
      </c>
      <c r="U1105" s="41">
        <f>COUNT(U1058:U1102)</f>
        <v>45</v>
      </c>
      <c r="AM1105" s="41">
        <f>COUNT(AM1058:AM1102)</f>
        <v>45</v>
      </c>
      <c r="AY1105" s="41" t="s">
        <v>557</v>
      </c>
    </row>
    <row r="1106" spans="1:51" x14ac:dyDescent="0.2">
      <c r="A1106" s="82"/>
      <c r="B1106" s="82"/>
      <c r="C1106" s="82"/>
      <c r="D1106" s="82"/>
      <c r="E1106" s="82"/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  <c r="P1106" s="82"/>
      <c r="Q1106" s="82"/>
      <c r="R1106" s="82"/>
      <c r="S1106" s="82"/>
      <c r="T1106" s="82"/>
      <c r="U1106" s="82"/>
      <c r="V1106" s="82"/>
      <c r="W1106" s="82"/>
      <c r="X1106" s="82"/>
      <c r="Y1106" s="82"/>
      <c r="Z1106" s="82"/>
      <c r="AA1106" s="82"/>
      <c r="AB1106" s="82"/>
      <c r="AC1106" s="82"/>
      <c r="AD1106" s="82"/>
      <c r="AE1106" s="82"/>
      <c r="AF1106" s="82"/>
      <c r="AG1106" s="82"/>
      <c r="AH1106" s="82"/>
      <c r="AI1106" s="82"/>
      <c r="AJ1106" s="82"/>
      <c r="AK1106" s="82"/>
      <c r="AL1106" s="82"/>
      <c r="AM1106" s="82"/>
      <c r="AN1106" s="82"/>
      <c r="AO1106" s="82"/>
      <c r="AP1106" s="82"/>
      <c r="AQ1106" s="82"/>
      <c r="AR1106" s="82"/>
      <c r="AS1106" s="82"/>
      <c r="AT1106" s="82"/>
      <c r="AU1106" s="82"/>
      <c r="AV1106" s="82"/>
      <c r="AW1106" s="82"/>
      <c r="AX1106" s="82"/>
      <c r="AY1106" s="41" t="s">
        <v>557</v>
      </c>
    </row>
    <row r="1107" spans="1:51" x14ac:dyDescent="0.2">
      <c r="A1107" s="48" t="s">
        <v>324</v>
      </c>
      <c r="B1107" s="41">
        <v>1989</v>
      </c>
      <c r="C1107" s="41" t="s">
        <v>91</v>
      </c>
      <c r="D1107" s="41" t="s">
        <v>88</v>
      </c>
      <c r="E1107" s="41">
        <v>0</v>
      </c>
      <c r="F1107" s="41" t="s">
        <v>637</v>
      </c>
      <c r="G1107" s="53">
        <f>264600*0.9072</f>
        <v>240045.12</v>
      </c>
      <c r="I1107" s="116">
        <f>1000*T1107/G1107/0.5</f>
        <v>6.0970454221273069</v>
      </c>
      <c r="J1107" s="117">
        <f>1000*U1107/G1107/0.75</f>
        <v>892.50432085434602</v>
      </c>
      <c r="K1107" s="48"/>
      <c r="L1107" s="57">
        <f>100*Y1107/G1107/0.7</f>
        <v>5.1749271137026254</v>
      </c>
      <c r="M1107" s="57">
        <f>100*AA1107/G1107/0.975</f>
        <v>72.487547725642969</v>
      </c>
      <c r="T1107" s="53">
        <f>23530*31.1/1000</f>
        <v>731.78300000000002</v>
      </c>
      <c r="U1107" s="53">
        <f>5166591*31.1/1000</f>
        <v>160680.98009999999</v>
      </c>
      <c r="X1107" s="76">
        <f t="shared" ref="X1107:Z1113" si="201">Y1107*2</f>
        <v>17391.024000000001</v>
      </c>
      <c r="Y1107" s="53">
        <f>9585*0.9072</f>
        <v>8695.5120000000006</v>
      </c>
      <c r="Z1107" s="76">
        <f t="shared" si="201"/>
        <v>339305.50079999998</v>
      </c>
      <c r="AA1107" s="53">
        <f>187007*0.9072</f>
        <v>169652.75039999999</v>
      </c>
      <c r="AH1107" s="76">
        <f>0.5*0.69*G1107</f>
        <v>82815.566399999996</v>
      </c>
      <c r="AO1107" s="53">
        <f t="shared" ref="AO1107:AW1134" si="202">$G1107*H1107</f>
        <v>0</v>
      </c>
      <c r="AP1107" s="53">
        <f t="shared" si="202"/>
        <v>1463566</v>
      </c>
      <c r="AQ1107" s="53">
        <f t="shared" si="202"/>
        <v>214241306.79999998</v>
      </c>
      <c r="AR1107" s="53">
        <f t="shared" si="202"/>
        <v>0</v>
      </c>
      <c r="AS1107" s="53">
        <f t="shared" si="202"/>
        <v>1242216.0000000002</v>
      </c>
      <c r="AT1107" s="53">
        <f t="shared" si="202"/>
        <v>17400282.092307694</v>
      </c>
      <c r="AU1107" s="53">
        <f t="shared" si="202"/>
        <v>0</v>
      </c>
      <c r="AV1107" s="53">
        <f t="shared" si="202"/>
        <v>0</v>
      </c>
      <c r="AW1107" s="53">
        <f t="shared" si="202"/>
        <v>0</v>
      </c>
      <c r="AX1107" s="53">
        <f t="shared" ref="AX1107:AX1134" si="203">$G1107*E1107</f>
        <v>0</v>
      </c>
      <c r="AY1107" s="41" t="s">
        <v>557</v>
      </c>
    </row>
    <row r="1108" spans="1:51" x14ac:dyDescent="0.2">
      <c r="A1108" s="48" t="s">
        <v>324</v>
      </c>
      <c r="B1108" s="41">
        <v>1990</v>
      </c>
      <c r="C1108" s="41" t="s">
        <v>91</v>
      </c>
      <c r="D1108" s="41" t="s">
        <v>88</v>
      </c>
      <c r="E1108" s="41">
        <v>0</v>
      </c>
      <c r="F1108" s="41" t="s">
        <v>637</v>
      </c>
      <c r="G1108" s="53">
        <f>382574*0.9072</f>
        <v>347071.13280000002</v>
      </c>
      <c r="I1108" s="116">
        <f>1000*T1108/G1108/0.52</f>
        <v>6.565952292301966</v>
      </c>
      <c r="J1108" s="117">
        <f>1000*U1108/G1108/0.75</f>
        <v>912.37850555880823</v>
      </c>
      <c r="K1108" s="48"/>
      <c r="L1108" s="57">
        <f>100*Y1108/G1108/0.7</f>
        <v>6.2464105917137225</v>
      </c>
      <c r="M1108" s="57">
        <f>100*AA1108/G1108/0.8</f>
        <v>12.089164449230735</v>
      </c>
      <c r="T1108" s="53">
        <f>38103*31.1/1000</f>
        <v>1185.0033000000001</v>
      </c>
      <c r="U1108" s="53">
        <f>7636501*31.1/1000</f>
        <v>237495.18110000002</v>
      </c>
      <c r="X1108" s="76">
        <f t="shared" si="201"/>
        <v>30351.283200000002</v>
      </c>
      <c r="Y1108" s="53">
        <f>16728*0.9072</f>
        <v>15175.641600000001</v>
      </c>
      <c r="Z1108" s="76">
        <f t="shared" si="201"/>
        <v>67132.800000000003</v>
      </c>
      <c r="AA1108" s="53">
        <f>37000*0.9072</f>
        <v>33566.400000000001</v>
      </c>
      <c r="AH1108" s="76">
        <f>0.5*0.69*G1108</f>
        <v>119739.54081599999</v>
      </c>
      <c r="AO1108" s="53">
        <f t="shared" si="202"/>
        <v>0</v>
      </c>
      <c r="AP1108" s="53">
        <f t="shared" si="202"/>
        <v>2278852.5</v>
      </c>
      <c r="AQ1108" s="53">
        <f t="shared" si="202"/>
        <v>316660241.4666667</v>
      </c>
      <c r="AR1108" s="53">
        <f t="shared" si="202"/>
        <v>0</v>
      </c>
      <c r="AS1108" s="53">
        <f t="shared" si="202"/>
        <v>2167948.8000000003</v>
      </c>
      <c r="AT1108" s="53">
        <f t="shared" si="202"/>
        <v>4195799.9999999991</v>
      </c>
      <c r="AU1108" s="53">
        <f t="shared" si="202"/>
        <v>0</v>
      </c>
      <c r="AV1108" s="53">
        <f t="shared" si="202"/>
        <v>0</v>
      </c>
      <c r="AW1108" s="53">
        <f t="shared" si="202"/>
        <v>0</v>
      </c>
      <c r="AX1108" s="53">
        <f t="shared" si="203"/>
        <v>0</v>
      </c>
      <c r="AY1108" s="41" t="s">
        <v>557</v>
      </c>
    </row>
    <row r="1109" spans="1:51" x14ac:dyDescent="0.2">
      <c r="A1109" s="48" t="s">
        <v>324</v>
      </c>
      <c r="B1109" s="41">
        <v>1991</v>
      </c>
      <c r="C1109" s="41" t="s">
        <v>91</v>
      </c>
      <c r="D1109" s="41" t="s">
        <v>88</v>
      </c>
      <c r="E1109" s="41">
        <v>0</v>
      </c>
      <c r="F1109" s="41" t="s">
        <v>637</v>
      </c>
      <c r="G1109" s="53">
        <f>380000*0.9072</f>
        <v>344736</v>
      </c>
      <c r="I1109" s="116">
        <f>1000*T1109/G1109/0.54</f>
        <v>6.181326945621942</v>
      </c>
      <c r="J1109" s="117">
        <f>1000*U1109/G1109/0.75</f>
        <v>914.16813639035854</v>
      </c>
      <c r="K1109" s="48"/>
      <c r="L1109" s="57">
        <f>100*Y1109/G1109/0.7</f>
        <v>6.3533834586466176</v>
      </c>
      <c r="M1109" s="57">
        <f>100*AA1109/G1109/0.8</f>
        <v>13.766447368421053</v>
      </c>
      <c r="T1109" s="53">
        <f>37000*31.1/1000</f>
        <v>1150.7</v>
      </c>
      <c r="U1109" s="53">
        <f>7600000*31.1/1000</f>
        <v>236360</v>
      </c>
      <c r="X1109" s="76">
        <f t="shared" si="201"/>
        <v>30663.360000000001</v>
      </c>
      <c r="Y1109" s="53">
        <f>16900*0.9072</f>
        <v>15331.68</v>
      </c>
      <c r="Z1109" s="76">
        <f t="shared" si="201"/>
        <v>75932.639999999999</v>
      </c>
      <c r="AA1109" s="53">
        <f>41850*0.9072</f>
        <v>37966.32</v>
      </c>
      <c r="AH1109" s="76">
        <f>0.5*0.69*G1109</f>
        <v>118933.91999999998</v>
      </c>
      <c r="AO1109" s="53">
        <f t="shared" si="202"/>
        <v>0</v>
      </c>
      <c r="AP1109" s="53">
        <f t="shared" si="202"/>
        <v>2130925.9259259258</v>
      </c>
      <c r="AQ1109" s="53">
        <f t="shared" si="202"/>
        <v>315146666.66666663</v>
      </c>
      <c r="AR1109" s="53">
        <f t="shared" si="202"/>
        <v>0</v>
      </c>
      <c r="AS1109" s="53">
        <f t="shared" si="202"/>
        <v>2190240.0000000005</v>
      </c>
      <c r="AT1109" s="53">
        <f t="shared" si="202"/>
        <v>4745790</v>
      </c>
      <c r="AU1109" s="53">
        <f t="shared" si="202"/>
        <v>0</v>
      </c>
      <c r="AV1109" s="53">
        <f t="shared" si="202"/>
        <v>0</v>
      </c>
      <c r="AW1109" s="53">
        <f t="shared" si="202"/>
        <v>0</v>
      </c>
      <c r="AX1109" s="53">
        <f t="shared" si="203"/>
        <v>0</v>
      </c>
      <c r="AY1109" s="41" t="s">
        <v>557</v>
      </c>
    </row>
    <row r="1110" spans="1:51" x14ac:dyDescent="0.2">
      <c r="A1110" s="48" t="s">
        <v>324</v>
      </c>
      <c r="B1110" s="41">
        <v>1992</v>
      </c>
      <c r="C1110" s="41" t="s">
        <v>91</v>
      </c>
      <c r="D1110" s="41" t="s">
        <v>88</v>
      </c>
      <c r="E1110" s="41">
        <v>0</v>
      </c>
      <c r="F1110" s="41" t="s">
        <v>637</v>
      </c>
      <c r="G1110" s="53">
        <f>365000*0.9072</f>
        <v>331128</v>
      </c>
      <c r="I1110" s="116">
        <f>1000*T1110/G1110/0.56</f>
        <v>5.4340229242381879</v>
      </c>
      <c r="J1110" s="117">
        <f>1000*U1110/G1110/0.75</f>
        <v>889.12243402349941</v>
      </c>
      <c r="K1110" s="48"/>
      <c r="L1110" s="57">
        <f>100*Y1110/G1110/0.7</f>
        <v>6.457925636007829</v>
      </c>
      <c r="M1110" s="57">
        <f>100*AA1110/G1110/0.8</f>
        <v>13.86986301369863</v>
      </c>
      <c r="T1110" s="53">
        <f>32400*31.1/1000</f>
        <v>1007.64</v>
      </c>
      <c r="U1110" s="53">
        <f>7100000*31.1/1000</f>
        <v>220810</v>
      </c>
      <c r="X1110" s="76">
        <f t="shared" si="201"/>
        <v>29937.599999999999</v>
      </c>
      <c r="Y1110" s="53">
        <f>16500*0.9072</f>
        <v>14968.8</v>
      </c>
      <c r="Z1110" s="76">
        <f t="shared" si="201"/>
        <v>73483.199999999997</v>
      </c>
      <c r="AA1110" s="53">
        <f>40500*0.9072</f>
        <v>36741.599999999999</v>
      </c>
      <c r="AH1110" s="53">
        <f>0.5*(G1110-113827*0.9072)</f>
        <v>113932.07279999999</v>
      </c>
      <c r="AO1110" s="53">
        <f t="shared" si="202"/>
        <v>0</v>
      </c>
      <c r="AP1110" s="53">
        <f t="shared" si="202"/>
        <v>1799357.1428571427</v>
      </c>
      <c r="AQ1110" s="53">
        <f t="shared" si="202"/>
        <v>294413333.33333331</v>
      </c>
      <c r="AR1110" s="53">
        <f t="shared" si="202"/>
        <v>0</v>
      </c>
      <c r="AS1110" s="53">
        <f t="shared" si="202"/>
        <v>2138400.0000000005</v>
      </c>
      <c r="AT1110" s="53">
        <f t="shared" si="202"/>
        <v>4592700</v>
      </c>
      <c r="AU1110" s="53">
        <f t="shared" si="202"/>
        <v>0</v>
      </c>
      <c r="AV1110" s="53">
        <f t="shared" si="202"/>
        <v>0</v>
      </c>
      <c r="AW1110" s="53">
        <f t="shared" si="202"/>
        <v>0</v>
      </c>
      <c r="AX1110" s="53">
        <f t="shared" si="203"/>
        <v>0</v>
      </c>
      <c r="AY1110" s="41" t="s">
        <v>557</v>
      </c>
    </row>
    <row r="1111" spans="1:51" x14ac:dyDescent="0.2">
      <c r="A1111" s="48" t="s">
        <v>324</v>
      </c>
      <c r="B1111" s="41">
        <v>1993</v>
      </c>
      <c r="C1111" s="41" t="s">
        <v>91</v>
      </c>
      <c r="D1111" s="41" t="s">
        <v>88</v>
      </c>
      <c r="E1111" s="41">
        <v>0</v>
      </c>
      <c r="F1111" s="41" t="s">
        <v>637</v>
      </c>
      <c r="G1111" s="53">
        <f>77780*0.9072</f>
        <v>70562.016000000003</v>
      </c>
      <c r="I1111" s="116">
        <f>1000*T1111/G1111/0.58</f>
        <v>5.5853289249207005</v>
      </c>
      <c r="J1111" s="117">
        <f>1000*U1111/G1111/0.75</f>
        <v>1011.8835191254551</v>
      </c>
      <c r="K1111" s="48"/>
      <c r="L1111" s="57">
        <f>100*Y1111/G1111/0.7</f>
        <v>6.4559379936083454</v>
      </c>
      <c r="M1111" s="57">
        <f>100*AA1111/G1111/0.8</f>
        <v>15.267420930830546</v>
      </c>
      <c r="T1111" s="53">
        <f>7350*31.1/1000</f>
        <v>228.58500000000001</v>
      </c>
      <c r="U1111" s="53">
        <f>1721878*31.1/1000</f>
        <v>53550.405800000008</v>
      </c>
      <c r="X1111" s="76">
        <f t="shared" si="201"/>
        <v>6377.616</v>
      </c>
      <c r="Y1111" s="53">
        <f>3515*0.9072</f>
        <v>3188.808</v>
      </c>
      <c r="Z1111" s="76">
        <f t="shared" si="201"/>
        <v>17236.8</v>
      </c>
      <c r="AA1111" s="53">
        <f>9500*0.9072</f>
        <v>8618.4</v>
      </c>
      <c r="AH1111" s="76">
        <f>0.5*0.69*G1111</f>
        <v>24343.895519999998</v>
      </c>
      <c r="AO1111" s="53">
        <f t="shared" si="202"/>
        <v>0</v>
      </c>
      <c r="AP1111" s="53">
        <f t="shared" si="202"/>
        <v>394112.06896551728</v>
      </c>
      <c r="AQ1111" s="53">
        <f t="shared" si="202"/>
        <v>71400541.066666678</v>
      </c>
      <c r="AR1111" s="53">
        <f t="shared" si="202"/>
        <v>0</v>
      </c>
      <c r="AS1111" s="53">
        <f t="shared" si="202"/>
        <v>455544</v>
      </c>
      <c r="AT1111" s="53">
        <f t="shared" si="202"/>
        <v>1077300</v>
      </c>
      <c r="AU1111" s="53">
        <f t="shared" si="202"/>
        <v>0</v>
      </c>
      <c r="AV1111" s="53">
        <f t="shared" si="202"/>
        <v>0</v>
      </c>
      <c r="AW1111" s="53">
        <f t="shared" si="202"/>
        <v>0</v>
      </c>
      <c r="AX1111" s="53">
        <f t="shared" si="203"/>
        <v>0</v>
      </c>
      <c r="AY1111" s="41" t="s">
        <v>557</v>
      </c>
    </row>
    <row r="1112" spans="1:51" x14ac:dyDescent="0.2">
      <c r="A1112" s="48" t="s">
        <v>324</v>
      </c>
      <c r="B1112" s="41">
        <v>1994</v>
      </c>
      <c r="C1112" s="41" t="s">
        <v>91</v>
      </c>
      <c r="D1112" s="41" t="s">
        <v>88</v>
      </c>
      <c r="E1112" s="41">
        <v>0</v>
      </c>
      <c r="F1112" s="41" t="s">
        <v>637</v>
      </c>
      <c r="G1112" s="53">
        <f>0*0.9072</f>
        <v>0</v>
      </c>
      <c r="T1112" s="53">
        <f>0*31.1/1000</f>
        <v>0</v>
      </c>
      <c r="U1112" s="53">
        <f>0*31.1/1000</f>
        <v>0</v>
      </c>
      <c r="X1112" s="76">
        <f t="shared" si="201"/>
        <v>0</v>
      </c>
      <c r="Y1112" s="53">
        <f t="shared" ref="Y1112:AA1113" si="204">0*0.9072</f>
        <v>0</v>
      </c>
      <c r="Z1112" s="76">
        <f t="shared" si="201"/>
        <v>0</v>
      </c>
      <c r="AA1112" s="53">
        <f t="shared" si="204"/>
        <v>0</v>
      </c>
      <c r="AH1112" s="76">
        <f>0.5*0.69*G1112</f>
        <v>0</v>
      </c>
      <c r="AO1112" s="53">
        <f t="shared" si="202"/>
        <v>0</v>
      </c>
      <c r="AP1112" s="53">
        <f t="shared" si="202"/>
        <v>0</v>
      </c>
      <c r="AQ1112" s="53">
        <f t="shared" si="202"/>
        <v>0</v>
      </c>
      <c r="AR1112" s="53">
        <f t="shared" si="202"/>
        <v>0</v>
      </c>
      <c r="AS1112" s="53">
        <f t="shared" si="202"/>
        <v>0</v>
      </c>
      <c r="AT1112" s="53">
        <f t="shared" si="202"/>
        <v>0</v>
      </c>
      <c r="AU1112" s="53">
        <f t="shared" si="202"/>
        <v>0</v>
      </c>
      <c r="AV1112" s="53">
        <f t="shared" si="202"/>
        <v>0</v>
      </c>
      <c r="AW1112" s="53">
        <f t="shared" si="202"/>
        <v>0</v>
      </c>
      <c r="AX1112" s="53">
        <f t="shared" si="203"/>
        <v>0</v>
      </c>
      <c r="AY1112" s="41" t="s">
        <v>557</v>
      </c>
    </row>
    <row r="1113" spans="1:51" x14ac:dyDescent="0.2">
      <c r="A1113" s="48" t="s">
        <v>324</v>
      </c>
      <c r="B1113" s="41">
        <v>1995</v>
      </c>
      <c r="C1113" s="41" t="s">
        <v>91</v>
      </c>
      <c r="D1113" s="41" t="s">
        <v>88</v>
      </c>
      <c r="E1113" s="41">
        <v>0</v>
      </c>
      <c r="F1113" s="41" t="s">
        <v>637</v>
      </c>
      <c r="G1113" s="53">
        <f>0*0.9072</f>
        <v>0</v>
      </c>
      <c r="T1113" s="53">
        <f>0*31.1/1000</f>
        <v>0</v>
      </c>
      <c r="U1113" s="53">
        <f>0*31.1/1000</f>
        <v>0</v>
      </c>
      <c r="X1113" s="76">
        <f t="shared" si="201"/>
        <v>0</v>
      </c>
      <c r="Y1113" s="53">
        <f t="shared" si="204"/>
        <v>0</v>
      </c>
      <c r="Z1113" s="76">
        <f t="shared" si="201"/>
        <v>0</v>
      </c>
      <c r="AA1113" s="53">
        <f t="shared" si="204"/>
        <v>0</v>
      </c>
      <c r="AH1113" s="76">
        <f>0.5*0.69*G1113</f>
        <v>0</v>
      </c>
      <c r="AO1113" s="53">
        <f t="shared" si="202"/>
        <v>0</v>
      </c>
      <c r="AP1113" s="53">
        <f t="shared" si="202"/>
        <v>0</v>
      </c>
      <c r="AQ1113" s="53">
        <f t="shared" si="202"/>
        <v>0</v>
      </c>
      <c r="AR1113" s="53">
        <f t="shared" si="202"/>
        <v>0</v>
      </c>
      <c r="AS1113" s="53">
        <f t="shared" si="202"/>
        <v>0</v>
      </c>
      <c r="AT1113" s="53">
        <f t="shared" si="202"/>
        <v>0</v>
      </c>
      <c r="AU1113" s="53">
        <f t="shared" si="202"/>
        <v>0</v>
      </c>
      <c r="AV1113" s="53">
        <f t="shared" si="202"/>
        <v>0</v>
      </c>
      <c r="AW1113" s="53">
        <f t="shared" si="202"/>
        <v>0</v>
      </c>
      <c r="AX1113" s="53">
        <f t="shared" si="203"/>
        <v>0</v>
      </c>
      <c r="AY1113" s="41" t="s">
        <v>557</v>
      </c>
    </row>
    <row r="1114" spans="1:51" x14ac:dyDescent="0.2">
      <c r="A1114" s="48" t="s">
        <v>324</v>
      </c>
      <c r="B1114" s="41">
        <v>1996</v>
      </c>
      <c r="C1114" s="41" t="s">
        <v>91</v>
      </c>
      <c r="D1114" s="41" t="s">
        <v>88</v>
      </c>
      <c r="E1114" s="41">
        <v>0</v>
      </c>
      <c r="F1114" s="41" t="s">
        <v>637</v>
      </c>
      <c r="G1114" s="53">
        <f>135000*0.9072</f>
        <v>122472</v>
      </c>
      <c r="H1114" s="56">
        <f>100*S1114/G1114/0.5</f>
        <v>0.28592592592592592</v>
      </c>
      <c r="I1114" s="46">
        <v>3.7</v>
      </c>
      <c r="J1114" s="41">
        <v>816.3</v>
      </c>
      <c r="L1114" s="41">
        <v>4.9000000000000004</v>
      </c>
      <c r="M1114" s="47">
        <v>10</v>
      </c>
      <c r="R1114" s="76">
        <f>S1114*5</f>
        <v>875.44799999999998</v>
      </c>
      <c r="S1114" s="53">
        <f>193*0.9072</f>
        <v>175.08959999999999</v>
      </c>
      <c r="T1114" s="53">
        <f>7480*31.1/1000</f>
        <v>232.62799999999999</v>
      </c>
      <c r="U1114" s="53">
        <f>2476000*31.1/1000</f>
        <v>77003.600000000006</v>
      </c>
      <c r="X1114" s="76">
        <f>Y1114*2</f>
        <v>7620.4800000000005</v>
      </c>
      <c r="Y1114" s="53">
        <f>4200*0.9072</f>
        <v>3810.2400000000002</v>
      </c>
      <c r="Z1114" s="76">
        <f>AA1114*2</f>
        <v>16511.04</v>
      </c>
      <c r="AA1114" s="53">
        <f>9100*0.9072</f>
        <v>8255.52</v>
      </c>
      <c r="AH1114" s="53">
        <f>0.5*(G1114-43000*0.9072)</f>
        <v>41731.199999999997</v>
      </c>
      <c r="AO1114" s="53">
        <f t="shared" si="202"/>
        <v>35017.919999999998</v>
      </c>
      <c r="AP1114" s="53">
        <f t="shared" si="202"/>
        <v>453146.4</v>
      </c>
      <c r="AQ1114" s="53">
        <f t="shared" si="202"/>
        <v>99973893.599999994</v>
      </c>
      <c r="AR1114" s="53">
        <f t="shared" si="202"/>
        <v>0</v>
      </c>
      <c r="AS1114" s="53">
        <f t="shared" si="202"/>
        <v>600112.80000000005</v>
      </c>
      <c r="AT1114" s="53">
        <f t="shared" si="202"/>
        <v>1224720</v>
      </c>
      <c r="AU1114" s="53">
        <f t="shared" si="202"/>
        <v>0</v>
      </c>
      <c r="AV1114" s="53">
        <f t="shared" si="202"/>
        <v>0</v>
      </c>
      <c r="AW1114" s="53">
        <f t="shared" si="202"/>
        <v>0</v>
      </c>
      <c r="AX1114" s="53">
        <f t="shared" si="203"/>
        <v>0</v>
      </c>
      <c r="AY1114" s="41" t="s">
        <v>557</v>
      </c>
    </row>
    <row r="1115" spans="1:51" x14ac:dyDescent="0.2">
      <c r="A1115" s="48" t="s">
        <v>324</v>
      </c>
      <c r="B1115" s="41">
        <v>1997</v>
      </c>
      <c r="C1115" s="41" t="s">
        <v>91</v>
      </c>
      <c r="D1115" s="41" t="s">
        <v>88</v>
      </c>
      <c r="E1115" s="41">
        <v>0</v>
      </c>
      <c r="F1115" s="41" t="s">
        <v>637</v>
      </c>
      <c r="G1115" s="53">
        <v>445000</v>
      </c>
      <c r="H1115" s="56">
        <f t="shared" ref="H1115:H1120" si="205">100*S1115/G1115/0.5</f>
        <v>0.53004943820224715</v>
      </c>
      <c r="I1115" s="41">
        <v>6.07</v>
      </c>
      <c r="J1115" s="41">
        <v>881</v>
      </c>
      <c r="L1115" s="41">
        <v>4.8</v>
      </c>
      <c r="M1115" s="41">
        <v>10.5</v>
      </c>
      <c r="R1115" s="76">
        <f t="shared" ref="R1115:R1120" si="206">S1115*5</f>
        <v>5896.7999999999993</v>
      </c>
      <c r="S1115" s="53">
        <f>1300*0.9072</f>
        <v>1179.3599999999999</v>
      </c>
      <c r="T1115" s="53">
        <f>55000*31.1/1000</f>
        <v>1710.5</v>
      </c>
      <c r="U1115" s="53">
        <f>9717000*31.1/1000</f>
        <v>302198.7</v>
      </c>
      <c r="X1115" s="76">
        <f t="shared" ref="X1115:Z1134" si="207">Y1115*2</f>
        <v>35200</v>
      </c>
      <c r="Y1115" s="53">
        <v>17600</v>
      </c>
      <c r="Z1115" s="76">
        <f t="shared" si="207"/>
        <v>83200</v>
      </c>
      <c r="AA1115" s="53">
        <v>41600</v>
      </c>
      <c r="AH1115" s="76">
        <f t="shared" ref="AH1115:AH1134" si="208">0.5*0.69*G1115</f>
        <v>153525</v>
      </c>
      <c r="AO1115" s="53">
        <f t="shared" si="202"/>
        <v>235871.99999999997</v>
      </c>
      <c r="AP1115" s="53">
        <f t="shared" si="202"/>
        <v>2701150</v>
      </c>
      <c r="AQ1115" s="53">
        <f t="shared" si="202"/>
        <v>392045000</v>
      </c>
      <c r="AR1115" s="53">
        <f t="shared" si="202"/>
        <v>0</v>
      </c>
      <c r="AS1115" s="53">
        <f t="shared" si="202"/>
        <v>2136000</v>
      </c>
      <c r="AT1115" s="53">
        <f t="shared" si="202"/>
        <v>4672500</v>
      </c>
      <c r="AU1115" s="53">
        <f t="shared" si="202"/>
        <v>0</v>
      </c>
      <c r="AV1115" s="53">
        <f t="shared" si="202"/>
        <v>0</v>
      </c>
      <c r="AW1115" s="53">
        <f t="shared" si="202"/>
        <v>0</v>
      </c>
      <c r="AX1115" s="53">
        <f t="shared" si="203"/>
        <v>0</v>
      </c>
      <c r="AY1115" s="41" t="s">
        <v>557</v>
      </c>
    </row>
    <row r="1116" spans="1:51" x14ac:dyDescent="0.2">
      <c r="A1116" s="48" t="s">
        <v>324</v>
      </c>
      <c r="B1116" s="41">
        <v>1998</v>
      </c>
      <c r="C1116" s="41" t="s">
        <v>91</v>
      </c>
      <c r="D1116" s="41" t="s">
        <v>88</v>
      </c>
      <c r="E1116" s="41">
        <v>0</v>
      </c>
      <c r="F1116" s="41" t="s">
        <v>637</v>
      </c>
      <c r="G1116" s="53">
        <v>490000</v>
      </c>
      <c r="H1116" s="56">
        <f t="shared" si="205"/>
        <v>0.48137142857142851</v>
      </c>
      <c r="I1116" s="41">
        <v>5.83</v>
      </c>
      <c r="J1116" s="41">
        <v>780</v>
      </c>
      <c r="L1116" s="41">
        <v>5.0999999999999996</v>
      </c>
      <c r="M1116" s="41">
        <v>11.9</v>
      </c>
      <c r="R1116" s="76">
        <f t="shared" si="206"/>
        <v>5896.7999999999993</v>
      </c>
      <c r="S1116" s="53">
        <f>1300*0.9072</f>
        <v>1179.3599999999999</v>
      </c>
      <c r="T1116" s="53">
        <f>61000*31.1/1000</f>
        <v>1897.1</v>
      </c>
      <c r="U1116" s="53">
        <f>9497000*31.1/1000</f>
        <v>295356.7</v>
      </c>
      <c r="X1116" s="76">
        <f t="shared" si="207"/>
        <v>38000</v>
      </c>
      <c r="Y1116" s="53">
        <v>19000</v>
      </c>
      <c r="Z1116" s="76">
        <f t="shared" si="207"/>
        <v>98400</v>
      </c>
      <c r="AA1116" s="53">
        <v>49200</v>
      </c>
      <c r="AH1116" s="76">
        <f t="shared" si="208"/>
        <v>169050</v>
      </c>
      <c r="AO1116" s="53">
        <f t="shared" si="202"/>
        <v>235871.99999999997</v>
      </c>
      <c r="AP1116" s="53">
        <f t="shared" si="202"/>
        <v>2856700</v>
      </c>
      <c r="AQ1116" s="53">
        <f t="shared" si="202"/>
        <v>382200000</v>
      </c>
      <c r="AR1116" s="53">
        <f t="shared" si="202"/>
        <v>0</v>
      </c>
      <c r="AS1116" s="53">
        <f t="shared" si="202"/>
        <v>2499000</v>
      </c>
      <c r="AT1116" s="53">
        <f t="shared" si="202"/>
        <v>5831000</v>
      </c>
      <c r="AU1116" s="53">
        <f t="shared" si="202"/>
        <v>0</v>
      </c>
      <c r="AV1116" s="53">
        <f t="shared" si="202"/>
        <v>0</v>
      </c>
      <c r="AW1116" s="53">
        <f t="shared" si="202"/>
        <v>0</v>
      </c>
      <c r="AX1116" s="53">
        <f t="shared" si="203"/>
        <v>0</v>
      </c>
      <c r="AY1116" s="41" t="s">
        <v>557</v>
      </c>
    </row>
    <row r="1117" spans="1:51" x14ac:dyDescent="0.2">
      <c r="A1117" s="48" t="s">
        <v>324</v>
      </c>
      <c r="B1117" s="41">
        <v>1999</v>
      </c>
      <c r="C1117" s="41" t="s">
        <v>91</v>
      </c>
      <c r="D1117" s="41" t="s">
        <v>88</v>
      </c>
      <c r="E1117" s="41">
        <v>0</v>
      </c>
      <c r="F1117" s="41" t="s">
        <v>637</v>
      </c>
      <c r="G1117" s="53">
        <v>525000</v>
      </c>
      <c r="H1117" s="56">
        <f t="shared" si="205"/>
        <v>0.48383999999999999</v>
      </c>
      <c r="I1117" s="41">
        <v>7.27</v>
      </c>
      <c r="J1117" s="41">
        <v>811</v>
      </c>
      <c r="L1117" s="41">
        <v>5.6</v>
      </c>
      <c r="M1117" s="41">
        <v>13.5</v>
      </c>
      <c r="R1117" s="76">
        <f t="shared" si="206"/>
        <v>6350.4</v>
      </c>
      <c r="S1117" s="53">
        <f>1400*0.9072</f>
        <v>1270.08</v>
      </c>
      <c r="T1117" s="53">
        <f>80000*31.1/1000</f>
        <v>2488</v>
      </c>
      <c r="U1117" s="53">
        <f>10261000*31.1/1000</f>
        <v>319117.09999999998</v>
      </c>
      <c r="X1117" s="76">
        <f t="shared" si="207"/>
        <v>41200</v>
      </c>
      <c r="Y1117" s="53">
        <v>20600</v>
      </c>
      <c r="Z1117" s="76">
        <f t="shared" si="207"/>
        <v>114000</v>
      </c>
      <c r="AA1117" s="53">
        <v>57000</v>
      </c>
      <c r="AH1117" s="76">
        <f t="shared" si="208"/>
        <v>181125</v>
      </c>
      <c r="AO1117" s="53">
        <f t="shared" si="202"/>
        <v>254016</v>
      </c>
      <c r="AP1117" s="53">
        <f t="shared" si="202"/>
        <v>3816750</v>
      </c>
      <c r="AQ1117" s="53">
        <f t="shared" si="202"/>
        <v>425775000</v>
      </c>
      <c r="AR1117" s="53">
        <f t="shared" si="202"/>
        <v>0</v>
      </c>
      <c r="AS1117" s="53">
        <f t="shared" si="202"/>
        <v>2940000</v>
      </c>
      <c r="AT1117" s="53">
        <f t="shared" si="202"/>
        <v>7087500</v>
      </c>
      <c r="AU1117" s="53">
        <f t="shared" si="202"/>
        <v>0</v>
      </c>
      <c r="AV1117" s="53">
        <f t="shared" si="202"/>
        <v>0</v>
      </c>
      <c r="AW1117" s="53">
        <f t="shared" si="202"/>
        <v>0</v>
      </c>
      <c r="AX1117" s="53">
        <f t="shared" si="203"/>
        <v>0</v>
      </c>
      <c r="AY1117" s="41" t="s">
        <v>557</v>
      </c>
    </row>
    <row r="1118" spans="1:51" x14ac:dyDescent="0.2">
      <c r="A1118" s="48" t="s">
        <v>324</v>
      </c>
      <c r="B1118" s="41">
        <v>2000</v>
      </c>
      <c r="C1118" s="41" t="s">
        <v>91</v>
      </c>
      <c r="D1118" s="41" t="s">
        <v>88</v>
      </c>
      <c r="E1118" s="41">
        <v>0</v>
      </c>
      <c r="F1118" s="41" t="s">
        <v>637</v>
      </c>
      <c r="G1118" s="53">
        <v>563000</v>
      </c>
      <c r="H1118" s="56">
        <f t="shared" si="205"/>
        <v>0.45118294849023088</v>
      </c>
      <c r="I1118" s="41">
        <v>7.13</v>
      </c>
      <c r="J1118" s="41">
        <v>688</v>
      </c>
      <c r="L1118" s="41">
        <v>5.3</v>
      </c>
      <c r="M1118" s="41">
        <v>13.6</v>
      </c>
      <c r="R1118" s="76">
        <f t="shared" si="206"/>
        <v>6350.4</v>
      </c>
      <c r="S1118" s="53">
        <f>1400*0.9072</f>
        <v>1270.08</v>
      </c>
      <c r="T1118" s="53">
        <f>83000*31.1/1000</f>
        <v>2581.3000000000002</v>
      </c>
      <c r="U1118" s="53">
        <f>9237000*31.1/1000</f>
        <v>287270.7</v>
      </c>
      <c r="X1118" s="76">
        <f t="shared" si="207"/>
        <v>40400</v>
      </c>
      <c r="Y1118" s="53">
        <v>20200</v>
      </c>
      <c r="Z1118" s="76">
        <f t="shared" si="207"/>
        <v>121400</v>
      </c>
      <c r="AA1118" s="53">
        <v>60700</v>
      </c>
      <c r="AH1118" s="76">
        <f t="shared" si="208"/>
        <v>194234.99999999997</v>
      </c>
      <c r="AO1118" s="53">
        <f t="shared" si="202"/>
        <v>254016</v>
      </c>
      <c r="AP1118" s="53">
        <f t="shared" si="202"/>
        <v>4014190</v>
      </c>
      <c r="AQ1118" s="53">
        <f t="shared" si="202"/>
        <v>387344000</v>
      </c>
      <c r="AR1118" s="53">
        <f t="shared" si="202"/>
        <v>0</v>
      </c>
      <c r="AS1118" s="53">
        <f t="shared" si="202"/>
        <v>2983900</v>
      </c>
      <c r="AT1118" s="53">
        <f t="shared" si="202"/>
        <v>7656800</v>
      </c>
      <c r="AU1118" s="53">
        <f t="shared" si="202"/>
        <v>0</v>
      </c>
      <c r="AV1118" s="53">
        <f t="shared" si="202"/>
        <v>0</v>
      </c>
      <c r="AW1118" s="53">
        <f t="shared" si="202"/>
        <v>0</v>
      </c>
      <c r="AX1118" s="53">
        <f t="shared" si="203"/>
        <v>0</v>
      </c>
      <c r="AY1118" s="41" t="s">
        <v>557</v>
      </c>
    </row>
    <row r="1119" spans="1:51" x14ac:dyDescent="0.2">
      <c r="A1119" s="48" t="s">
        <v>324</v>
      </c>
      <c r="B1119" s="41">
        <v>2001</v>
      </c>
      <c r="C1119" s="41" t="s">
        <v>91</v>
      </c>
      <c r="D1119" s="41" t="s">
        <v>88</v>
      </c>
      <c r="E1119" s="41">
        <v>0</v>
      </c>
      <c r="F1119" s="41" t="s">
        <v>637</v>
      </c>
      <c r="G1119" s="53">
        <v>597000</v>
      </c>
      <c r="H1119" s="56">
        <f t="shared" si="205"/>
        <v>0.42548743718592963</v>
      </c>
      <c r="I1119" s="41">
        <v>6.65</v>
      </c>
      <c r="J1119" s="41">
        <v>746</v>
      </c>
      <c r="L1119" s="41">
        <v>4.8</v>
      </c>
      <c r="M1119" s="41">
        <v>12.1</v>
      </c>
      <c r="R1119" s="76">
        <f t="shared" si="206"/>
        <v>6350.4</v>
      </c>
      <c r="S1119" s="53">
        <f>1400*0.9072</f>
        <v>1270.08</v>
      </c>
      <c r="T1119" s="53">
        <f>88000*31.1/1000</f>
        <v>2736.8</v>
      </c>
      <c r="U1119" s="53">
        <f>10964000*31.1/1000</f>
        <v>340980.4</v>
      </c>
      <c r="X1119" s="76">
        <f t="shared" si="207"/>
        <v>40600</v>
      </c>
      <c r="Y1119" s="53">
        <v>20300</v>
      </c>
      <c r="Z1119" s="76">
        <f t="shared" si="207"/>
        <v>116000</v>
      </c>
      <c r="AA1119" s="53">
        <v>58000</v>
      </c>
      <c r="AH1119" s="76">
        <f t="shared" si="208"/>
        <v>205964.99999999997</v>
      </c>
      <c r="AO1119" s="53">
        <f t="shared" si="202"/>
        <v>254016</v>
      </c>
      <c r="AP1119" s="53">
        <f t="shared" si="202"/>
        <v>3970050</v>
      </c>
      <c r="AQ1119" s="53">
        <f t="shared" si="202"/>
        <v>445362000</v>
      </c>
      <c r="AR1119" s="53">
        <f t="shared" si="202"/>
        <v>0</v>
      </c>
      <c r="AS1119" s="53">
        <f t="shared" si="202"/>
        <v>2865600</v>
      </c>
      <c r="AT1119" s="53">
        <f t="shared" si="202"/>
        <v>7223700</v>
      </c>
      <c r="AU1119" s="53">
        <f t="shared" si="202"/>
        <v>0</v>
      </c>
      <c r="AV1119" s="53">
        <f t="shared" si="202"/>
        <v>0</v>
      </c>
      <c r="AW1119" s="53">
        <f t="shared" si="202"/>
        <v>0</v>
      </c>
      <c r="AX1119" s="53">
        <f t="shared" si="203"/>
        <v>0</v>
      </c>
      <c r="AY1119" s="41" t="s">
        <v>557</v>
      </c>
    </row>
    <row r="1120" spans="1:51" x14ac:dyDescent="0.2">
      <c r="A1120" s="48" t="s">
        <v>324</v>
      </c>
      <c r="B1120" s="41">
        <v>2002</v>
      </c>
      <c r="C1120" s="41" t="s">
        <v>91</v>
      </c>
      <c r="D1120" s="41" t="s">
        <v>88</v>
      </c>
      <c r="E1120" s="41">
        <v>0</v>
      </c>
      <c r="F1120" s="41" t="s">
        <v>637</v>
      </c>
      <c r="G1120" s="53">
        <v>665000</v>
      </c>
      <c r="H1120" s="56">
        <f t="shared" si="205"/>
        <v>0.43654736842105263</v>
      </c>
      <c r="I1120" s="41">
        <v>6.96</v>
      </c>
      <c r="J1120" s="41">
        <v>676</v>
      </c>
      <c r="L1120" s="41">
        <v>4.7</v>
      </c>
      <c r="M1120" s="41">
        <v>12.5</v>
      </c>
      <c r="R1120" s="76">
        <f t="shared" si="206"/>
        <v>7257.6</v>
      </c>
      <c r="S1120" s="53">
        <f>1600*0.9072</f>
        <v>1451.52</v>
      </c>
      <c r="T1120" s="53">
        <f>103000*31.1/1000</f>
        <v>3203.3</v>
      </c>
      <c r="U1120" s="53">
        <f>10912000*31.1/1000</f>
        <v>339363.2</v>
      </c>
      <c r="X1120" s="76">
        <f t="shared" si="207"/>
        <v>44600</v>
      </c>
      <c r="Y1120" s="53">
        <v>22300</v>
      </c>
      <c r="Z1120" s="76">
        <f t="shared" si="207"/>
        <v>133000</v>
      </c>
      <c r="AA1120" s="53">
        <v>66500</v>
      </c>
      <c r="AH1120" s="53">
        <f>0.5*(G1120-217200*0.9072)</f>
        <v>233978.08000000002</v>
      </c>
      <c r="AO1120" s="53">
        <f t="shared" si="202"/>
        <v>290304</v>
      </c>
      <c r="AP1120" s="53">
        <f t="shared" si="202"/>
        <v>4628400</v>
      </c>
      <c r="AQ1120" s="53">
        <f t="shared" si="202"/>
        <v>449540000</v>
      </c>
      <c r="AR1120" s="53">
        <f t="shared" si="202"/>
        <v>0</v>
      </c>
      <c r="AS1120" s="53">
        <f t="shared" si="202"/>
        <v>3125500</v>
      </c>
      <c r="AT1120" s="53">
        <f t="shared" si="202"/>
        <v>8312500</v>
      </c>
      <c r="AU1120" s="53">
        <f t="shared" si="202"/>
        <v>0</v>
      </c>
      <c r="AV1120" s="53">
        <f t="shared" si="202"/>
        <v>0</v>
      </c>
      <c r="AW1120" s="53">
        <f t="shared" si="202"/>
        <v>0</v>
      </c>
      <c r="AX1120" s="53">
        <f t="shared" si="203"/>
        <v>0</v>
      </c>
      <c r="AY1120" s="41" t="s">
        <v>557</v>
      </c>
    </row>
    <row r="1121" spans="1:51" x14ac:dyDescent="0.2">
      <c r="A1121" s="48" t="s">
        <v>324</v>
      </c>
      <c r="B1121" s="41">
        <v>2003</v>
      </c>
      <c r="C1121" s="41" t="s">
        <v>91</v>
      </c>
      <c r="D1121" s="41" t="s">
        <v>88</v>
      </c>
      <c r="E1121" s="41">
        <v>0</v>
      </c>
      <c r="F1121" s="41" t="s">
        <v>637</v>
      </c>
      <c r="G1121" s="53">
        <v>709000</v>
      </c>
      <c r="I1121" s="41">
        <v>6.42</v>
      </c>
      <c r="J1121" s="41">
        <v>675</v>
      </c>
      <c r="L1121" s="41">
        <v>4.5999999999999996</v>
      </c>
      <c r="M1121" s="41">
        <v>12.3</v>
      </c>
      <c r="T1121" s="53">
        <f>99000*31.1/1000</f>
        <v>3078.9</v>
      </c>
      <c r="U1121" s="53">
        <f>11707000*31.1/1000</f>
        <v>364087.7</v>
      </c>
      <c r="X1121" s="76">
        <f t="shared" si="207"/>
        <v>45000</v>
      </c>
      <c r="Y1121" s="53">
        <v>22500</v>
      </c>
      <c r="Z1121" s="76">
        <f t="shared" si="207"/>
        <v>138200</v>
      </c>
      <c r="AA1121" s="53">
        <v>69100</v>
      </c>
      <c r="AH1121" s="76">
        <f t="shared" si="208"/>
        <v>244604.99999999997</v>
      </c>
      <c r="AO1121" s="53">
        <f t="shared" si="202"/>
        <v>0</v>
      </c>
      <c r="AP1121" s="53">
        <f t="shared" si="202"/>
        <v>4551780</v>
      </c>
      <c r="AQ1121" s="53">
        <f t="shared" si="202"/>
        <v>478575000</v>
      </c>
      <c r="AR1121" s="53">
        <f t="shared" si="202"/>
        <v>0</v>
      </c>
      <c r="AS1121" s="53">
        <f t="shared" si="202"/>
        <v>3261399.9999999995</v>
      </c>
      <c r="AT1121" s="53">
        <f t="shared" si="202"/>
        <v>8720700</v>
      </c>
      <c r="AU1121" s="53">
        <f t="shared" si="202"/>
        <v>0</v>
      </c>
      <c r="AV1121" s="53">
        <f t="shared" si="202"/>
        <v>0</v>
      </c>
      <c r="AW1121" s="53">
        <f t="shared" si="202"/>
        <v>0</v>
      </c>
      <c r="AX1121" s="53">
        <f t="shared" si="203"/>
        <v>0</v>
      </c>
      <c r="AY1121" s="41" t="s">
        <v>557</v>
      </c>
    </row>
    <row r="1122" spans="1:51" x14ac:dyDescent="0.2">
      <c r="A1122" s="48" t="s">
        <v>324</v>
      </c>
      <c r="B1122" s="41">
        <v>2004</v>
      </c>
      <c r="C1122" s="41" t="s">
        <v>91</v>
      </c>
      <c r="D1122" s="41" t="s">
        <v>88</v>
      </c>
      <c r="E1122" s="41">
        <v>0</v>
      </c>
      <c r="F1122" s="41" t="s">
        <v>637</v>
      </c>
      <c r="G1122" s="53">
        <v>731000</v>
      </c>
      <c r="I1122" s="46">
        <v>5.6</v>
      </c>
      <c r="J1122" s="41">
        <v>571</v>
      </c>
      <c r="L1122" s="41">
        <v>4.0999999999999996</v>
      </c>
      <c r="M1122" s="41">
        <v>11.1</v>
      </c>
      <c r="T1122" s="53">
        <f>86000*31.1/1000</f>
        <v>2674.6</v>
      </c>
      <c r="U1122" s="53">
        <f>9707000*31.1/1000</f>
        <v>301887.7</v>
      </c>
      <c r="X1122" s="76">
        <f t="shared" si="207"/>
        <v>39600</v>
      </c>
      <c r="Y1122" s="53">
        <v>19800</v>
      </c>
      <c r="Z1122" s="76">
        <f t="shared" si="207"/>
        <v>125400</v>
      </c>
      <c r="AA1122" s="53">
        <v>62700</v>
      </c>
      <c r="AH1122" s="76">
        <f t="shared" si="208"/>
        <v>252194.99999999997</v>
      </c>
      <c r="AO1122" s="53">
        <f t="shared" si="202"/>
        <v>0</v>
      </c>
      <c r="AP1122" s="53">
        <f t="shared" si="202"/>
        <v>4093599.9999999995</v>
      </c>
      <c r="AQ1122" s="53">
        <f t="shared" si="202"/>
        <v>417401000</v>
      </c>
      <c r="AR1122" s="53">
        <f t="shared" si="202"/>
        <v>0</v>
      </c>
      <c r="AS1122" s="53">
        <f t="shared" si="202"/>
        <v>2997099.9999999995</v>
      </c>
      <c r="AT1122" s="53">
        <f t="shared" si="202"/>
        <v>8114100</v>
      </c>
      <c r="AU1122" s="53">
        <f t="shared" si="202"/>
        <v>0</v>
      </c>
      <c r="AV1122" s="53">
        <f t="shared" si="202"/>
        <v>0</v>
      </c>
      <c r="AW1122" s="53">
        <f t="shared" si="202"/>
        <v>0</v>
      </c>
      <c r="AX1122" s="53">
        <f t="shared" si="203"/>
        <v>0</v>
      </c>
      <c r="AY1122" s="41" t="s">
        <v>557</v>
      </c>
    </row>
    <row r="1123" spans="1:51" x14ac:dyDescent="0.2">
      <c r="A1123" s="48" t="s">
        <v>324</v>
      </c>
      <c r="B1123" s="41">
        <v>2005</v>
      </c>
      <c r="C1123" s="41" t="s">
        <v>91</v>
      </c>
      <c r="D1123" s="41" t="s">
        <v>88</v>
      </c>
      <c r="E1123" s="41">
        <v>0</v>
      </c>
      <c r="F1123" s="41" t="s">
        <v>637</v>
      </c>
      <c r="G1123" s="53">
        <v>651000</v>
      </c>
      <c r="I1123" s="41">
        <v>5.12</v>
      </c>
      <c r="J1123" s="41">
        <v>623</v>
      </c>
      <c r="L1123" s="47">
        <v>4</v>
      </c>
      <c r="M1123" s="41">
        <v>10.3</v>
      </c>
      <c r="T1123" s="53">
        <f>73000*31.1/1000</f>
        <v>2270.3000000000002</v>
      </c>
      <c r="U1123" s="53">
        <f>9664000*31.1/1000</f>
        <v>300550.40000000002</v>
      </c>
      <c r="X1123" s="76">
        <f t="shared" si="207"/>
        <v>33800</v>
      </c>
      <c r="Y1123" s="53">
        <v>16900</v>
      </c>
      <c r="Z1123" s="76">
        <f t="shared" si="207"/>
        <v>105800</v>
      </c>
      <c r="AA1123" s="53">
        <v>52900</v>
      </c>
      <c r="AH1123" s="76">
        <f t="shared" si="208"/>
        <v>224594.99999999997</v>
      </c>
      <c r="AO1123" s="53">
        <f t="shared" si="202"/>
        <v>0</v>
      </c>
      <c r="AP1123" s="53">
        <f t="shared" si="202"/>
        <v>3333120</v>
      </c>
      <c r="AQ1123" s="53">
        <f t="shared" si="202"/>
        <v>405573000</v>
      </c>
      <c r="AR1123" s="53">
        <f t="shared" si="202"/>
        <v>0</v>
      </c>
      <c r="AS1123" s="53">
        <f t="shared" si="202"/>
        <v>2604000</v>
      </c>
      <c r="AT1123" s="53">
        <f t="shared" si="202"/>
        <v>6705300</v>
      </c>
      <c r="AU1123" s="53">
        <f t="shared" si="202"/>
        <v>0</v>
      </c>
      <c r="AV1123" s="53">
        <f t="shared" si="202"/>
        <v>0</v>
      </c>
      <c r="AW1123" s="53">
        <f t="shared" si="202"/>
        <v>0</v>
      </c>
      <c r="AX1123" s="53">
        <f t="shared" si="203"/>
        <v>0</v>
      </c>
      <c r="AY1123" s="41" t="s">
        <v>557</v>
      </c>
    </row>
    <row r="1124" spans="1:51" x14ac:dyDescent="0.2">
      <c r="A1124" s="48" t="s">
        <v>324</v>
      </c>
      <c r="B1124" s="41">
        <v>2006</v>
      </c>
      <c r="C1124" s="41" t="s">
        <v>91</v>
      </c>
      <c r="D1124" s="41" t="s">
        <v>88</v>
      </c>
      <c r="E1124" s="41">
        <v>0</v>
      </c>
      <c r="F1124" s="41" t="s">
        <v>637</v>
      </c>
      <c r="G1124" s="53">
        <v>664000</v>
      </c>
      <c r="I1124" s="41">
        <v>4.45</v>
      </c>
      <c r="J1124" s="41">
        <v>541</v>
      </c>
      <c r="L1124" s="41">
        <v>3.7</v>
      </c>
      <c r="M1124" s="41">
        <v>9.4</v>
      </c>
      <c r="T1124" s="53">
        <f>63000*31.1/1000</f>
        <v>1959.3</v>
      </c>
      <c r="U1124" s="53">
        <f>8866000*31.1/1000</f>
        <v>275732.59999999998</v>
      </c>
      <c r="X1124" s="76">
        <f t="shared" si="207"/>
        <v>33800</v>
      </c>
      <c r="Y1124" s="53">
        <v>16900</v>
      </c>
      <c r="Z1124" s="76">
        <f t="shared" si="207"/>
        <v>95000</v>
      </c>
      <c r="AA1124" s="53">
        <v>47500</v>
      </c>
      <c r="AH1124" s="76">
        <f t="shared" si="208"/>
        <v>229079.99999999997</v>
      </c>
      <c r="AO1124" s="53">
        <f t="shared" si="202"/>
        <v>0</v>
      </c>
      <c r="AP1124" s="53">
        <f t="shared" si="202"/>
        <v>2954800</v>
      </c>
      <c r="AQ1124" s="53">
        <f t="shared" si="202"/>
        <v>359224000</v>
      </c>
      <c r="AR1124" s="53">
        <f t="shared" si="202"/>
        <v>0</v>
      </c>
      <c r="AS1124" s="53">
        <f t="shared" si="202"/>
        <v>2456800</v>
      </c>
      <c r="AT1124" s="53">
        <f t="shared" si="202"/>
        <v>6241600</v>
      </c>
      <c r="AU1124" s="53">
        <f t="shared" si="202"/>
        <v>0</v>
      </c>
      <c r="AV1124" s="53">
        <f t="shared" si="202"/>
        <v>0</v>
      </c>
      <c r="AW1124" s="53">
        <f t="shared" si="202"/>
        <v>0</v>
      </c>
      <c r="AX1124" s="53">
        <f t="shared" si="203"/>
        <v>0</v>
      </c>
      <c r="AY1124" s="41" t="s">
        <v>557</v>
      </c>
    </row>
    <row r="1125" spans="1:51" x14ac:dyDescent="0.2">
      <c r="A1125" s="48" t="s">
        <v>324</v>
      </c>
      <c r="B1125" s="41">
        <v>2007</v>
      </c>
      <c r="C1125" s="41" t="s">
        <v>91</v>
      </c>
      <c r="D1125" s="41" t="s">
        <v>88</v>
      </c>
      <c r="E1125" s="41">
        <v>0</v>
      </c>
      <c r="F1125" s="41" t="s">
        <v>637</v>
      </c>
      <c r="G1125" s="53">
        <v>664000</v>
      </c>
      <c r="I1125" s="41">
        <v>4.6900000000000004</v>
      </c>
      <c r="J1125" s="41">
        <v>530</v>
      </c>
      <c r="L1125" s="41">
        <v>3.6</v>
      </c>
      <c r="M1125" s="41">
        <v>9.6999999999999993</v>
      </c>
      <c r="T1125" s="53">
        <f>68000*31.1/1000</f>
        <v>2114.8000000000002</v>
      </c>
      <c r="U1125" s="53">
        <f>8646000*31.1/1000</f>
        <v>268890.59999999998</v>
      </c>
      <c r="X1125" s="76">
        <f t="shared" si="207"/>
        <v>34000</v>
      </c>
      <c r="Y1125" s="53">
        <v>17000</v>
      </c>
      <c r="Z1125" s="76">
        <f t="shared" si="207"/>
        <v>101600</v>
      </c>
      <c r="AA1125" s="53">
        <v>50800</v>
      </c>
      <c r="AH1125" s="76">
        <f t="shared" si="208"/>
        <v>229079.99999999997</v>
      </c>
      <c r="AO1125" s="53">
        <f t="shared" si="202"/>
        <v>0</v>
      </c>
      <c r="AP1125" s="53">
        <f t="shared" si="202"/>
        <v>3114160.0000000005</v>
      </c>
      <c r="AQ1125" s="53">
        <f t="shared" si="202"/>
        <v>351920000</v>
      </c>
      <c r="AR1125" s="53">
        <f t="shared" si="202"/>
        <v>0</v>
      </c>
      <c r="AS1125" s="53">
        <f t="shared" si="202"/>
        <v>2390400</v>
      </c>
      <c r="AT1125" s="53">
        <f t="shared" si="202"/>
        <v>6440799.9999999991</v>
      </c>
      <c r="AU1125" s="53">
        <f t="shared" si="202"/>
        <v>0</v>
      </c>
      <c r="AV1125" s="53">
        <f t="shared" si="202"/>
        <v>0</v>
      </c>
      <c r="AW1125" s="53">
        <f t="shared" si="202"/>
        <v>0</v>
      </c>
      <c r="AX1125" s="53">
        <f t="shared" si="203"/>
        <v>0</v>
      </c>
      <c r="AY1125" s="41" t="s">
        <v>557</v>
      </c>
    </row>
    <row r="1126" spans="1:51" x14ac:dyDescent="0.2">
      <c r="A1126" s="48" t="s">
        <v>324</v>
      </c>
      <c r="B1126" s="41">
        <v>2008</v>
      </c>
      <c r="C1126" s="41" t="s">
        <v>91</v>
      </c>
      <c r="D1126" s="41" t="s">
        <v>88</v>
      </c>
      <c r="E1126" s="41">
        <v>0</v>
      </c>
      <c r="F1126" s="41" t="s">
        <v>637</v>
      </c>
      <c r="G1126" s="53">
        <f>(589931*0.9072)/((1*259+0.2973*106)/(259+106))</f>
        <v>672404.10668271186</v>
      </c>
      <c r="I1126" s="46">
        <f>1000*T1126/$G1126/0.64</f>
        <v>4.9621092459197325</v>
      </c>
      <c r="J1126" s="52">
        <f>1000*U1126/$G1126/0.73</f>
        <v>464.03012277851377</v>
      </c>
      <c r="L1126" s="47">
        <f>100*Y1126/$G1126/0.78</f>
        <v>3.6140689030603266</v>
      </c>
      <c r="M1126" s="47">
        <f>100*AA1126/$G1126/0.87</f>
        <v>10.142429086339476</v>
      </c>
      <c r="T1126" s="53">
        <f>54650*31.1/1000/((1*259+0.2973*106)/(259+106))</f>
        <v>2135.3872862493968</v>
      </c>
      <c r="U1126" s="53">
        <f>5829253*31.1/1000/((1*259+0.2973*106)/(259+106))</f>
        <v>227771.50493195161</v>
      </c>
      <c r="X1126" s="76">
        <f t="shared" si="207"/>
        <v>37909.790447131942</v>
      </c>
      <c r="Y1126" s="53">
        <f>(16630*0.9072)/((1*259+0.2973*106)/(259+106))</f>
        <v>18954.895223565971</v>
      </c>
      <c r="Z1126" s="76">
        <f t="shared" si="207"/>
        <v>118664.71086743555</v>
      </c>
      <c r="AA1126" s="53">
        <f>(52055*0.9072)/((1*259+0.2973*106)/(259+106))</f>
        <v>59332.355433717777</v>
      </c>
      <c r="AH1126" s="76">
        <f t="shared" si="208"/>
        <v>231979.41680553558</v>
      </c>
      <c r="AO1126" s="53">
        <f t="shared" si="202"/>
        <v>0</v>
      </c>
      <c r="AP1126" s="53">
        <f t="shared" si="202"/>
        <v>3336542.6347646825</v>
      </c>
      <c r="AQ1126" s="53">
        <f t="shared" si="202"/>
        <v>312015760.18075567</v>
      </c>
      <c r="AR1126" s="53">
        <f t="shared" si="202"/>
        <v>0</v>
      </c>
      <c r="AS1126" s="53">
        <f t="shared" si="202"/>
        <v>2430114.7722520474</v>
      </c>
      <c r="AT1126" s="53">
        <f t="shared" si="202"/>
        <v>6819810.9693928491</v>
      </c>
      <c r="AU1126" s="53">
        <f t="shared" si="202"/>
        <v>0</v>
      </c>
      <c r="AV1126" s="53">
        <f t="shared" si="202"/>
        <v>0</v>
      </c>
      <c r="AW1126" s="53">
        <f t="shared" si="202"/>
        <v>0</v>
      </c>
      <c r="AX1126" s="53">
        <f t="shared" si="203"/>
        <v>0</v>
      </c>
      <c r="AY1126" s="41" t="s">
        <v>557</v>
      </c>
    </row>
    <row r="1127" spans="1:51" x14ac:dyDescent="0.2">
      <c r="A1127" s="48" t="s">
        <v>324</v>
      </c>
      <c r="B1127" s="41">
        <v>2009</v>
      </c>
      <c r="C1127" s="41" t="s">
        <v>91</v>
      </c>
      <c r="D1127" s="41" t="s">
        <v>88</v>
      </c>
      <c r="E1127" s="41">
        <v>0</v>
      </c>
      <c r="F1127" s="41" t="s">
        <v>637</v>
      </c>
      <c r="G1127" s="53">
        <f>790871*0.9072</f>
        <v>717478.17119999998</v>
      </c>
      <c r="I1127" s="46">
        <f>1000*T1127/$G1127/0.64</f>
        <v>4.5566408062729362</v>
      </c>
      <c r="J1127" s="52">
        <f>1000*U1127/$G1127/0.72</f>
        <v>449.06551460344514</v>
      </c>
      <c r="L1127" s="47">
        <f>100*Y1127/$G1127/0.69</f>
        <v>4.0778742219250885</v>
      </c>
      <c r="M1127" s="47">
        <f>100*AA1127/$G1127/0.79</f>
        <v>8.3316248874078269</v>
      </c>
      <c r="T1127" s="53">
        <f>67278*31.1/1000</f>
        <v>2092.3458000000001</v>
      </c>
      <c r="U1127" s="53">
        <f>7459170*31.1/1000</f>
        <v>231980.18700000001</v>
      </c>
      <c r="X1127" s="76">
        <f t="shared" si="207"/>
        <v>40375.843200000003</v>
      </c>
      <c r="Y1127" s="53">
        <f>22253*0.9072</f>
        <v>20187.921600000001</v>
      </c>
      <c r="Z1127" s="76">
        <f t="shared" si="207"/>
        <v>94448.592000000004</v>
      </c>
      <c r="AA1127" s="53">
        <f>52055*0.9072</f>
        <v>47224.296000000002</v>
      </c>
      <c r="AH1127" s="76">
        <f t="shared" si="208"/>
        <v>247529.96906399998</v>
      </c>
      <c r="AO1127" s="53">
        <f t="shared" si="202"/>
        <v>0</v>
      </c>
      <c r="AP1127" s="53">
        <f t="shared" si="202"/>
        <v>3269290.3124999995</v>
      </c>
      <c r="AQ1127" s="53">
        <f t="shared" si="202"/>
        <v>322194704.16666669</v>
      </c>
      <c r="AR1127" s="53">
        <f t="shared" si="202"/>
        <v>0</v>
      </c>
      <c r="AS1127" s="53">
        <f t="shared" si="202"/>
        <v>2925785.7391304355</v>
      </c>
      <c r="AT1127" s="53">
        <f t="shared" si="202"/>
        <v>5977758.9873417737</v>
      </c>
      <c r="AU1127" s="53">
        <f t="shared" si="202"/>
        <v>0</v>
      </c>
      <c r="AV1127" s="53">
        <f t="shared" si="202"/>
        <v>0</v>
      </c>
      <c r="AW1127" s="53">
        <f t="shared" si="202"/>
        <v>0</v>
      </c>
      <c r="AX1127" s="53">
        <f t="shared" si="203"/>
        <v>0</v>
      </c>
      <c r="AY1127" s="41" t="s">
        <v>557</v>
      </c>
    </row>
    <row r="1128" spans="1:51" x14ac:dyDescent="0.2">
      <c r="A1128" s="48" t="s">
        <v>324</v>
      </c>
      <c r="B1128" s="41">
        <v>2010</v>
      </c>
      <c r="C1128" s="41" t="s">
        <v>91</v>
      </c>
      <c r="D1128" s="41" t="s">
        <v>88</v>
      </c>
      <c r="E1128" s="41">
        <v>0</v>
      </c>
      <c r="F1128" s="41" t="s">
        <v>637</v>
      </c>
      <c r="G1128" s="53">
        <f>800397*0.9072</f>
        <v>726120.15839999996</v>
      </c>
      <c r="I1128" s="46">
        <f>1000*T1128/$G1128/0.64</f>
        <v>4.6068085616448036</v>
      </c>
      <c r="J1128" s="52">
        <f>1000*U1128/$G1128/0.73</f>
        <v>422.84571138757536</v>
      </c>
      <c r="L1128" s="47">
        <f>100*Y1128/$G1128/0.68</f>
        <v>4.6550428761491824</v>
      </c>
      <c r="M1128" s="47">
        <f>100*AA1128/$G1128/0.78</f>
        <v>11.273091625716637</v>
      </c>
      <c r="T1128" s="53">
        <f>68838*31.1/1000</f>
        <v>2140.8618000000001</v>
      </c>
      <c r="U1128" s="53">
        <f>7206973*31.1/1000</f>
        <v>224136.8603</v>
      </c>
      <c r="X1128" s="76">
        <f t="shared" si="207"/>
        <v>45969.638400000003</v>
      </c>
      <c r="Y1128" s="53">
        <f>25336*0.9072</f>
        <v>22984.819200000002</v>
      </c>
      <c r="Z1128" s="76">
        <f t="shared" si="207"/>
        <v>127695.65760000001</v>
      </c>
      <c r="AA1128" s="53">
        <f>70379*0.9072</f>
        <v>63847.828800000003</v>
      </c>
      <c r="AH1128" s="76">
        <f t="shared" si="208"/>
        <v>250511.45464799996</v>
      </c>
      <c r="AO1128" s="53">
        <f t="shared" si="202"/>
        <v>0</v>
      </c>
      <c r="AP1128" s="53">
        <f t="shared" si="202"/>
        <v>3345096.5625000009</v>
      </c>
      <c r="AQ1128" s="53">
        <f t="shared" si="202"/>
        <v>307036794.93150687</v>
      </c>
      <c r="AR1128" s="53">
        <f t="shared" si="202"/>
        <v>0</v>
      </c>
      <c r="AS1128" s="53">
        <f t="shared" si="202"/>
        <v>3380120.4705882357</v>
      </c>
      <c r="AT1128" s="53">
        <f t="shared" si="202"/>
        <v>8185619.076923077</v>
      </c>
      <c r="AU1128" s="53">
        <f t="shared" si="202"/>
        <v>0</v>
      </c>
      <c r="AV1128" s="53">
        <f t="shared" si="202"/>
        <v>0</v>
      </c>
      <c r="AW1128" s="53">
        <f t="shared" si="202"/>
        <v>0</v>
      </c>
      <c r="AX1128" s="53">
        <f t="shared" si="203"/>
        <v>0</v>
      </c>
      <c r="AY1128" s="41" t="s">
        <v>557</v>
      </c>
    </row>
    <row r="1129" spans="1:51" x14ac:dyDescent="0.2">
      <c r="A1129" s="48" t="s">
        <v>324</v>
      </c>
      <c r="B1129" s="41">
        <v>2011</v>
      </c>
      <c r="C1129" s="41" t="s">
        <v>91</v>
      </c>
      <c r="D1129" s="41" t="s">
        <v>88</v>
      </c>
      <c r="E1129" s="41">
        <v>0</v>
      </c>
      <c r="F1129" s="41" t="s">
        <v>637</v>
      </c>
      <c r="G1129" s="53">
        <f>772069*0.9072</f>
        <v>700420.99679999996</v>
      </c>
      <c r="I1129" s="46">
        <f>1000*T1129/$G1129/0.62</f>
        <v>4.0690730383147011</v>
      </c>
      <c r="J1129" s="52">
        <f>1000*U1129/$G1129/0.73</f>
        <v>395.25793933625511</v>
      </c>
      <c r="L1129" s="47">
        <f>100*Y1129/$G1129/0.68</f>
        <v>4.01042332927726</v>
      </c>
      <c r="M1129" s="47">
        <f>100*AA1129/$G1129/0.79</f>
        <v>10.829031464378037</v>
      </c>
      <c r="T1129" s="53">
        <f>56818*31.1/1000</f>
        <v>1767.0398</v>
      </c>
      <c r="U1129" s="53">
        <f>6498337*31.1/1000</f>
        <v>202098.28070000003</v>
      </c>
      <c r="X1129" s="76">
        <f t="shared" si="207"/>
        <v>38202.192000000003</v>
      </c>
      <c r="Y1129" s="53">
        <f>21055*0.9072</f>
        <v>19101.096000000001</v>
      </c>
      <c r="Z1129" s="76">
        <f t="shared" si="207"/>
        <v>119841.12</v>
      </c>
      <c r="AA1129" s="53">
        <f>66050*0.9072</f>
        <v>59920.56</v>
      </c>
      <c r="AH1129" s="76">
        <f t="shared" si="208"/>
        <v>241645.24389599997</v>
      </c>
      <c r="AO1129" s="53">
        <f t="shared" si="202"/>
        <v>0</v>
      </c>
      <c r="AP1129" s="53">
        <f t="shared" si="202"/>
        <v>2850064.1935483874</v>
      </c>
      <c r="AQ1129" s="53">
        <f t="shared" si="202"/>
        <v>276846959.86301374</v>
      </c>
      <c r="AR1129" s="53">
        <f t="shared" si="202"/>
        <v>0</v>
      </c>
      <c r="AS1129" s="53">
        <f t="shared" si="202"/>
        <v>2808984.7058823528</v>
      </c>
      <c r="AT1129" s="53">
        <f t="shared" si="202"/>
        <v>7584881.0126582282</v>
      </c>
      <c r="AU1129" s="53">
        <f t="shared" si="202"/>
        <v>0</v>
      </c>
      <c r="AV1129" s="53">
        <f t="shared" si="202"/>
        <v>0</v>
      </c>
      <c r="AW1129" s="53">
        <f t="shared" si="202"/>
        <v>0</v>
      </c>
      <c r="AX1129" s="53">
        <f t="shared" si="203"/>
        <v>0</v>
      </c>
      <c r="AY1129" s="41" t="s">
        <v>557</v>
      </c>
    </row>
    <row r="1130" spans="1:51" x14ac:dyDescent="0.2">
      <c r="A1130" s="48" t="s">
        <v>324</v>
      </c>
      <c r="B1130" s="41">
        <v>2012</v>
      </c>
      <c r="C1130" s="41" t="s">
        <v>91</v>
      </c>
      <c r="D1130" s="41" t="s">
        <v>88</v>
      </c>
      <c r="E1130" s="41">
        <v>0</v>
      </c>
      <c r="F1130" s="41" t="s">
        <v>637</v>
      </c>
      <c r="G1130" s="53">
        <f>789569*0.9072</f>
        <v>716296.99679999996</v>
      </c>
      <c r="I1130" s="46">
        <f>1000*T1130/$G1130/0.61</f>
        <v>3.9500182775416559</v>
      </c>
      <c r="J1130" s="52">
        <f>1000*U1130/$G1130/0.73</f>
        <v>380.30583775868598</v>
      </c>
      <c r="L1130" s="47">
        <f>100*Y1130/$G1130/0.68</f>
        <v>3.9250751322035486</v>
      </c>
      <c r="M1130" s="47">
        <f>100*AA1130/$G1130/0.78</f>
        <v>10.432338759565384</v>
      </c>
      <c r="T1130" s="53">
        <f>55496*31.1/1000</f>
        <v>1725.9256</v>
      </c>
      <c r="U1130" s="53">
        <f>6394235*31.1/1000</f>
        <v>198860.70850000001</v>
      </c>
      <c r="X1130" s="76">
        <f t="shared" si="207"/>
        <v>38236.6656</v>
      </c>
      <c r="Y1130" s="53">
        <f>21074*0.9072</f>
        <v>19118.3328</v>
      </c>
      <c r="Z1130" s="76">
        <f t="shared" si="207"/>
        <v>116573.38559999999</v>
      </c>
      <c r="AA1130" s="53">
        <f>64249*0.9072</f>
        <v>58286.692799999997</v>
      </c>
      <c r="AH1130" s="76">
        <f t="shared" si="208"/>
        <v>247122.46389599997</v>
      </c>
      <c r="AO1130" s="53">
        <f t="shared" si="202"/>
        <v>0</v>
      </c>
      <c r="AP1130" s="53">
        <f t="shared" si="202"/>
        <v>2829386.2295081969</v>
      </c>
      <c r="AQ1130" s="53">
        <f t="shared" si="202"/>
        <v>272411929.4520548</v>
      </c>
      <c r="AR1130" s="53">
        <f t="shared" si="202"/>
        <v>0</v>
      </c>
      <c r="AS1130" s="53">
        <f t="shared" si="202"/>
        <v>2811519.5294117648</v>
      </c>
      <c r="AT1130" s="53">
        <f t="shared" si="202"/>
        <v>7472652.9230769221</v>
      </c>
      <c r="AU1130" s="53">
        <f t="shared" si="202"/>
        <v>0</v>
      </c>
      <c r="AV1130" s="53">
        <f t="shared" si="202"/>
        <v>0</v>
      </c>
      <c r="AW1130" s="53">
        <f t="shared" si="202"/>
        <v>0</v>
      </c>
      <c r="AX1130" s="53">
        <f t="shared" si="203"/>
        <v>0</v>
      </c>
      <c r="AY1130" s="41" t="s">
        <v>557</v>
      </c>
    </row>
    <row r="1131" spans="1:51" x14ac:dyDescent="0.2">
      <c r="A1131" s="48" t="s">
        <v>324</v>
      </c>
      <c r="B1131" s="41">
        <v>2013</v>
      </c>
      <c r="C1131" s="41" t="s">
        <v>91</v>
      </c>
      <c r="D1131" s="41" t="s">
        <v>88</v>
      </c>
      <c r="E1131" s="41">
        <v>0</v>
      </c>
      <c r="F1131" s="41" t="s">
        <v>637</v>
      </c>
      <c r="G1131" s="53">
        <f>805322*0.9072</f>
        <v>730588.11840000004</v>
      </c>
      <c r="I1131" s="46">
        <f>1000*T1131/$G1131/0.61</f>
        <v>4.0095985798161777</v>
      </c>
      <c r="J1131" s="52">
        <f>1000*U1131/$G1131/0.71</f>
        <v>446.5697862342281</v>
      </c>
      <c r="L1131" s="47">
        <f>100*Y1131/$G1131/0.68</f>
        <v>3.6729918920265288</v>
      </c>
      <c r="M1131" s="47">
        <f>100*AA1131/$G1131/0.74</f>
        <v>9.6677796902055029</v>
      </c>
      <c r="T1131" s="53">
        <f>57457*31.1/1000</f>
        <v>1786.9127000000001</v>
      </c>
      <c r="U1131" s="53">
        <f>7448347*31.1/1000</f>
        <v>231643.59170000002</v>
      </c>
      <c r="X1131" s="76">
        <f t="shared" si="207"/>
        <v>36494.8416</v>
      </c>
      <c r="Y1131" s="53">
        <f>20114*0.9072</f>
        <v>18247.4208</v>
      </c>
      <c r="Z1131" s="76">
        <f t="shared" si="207"/>
        <v>104534.8416</v>
      </c>
      <c r="AA1131" s="53">
        <f>57614*0.9072</f>
        <v>52267.4208</v>
      </c>
      <c r="AH1131" s="76">
        <f t="shared" si="208"/>
        <v>252052.90084799999</v>
      </c>
      <c r="AO1131" s="53">
        <f t="shared" si="202"/>
        <v>0</v>
      </c>
      <c r="AP1131" s="53">
        <f t="shared" si="202"/>
        <v>2929365.0819672137</v>
      </c>
      <c r="AQ1131" s="53">
        <f t="shared" si="202"/>
        <v>326258579.85915494</v>
      </c>
      <c r="AR1131" s="53">
        <f t="shared" si="202"/>
        <v>0</v>
      </c>
      <c r="AS1131" s="53">
        <f t="shared" si="202"/>
        <v>2683444.2352941176</v>
      </c>
      <c r="AT1131" s="53">
        <f t="shared" si="202"/>
        <v>7063164.9729729732</v>
      </c>
      <c r="AU1131" s="53">
        <f t="shared" si="202"/>
        <v>0</v>
      </c>
      <c r="AV1131" s="53">
        <f t="shared" si="202"/>
        <v>0</v>
      </c>
      <c r="AW1131" s="53">
        <f t="shared" si="202"/>
        <v>0</v>
      </c>
      <c r="AX1131" s="53">
        <f t="shared" si="203"/>
        <v>0</v>
      </c>
      <c r="AY1131" s="41" t="s">
        <v>557</v>
      </c>
    </row>
    <row r="1132" spans="1:51" x14ac:dyDescent="0.2">
      <c r="A1132" s="48" t="s">
        <v>324</v>
      </c>
      <c r="B1132" s="41">
        <v>2014</v>
      </c>
      <c r="C1132" s="41" t="s">
        <v>91</v>
      </c>
      <c r="D1132" s="41" t="s">
        <v>88</v>
      </c>
      <c r="E1132" s="41">
        <v>0</v>
      </c>
      <c r="F1132" s="41" t="s">
        <v>637</v>
      </c>
      <c r="G1132" s="53">
        <f>816213*0.9072</f>
        <v>740468.43359999999</v>
      </c>
      <c r="I1132" s="46">
        <f>1000*T1132/$G1132/0.63</f>
        <v>3.9169076983277198</v>
      </c>
      <c r="J1132" s="52">
        <f>1000*U1132/$G1132/0.72</f>
        <v>456.54134084315928</v>
      </c>
      <c r="L1132" s="47">
        <f>100*Y1132/$G1132/0.77</f>
        <v>3.2062868234308772</v>
      </c>
      <c r="M1132" s="47">
        <f>100*AA1132/$G1132/0.87</f>
        <v>8.4226943747259124</v>
      </c>
      <c r="T1132" s="53">
        <f>58753*31.1/1000</f>
        <v>1827.2183</v>
      </c>
      <c r="U1132" s="53">
        <f>7826341*31.1/1000</f>
        <v>243399.20510000002</v>
      </c>
      <c r="X1132" s="76">
        <f t="shared" si="207"/>
        <v>36561.974399999999</v>
      </c>
      <c r="Y1132" s="53">
        <f>20151*0.9072</f>
        <v>18280.9872</v>
      </c>
      <c r="Z1132" s="76">
        <f t="shared" si="207"/>
        <v>108519.264</v>
      </c>
      <c r="AA1132" s="53">
        <f>59810*0.9072</f>
        <v>54259.631999999998</v>
      </c>
      <c r="AH1132" s="76">
        <f t="shared" si="208"/>
        <v>255461.60959199996</v>
      </c>
      <c r="AO1132" s="53">
        <f t="shared" si="202"/>
        <v>0</v>
      </c>
      <c r="AP1132" s="53">
        <f t="shared" si="202"/>
        <v>2900346.5079365079</v>
      </c>
      <c r="AQ1132" s="53">
        <f t="shared" si="202"/>
        <v>338054451.52777785</v>
      </c>
      <c r="AR1132" s="53">
        <f t="shared" si="202"/>
        <v>0</v>
      </c>
      <c r="AS1132" s="53">
        <f t="shared" si="202"/>
        <v>2374154.1818181812</v>
      </c>
      <c r="AT1132" s="53">
        <f t="shared" si="202"/>
        <v>6236739.3103448274</v>
      </c>
      <c r="AU1132" s="53">
        <f t="shared" si="202"/>
        <v>0</v>
      </c>
      <c r="AV1132" s="53">
        <f t="shared" si="202"/>
        <v>0</v>
      </c>
      <c r="AW1132" s="53">
        <f t="shared" si="202"/>
        <v>0</v>
      </c>
      <c r="AX1132" s="53">
        <f t="shared" si="203"/>
        <v>0</v>
      </c>
      <c r="AY1132" s="41" t="s">
        <v>557</v>
      </c>
    </row>
    <row r="1133" spans="1:51" x14ac:dyDescent="0.2">
      <c r="A1133" s="48" t="s">
        <v>324</v>
      </c>
      <c r="B1133" s="41">
        <v>2015</v>
      </c>
      <c r="C1133" s="41" t="s">
        <v>91</v>
      </c>
      <c r="D1133" s="41" t="s">
        <v>88</v>
      </c>
      <c r="E1133" s="41">
        <v>0</v>
      </c>
      <c r="F1133" s="41" t="s">
        <v>637</v>
      </c>
      <c r="G1133" s="53">
        <f>814398*0.9072</f>
        <v>738821.86560000002</v>
      </c>
      <c r="I1133" s="46">
        <f>1000*T1133/$G1133/0.67</f>
        <v>3.8051759092105359</v>
      </c>
      <c r="J1133" s="52">
        <f>1000*U1133/$G1133/0.77</f>
        <v>462.0588297642509</v>
      </c>
      <c r="L1133" s="47">
        <f>100*Y1133/$G1133/0.8</f>
        <v>3.3179415961237622</v>
      </c>
      <c r="M1133" s="47">
        <f>100*AA1133/$G1133/0.87</f>
        <v>8.7412427028463267</v>
      </c>
      <c r="T1133" s="53">
        <f>60566*31.1/1000</f>
        <v>1883.6026000000002</v>
      </c>
      <c r="U1133" s="53">
        <f>8452153*31.1/1000</f>
        <v>262861.9583</v>
      </c>
      <c r="X1133" s="76">
        <f t="shared" si="207"/>
        <v>39221.8848</v>
      </c>
      <c r="Y1133" s="53">
        <f>21617*0.9072</f>
        <v>19610.9424</v>
      </c>
      <c r="Z1133" s="76">
        <f t="shared" si="207"/>
        <v>112373.0496</v>
      </c>
      <c r="AA1133" s="53">
        <f>61934*0.9072</f>
        <v>56186.524799999999</v>
      </c>
      <c r="AH1133" s="76">
        <f t="shared" si="208"/>
        <v>254893.54363199999</v>
      </c>
      <c r="AO1133" s="53">
        <f t="shared" si="202"/>
        <v>0</v>
      </c>
      <c r="AP1133" s="53">
        <f t="shared" si="202"/>
        <v>2811347.1641791044</v>
      </c>
      <c r="AQ1133" s="53">
        <f t="shared" si="202"/>
        <v>341379166.62337667</v>
      </c>
      <c r="AR1133" s="53">
        <f t="shared" si="202"/>
        <v>0</v>
      </c>
      <c r="AS1133" s="53">
        <f t="shared" si="202"/>
        <v>2451367.7999999998</v>
      </c>
      <c r="AT1133" s="53">
        <f t="shared" si="202"/>
        <v>6458221.2413793094</v>
      </c>
      <c r="AU1133" s="53">
        <f t="shared" si="202"/>
        <v>0</v>
      </c>
      <c r="AV1133" s="53">
        <f t="shared" si="202"/>
        <v>0</v>
      </c>
      <c r="AW1133" s="53">
        <f t="shared" si="202"/>
        <v>0</v>
      </c>
      <c r="AX1133" s="53">
        <f t="shared" si="203"/>
        <v>0</v>
      </c>
      <c r="AY1133" s="41" t="s">
        <v>557</v>
      </c>
    </row>
    <row r="1134" spans="1:51" x14ac:dyDescent="0.2">
      <c r="A1134" s="48" t="s">
        <v>324</v>
      </c>
      <c r="B1134" s="41">
        <v>2016</v>
      </c>
      <c r="C1134" s="41" t="s">
        <v>91</v>
      </c>
      <c r="D1134" s="41" t="s">
        <v>88</v>
      </c>
      <c r="E1134" s="41">
        <v>0</v>
      </c>
      <c r="F1134" s="41" t="s">
        <v>637</v>
      </c>
      <c r="G1134" s="53">
        <f>815639*0.9072</f>
        <v>739947.70079999999</v>
      </c>
      <c r="I1134" s="46">
        <f>1000*T1134/G1134/0.68</f>
        <v>3.3322370943308539</v>
      </c>
      <c r="J1134" s="52">
        <f>1000*U1134/G1134/0.78</f>
        <v>498.62357560464676</v>
      </c>
      <c r="L1134" s="47">
        <f>100*Y1134/G1134/0.81</f>
        <v>3.1174527571422117</v>
      </c>
      <c r="M1134" s="47">
        <f>100*AA1134/G1134/0.88</f>
        <v>8.0429131470707471</v>
      </c>
      <c r="T1134" s="53">
        <f>53912*31.1/1000</f>
        <v>1676.6632000000002</v>
      </c>
      <c r="U1134" s="53">
        <f>9253543*31.1/1000</f>
        <v>287785.18729999999</v>
      </c>
      <c r="X1134" s="76">
        <f t="shared" si="207"/>
        <v>37369.382400000002</v>
      </c>
      <c r="Y1134" s="53">
        <f>20596*0.9072</f>
        <v>18684.691200000001</v>
      </c>
      <c r="Z1134" s="76">
        <f t="shared" si="207"/>
        <v>104743.4976</v>
      </c>
      <c r="AA1134" s="53">
        <f>57729*0.9072</f>
        <v>52371.748800000001</v>
      </c>
      <c r="AH1134" s="76">
        <f t="shared" si="208"/>
        <v>255281.95677599998</v>
      </c>
      <c r="AO1134" s="53">
        <f t="shared" si="202"/>
        <v>0</v>
      </c>
      <c r="AP1134" s="53">
        <f t="shared" si="202"/>
        <v>2465681.176470588</v>
      </c>
      <c r="AQ1134" s="53">
        <f t="shared" si="202"/>
        <v>368955368.33333331</v>
      </c>
      <c r="AR1134" s="53">
        <f t="shared" si="202"/>
        <v>0</v>
      </c>
      <c r="AS1134" s="53">
        <f t="shared" si="202"/>
        <v>2306752.0000000005</v>
      </c>
      <c r="AT1134" s="53">
        <f t="shared" si="202"/>
        <v>5951335.0909090918</v>
      </c>
      <c r="AU1134" s="53">
        <f t="shared" si="202"/>
        <v>0</v>
      </c>
      <c r="AV1134" s="53">
        <f t="shared" si="202"/>
        <v>0</v>
      </c>
      <c r="AW1134" s="53">
        <f t="shared" si="202"/>
        <v>0</v>
      </c>
      <c r="AX1134" s="53">
        <f t="shared" si="203"/>
        <v>0</v>
      </c>
      <c r="AY1134" s="41" t="s">
        <v>557</v>
      </c>
    </row>
    <row r="1135" spans="1:51" x14ac:dyDescent="0.2">
      <c r="A1135" s="60"/>
      <c r="B1135" s="85" t="s">
        <v>638</v>
      </c>
      <c r="C1135" s="60" t="s">
        <v>91</v>
      </c>
      <c r="D1135" s="60" t="s">
        <v>88</v>
      </c>
      <c r="E1135" s="60">
        <v>0</v>
      </c>
      <c r="F1135" s="60" t="s">
        <v>637</v>
      </c>
      <c r="G1135" s="79">
        <f>SUM(G1107:G1134)</f>
        <v>14642560.817082709</v>
      </c>
      <c r="H1135" s="80">
        <f>AO1135/$G1135</f>
        <v>0.10647822737270542</v>
      </c>
      <c r="I1135" s="80">
        <f>AP1135/$G1135</f>
        <v>5.1419817094619331</v>
      </c>
      <c r="J1135" s="98">
        <f>AQ1135/$G1135</f>
        <v>592.24262792570187</v>
      </c>
      <c r="L1135" s="78">
        <f>AS1135/$G1135</f>
        <v>4.317988214234644</v>
      </c>
      <c r="M1135" s="78">
        <f>AT1135/$G1135</f>
        <v>11.746119946222194</v>
      </c>
      <c r="R1135" s="79">
        <f>SUM(R1107:R1134)</f>
        <v>38977.847999999998</v>
      </c>
      <c r="S1135" s="79">
        <f>SUM(S1107:S1134)</f>
        <v>7795.5695999999989</v>
      </c>
      <c r="T1135" s="79">
        <f>SUM(T1107:T1134)</f>
        <v>48287.196386249401</v>
      </c>
      <c r="U1135" s="79">
        <f>SUM(U1107:U1134)</f>
        <v>6491873.4508319516</v>
      </c>
      <c r="X1135" s="79">
        <f>SUM(X1107:X1134)</f>
        <v>898883.57604713202</v>
      </c>
      <c r="Y1135" s="79">
        <f>SUM(Y1107:Y1134)</f>
        <v>449441.78802356601</v>
      </c>
      <c r="Z1135" s="79">
        <f>SUM(Z1107:Z1134)</f>
        <v>2828996.0996674355</v>
      </c>
      <c r="AA1135" s="79">
        <f>SUM(AA1107:AA1134)</f>
        <v>1414498.0498337178</v>
      </c>
      <c r="AH1135" s="79">
        <f>SUM(AH1107:AH1134)</f>
        <v>5055407.8346935352</v>
      </c>
      <c r="AO1135" s="79">
        <f>SUM(AO1107:AO1134)</f>
        <v>1559113.92</v>
      </c>
      <c r="AP1135" s="79">
        <f t="shared" ref="AP1135:AX1135" si="209">SUM(AP1107:AP1134)</f>
        <v>75291779.90112327</v>
      </c>
      <c r="AQ1135" s="79">
        <f t="shared" si="209"/>
        <v>8671948697.8709755</v>
      </c>
      <c r="AR1135" s="79">
        <f t="shared" si="209"/>
        <v>0</v>
      </c>
      <c r="AS1135" s="79">
        <f t="shared" si="209"/>
        <v>63226405.034377135</v>
      </c>
      <c r="AT1135" s="79">
        <f t="shared" si="209"/>
        <v>171993275.67730674</v>
      </c>
      <c r="AU1135" s="79">
        <f t="shared" si="209"/>
        <v>0</v>
      </c>
      <c r="AV1135" s="79">
        <f t="shared" si="209"/>
        <v>0</v>
      </c>
      <c r="AW1135" s="79">
        <f t="shared" si="209"/>
        <v>0</v>
      </c>
      <c r="AX1135" s="79">
        <f t="shared" si="209"/>
        <v>0</v>
      </c>
      <c r="AY1135" s="41" t="s">
        <v>557</v>
      </c>
    </row>
    <row r="1136" spans="1:51" x14ac:dyDescent="0.2">
      <c r="A1136" s="48" t="s">
        <v>324</v>
      </c>
      <c r="B1136" s="43" t="s">
        <v>560</v>
      </c>
      <c r="G1136" s="53">
        <f>STDEV(G1107:G1134)</f>
        <v>244531.66845932358</v>
      </c>
      <c r="H1136" s="46">
        <f>STDEV(H1107:H1134)</f>
        <v>7.7243353801081729E-2</v>
      </c>
      <c r="I1136" s="46">
        <f>STDEV(I1107:I1134)</f>
        <v>1.1827037550100292</v>
      </c>
      <c r="J1136" s="52">
        <f>STDEV(J1107:J1134)</f>
        <v>195.53156029504134</v>
      </c>
      <c r="L1136" s="47">
        <f>STDEV(L1107:L1134)</f>
        <v>1.020699444567357</v>
      </c>
      <c r="M1136" s="47">
        <f>STDEV(M1107:M1134)</f>
        <v>12.18635563474715</v>
      </c>
      <c r="R1136" s="53">
        <f>STDEV(R1107:R1134)</f>
        <v>2118.4687907712973</v>
      </c>
      <c r="S1136" s="53">
        <f>STDEV(S1107:S1134)</f>
        <v>423.6937581542594</v>
      </c>
      <c r="T1136" s="53">
        <f>STDEV(T1107:T1134)</f>
        <v>878.83249262501613</v>
      </c>
      <c r="U1136" s="53">
        <f>STDEV(U1107:U1134)</f>
        <v>95904.413841090223</v>
      </c>
      <c r="X1136" s="53">
        <f>STDEV(X1107:X1134)</f>
        <v>13182.123966782228</v>
      </c>
      <c r="Y1136" s="53">
        <f>STDEV(Y1107:Y1134)</f>
        <v>6591.0619833911142</v>
      </c>
      <c r="Z1136" s="53">
        <f>STDEV(Z1107:Z1134)</f>
        <v>60843.625329689428</v>
      </c>
      <c r="AA1136" s="53">
        <f>STDEV(AA1107:AA1134)</f>
        <v>30421.812664844714</v>
      </c>
      <c r="AH1136" s="53">
        <f>STDEV(AH1107:AH1134)</f>
        <v>84506.350324087907</v>
      </c>
      <c r="AY1136" s="41" t="s">
        <v>557</v>
      </c>
    </row>
    <row r="1137" spans="1:51" x14ac:dyDescent="0.2">
      <c r="A1137" s="48" t="s">
        <v>324</v>
      </c>
      <c r="B1137" s="81" t="s">
        <v>249</v>
      </c>
      <c r="G1137" s="41">
        <f>COUNT(G1107:G1134)</f>
        <v>28</v>
      </c>
      <c r="H1137" s="41">
        <f>COUNT(H1107:H1134)</f>
        <v>7</v>
      </c>
      <c r="I1137" s="41">
        <f>COUNT(I1107:I1134)</f>
        <v>26</v>
      </c>
      <c r="J1137" s="41">
        <f>COUNT(J1107:J1134)</f>
        <v>26</v>
      </c>
      <c r="L1137" s="41">
        <f>COUNT(L1107:L1134)</f>
        <v>26</v>
      </c>
      <c r="M1137" s="41">
        <f>COUNT(M1107:M1134)</f>
        <v>26</v>
      </c>
      <c r="R1137" s="41">
        <f>COUNT(R1107:R1134)</f>
        <v>7</v>
      </c>
      <c r="S1137" s="41">
        <f>COUNT(S1107:S1134)</f>
        <v>7</v>
      </c>
      <c r="T1137" s="41">
        <f>COUNT(T1107:T1134)</f>
        <v>28</v>
      </c>
      <c r="U1137" s="41">
        <f>COUNT(U1107:U1134)</f>
        <v>28</v>
      </c>
      <c r="X1137" s="41">
        <f>COUNT(X1107:X1134)</f>
        <v>28</v>
      </c>
      <c r="Y1137" s="41">
        <f>COUNT(Y1107:Y1134)</f>
        <v>28</v>
      </c>
      <c r="Z1137" s="41">
        <f>COUNT(Z1107:Z1134)</f>
        <v>28</v>
      </c>
      <c r="AA1137" s="41">
        <f>COUNT(AA1107:AA1134)</f>
        <v>28</v>
      </c>
      <c r="AH1137" s="41">
        <f>COUNT(AH1107:AH1134)</f>
        <v>28</v>
      </c>
      <c r="AY1137" s="41" t="s">
        <v>557</v>
      </c>
    </row>
    <row r="1138" spans="1:51" x14ac:dyDescent="0.2">
      <c r="A1138" s="82"/>
      <c r="B1138" s="82"/>
      <c r="C1138" s="82"/>
      <c r="D1138" s="82"/>
      <c r="E1138" s="82"/>
      <c r="F1138" s="82"/>
      <c r="G1138" s="82"/>
      <c r="H1138" s="82"/>
      <c r="I1138" s="82"/>
      <c r="J1138" s="82"/>
      <c r="K1138" s="82"/>
      <c r="L1138" s="82"/>
      <c r="M1138" s="82"/>
      <c r="N1138" s="82"/>
      <c r="O1138" s="82"/>
      <c r="P1138" s="82"/>
      <c r="Q1138" s="82"/>
      <c r="R1138" s="82"/>
      <c r="S1138" s="82"/>
      <c r="T1138" s="82"/>
      <c r="U1138" s="82"/>
      <c r="V1138" s="82"/>
      <c r="W1138" s="82"/>
      <c r="X1138" s="82"/>
      <c r="Y1138" s="82"/>
      <c r="Z1138" s="82"/>
      <c r="AA1138" s="82"/>
      <c r="AB1138" s="82"/>
      <c r="AC1138" s="82"/>
      <c r="AD1138" s="82"/>
      <c r="AE1138" s="82"/>
      <c r="AF1138" s="82"/>
      <c r="AG1138" s="82"/>
      <c r="AH1138" s="82"/>
      <c r="AI1138" s="82"/>
      <c r="AJ1138" s="82"/>
      <c r="AK1138" s="82"/>
      <c r="AL1138" s="82"/>
      <c r="AM1138" s="82"/>
      <c r="AN1138" s="82"/>
      <c r="AO1138" s="82"/>
      <c r="AP1138" s="82"/>
      <c r="AQ1138" s="82"/>
      <c r="AR1138" s="82"/>
      <c r="AS1138" s="82"/>
      <c r="AT1138" s="82"/>
      <c r="AU1138" s="82"/>
      <c r="AV1138" s="82"/>
      <c r="AW1138" s="82"/>
      <c r="AX1138" s="82"/>
      <c r="AY1138" s="41" t="s">
        <v>557</v>
      </c>
    </row>
    <row r="1139" spans="1:51" x14ac:dyDescent="0.2">
      <c r="A1139" s="41" t="s">
        <v>192</v>
      </c>
      <c r="B1139" s="41">
        <v>2006</v>
      </c>
      <c r="C1139" s="41" t="s">
        <v>87</v>
      </c>
      <c r="D1139" s="41" t="s">
        <v>88</v>
      </c>
      <c r="E1139" s="41">
        <v>100</v>
      </c>
      <c r="F1139" s="41" t="s">
        <v>570</v>
      </c>
      <c r="G1139" s="53">
        <v>334000</v>
      </c>
      <c r="H1139" s="47">
        <v>2</v>
      </c>
      <c r="I1139" s="58">
        <v>1</v>
      </c>
      <c r="R1139" s="76">
        <f>S1139/0.4</f>
        <v>12577.5</v>
      </c>
      <c r="S1139" s="53">
        <v>5031</v>
      </c>
      <c r="T1139" s="76">
        <f>0.75*G1139*I1139/1000</f>
        <v>250.5</v>
      </c>
      <c r="AM1139" s="53">
        <v>1719000</v>
      </c>
      <c r="AO1139" s="53">
        <f t="shared" ref="AO1139:AW1149" si="210">$G1139*H1139</f>
        <v>668000</v>
      </c>
      <c r="AP1139" s="53">
        <f t="shared" si="210"/>
        <v>334000</v>
      </c>
      <c r="AQ1139" s="53">
        <f t="shared" si="210"/>
        <v>0</v>
      </c>
      <c r="AR1139" s="53">
        <f t="shared" si="210"/>
        <v>0</v>
      </c>
      <c r="AS1139" s="53">
        <f t="shared" si="210"/>
        <v>0</v>
      </c>
      <c r="AT1139" s="53">
        <f t="shared" si="210"/>
        <v>0</v>
      </c>
      <c r="AU1139" s="53">
        <f t="shared" si="210"/>
        <v>0</v>
      </c>
      <c r="AV1139" s="53">
        <f t="shared" si="210"/>
        <v>0</v>
      </c>
      <c r="AW1139" s="53">
        <f t="shared" si="210"/>
        <v>0</v>
      </c>
      <c r="AX1139" s="53">
        <f t="shared" ref="AX1139:AX1149" si="211">$G1139*E1139</f>
        <v>33400000</v>
      </c>
      <c r="AY1139" s="41" t="s">
        <v>557</v>
      </c>
    </row>
    <row r="1140" spans="1:51" x14ac:dyDescent="0.2">
      <c r="A1140" s="41" t="s">
        <v>192</v>
      </c>
      <c r="B1140" s="41">
        <v>2007</v>
      </c>
      <c r="C1140" s="41" t="s">
        <v>87</v>
      </c>
      <c r="D1140" s="41" t="s">
        <v>88</v>
      </c>
      <c r="E1140" s="41">
        <v>100</v>
      </c>
      <c r="F1140" s="41" t="s">
        <v>570</v>
      </c>
      <c r="G1140" s="53">
        <v>1853000</v>
      </c>
      <c r="H1140" s="59">
        <v>1.9</v>
      </c>
      <c r="I1140" s="58">
        <v>1</v>
      </c>
      <c r="R1140" s="76">
        <f t="shared" ref="R1140:R1149" si="212">S1140/0.4</f>
        <v>71887.5</v>
      </c>
      <c r="S1140" s="53">
        <v>28755</v>
      </c>
      <c r="T1140" s="76">
        <f>0.75*G1140*I1140/1000</f>
        <v>1389.75</v>
      </c>
      <c r="AM1140" s="53">
        <v>5855000</v>
      </c>
      <c r="AO1140" s="53">
        <f t="shared" si="210"/>
        <v>3520700</v>
      </c>
      <c r="AP1140" s="53">
        <f t="shared" si="210"/>
        <v>1853000</v>
      </c>
      <c r="AQ1140" s="53">
        <f t="shared" si="210"/>
        <v>0</v>
      </c>
      <c r="AR1140" s="53">
        <f t="shared" si="210"/>
        <v>0</v>
      </c>
      <c r="AS1140" s="53">
        <f t="shared" si="210"/>
        <v>0</v>
      </c>
      <c r="AT1140" s="53">
        <f t="shared" si="210"/>
        <v>0</v>
      </c>
      <c r="AU1140" s="53">
        <f t="shared" si="210"/>
        <v>0</v>
      </c>
      <c r="AV1140" s="53">
        <f t="shared" si="210"/>
        <v>0</v>
      </c>
      <c r="AW1140" s="53">
        <f t="shared" si="210"/>
        <v>0</v>
      </c>
      <c r="AX1140" s="53">
        <f t="shared" si="211"/>
        <v>185300000</v>
      </c>
      <c r="AY1140" s="41" t="s">
        <v>557</v>
      </c>
    </row>
    <row r="1141" spans="1:51" x14ac:dyDescent="0.2">
      <c r="A1141" s="41" t="s">
        <v>192</v>
      </c>
      <c r="B1141" s="41">
        <v>2008</v>
      </c>
      <c r="C1141" s="41" t="s">
        <v>87</v>
      </c>
      <c r="D1141" s="41" t="s">
        <v>88</v>
      </c>
      <c r="E1141" s="41">
        <v>100</v>
      </c>
      <c r="F1141" s="41" t="s">
        <v>570</v>
      </c>
      <c r="G1141" s="53">
        <v>2072000</v>
      </c>
      <c r="H1141" s="59">
        <v>1.9</v>
      </c>
      <c r="I1141" s="56">
        <f>1000*T1141/G1141/0.75</f>
        <v>1.2392969755469756</v>
      </c>
      <c r="R1141" s="76">
        <f t="shared" si="212"/>
        <v>82682.5</v>
      </c>
      <c r="S1141" s="53">
        <v>33073</v>
      </c>
      <c r="T1141" s="53">
        <f>61925*31.1/1000</f>
        <v>1925.8675000000001</v>
      </c>
      <c r="AM1141" s="53">
        <v>4310000</v>
      </c>
      <c r="AO1141" s="53">
        <f t="shared" si="210"/>
        <v>3936800</v>
      </c>
      <c r="AP1141" s="53">
        <f t="shared" si="210"/>
        <v>2567823.3333333335</v>
      </c>
      <c r="AQ1141" s="53">
        <f t="shared" si="210"/>
        <v>0</v>
      </c>
      <c r="AR1141" s="53">
        <f t="shared" si="210"/>
        <v>0</v>
      </c>
      <c r="AS1141" s="53">
        <f t="shared" si="210"/>
        <v>0</v>
      </c>
      <c r="AT1141" s="53">
        <f t="shared" si="210"/>
        <v>0</v>
      </c>
      <c r="AU1141" s="53">
        <f t="shared" si="210"/>
        <v>0</v>
      </c>
      <c r="AV1141" s="53">
        <f t="shared" si="210"/>
        <v>0</v>
      </c>
      <c r="AW1141" s="53">
        <f t="shared" si="210"/>
        <v>0</v>
      </c>
      <c r="AX1141" s="53">
        <f t="shared" si="211"/>
        <v>207200000</v>
      </c>
      <c r="AY1141" s="41" t="s">
        <v>557</v>
      </c>
    </row>
    <row r="1142" spans="1:51" x14ac:dyDescent="0.2">
      <c r="A1142" s="41" t="s">
        <v>192</v>
      </c>
      <c r="B1142" s="41">
        <v>2009</v>
      </c>
      <c r="C1142" s="41" t="s">
        <v>87</v>
      </c>
      <c r="D1142" s="41" t="s">
        <v>88</v>
      </c>
      <c r="E1142" s="41">
        <v>100</v>
      </c>
      <c r="F1142" s="41" t="s">
        <v>570</v>
      </c>
      <c r="G1142" s="53">
        <v>2287000</v>
      </c>
      <c r="H1142" s="59">
        <v>1.8</v>
      </c>
      <c r="I1142" s="56">
        <f t="shared" ref="I1142:I1149" si="213">1000*T1142/G1142/0.75</f>
        <v>1.6926087742311617</v>
      </c>
      <c r="R1142" s="76">
        <f t="shared" si="212"/>
        <v>91520</v>
      </c>
      <c r="S1142" s="53">
        <v>36608</v>
      </c>
      <c r="T1142" s="53">
        <f>93352*31.1/1000</f>
        <v>2903.2472000000002</v>
      </c>
      <c r="AM1142" s="53">
        <v>8804000</v>
      </c>
      <c r="AO1142" s="53">
        <f t="shared" si="210"/>
        <v>4116600</v>
      </c>
      <c r="AP1142" s="53">
        <f t="shared" si="210"/>
        <v>3870996.2666666671</v>
      </c>
      <c r="AQ1142" s="53">
        <f t="shared" si="210"/>
        <v>0</v>
      </c>
      <c r="AR1142" s="53">
        <f t="shared" si="210"/>
        <v>0</v>
      </c>
      <c r="AS1142" s="53">
        <f t="shared" si="210"/>
        <v>0</v>
      </c>
      <c r="AT1142" s="53">
        <f t="shared" si="210"/>
        <v>0</v>
      </c>
      <c r="AU1142" s="53">
        <f t="shared" si="210"/>
        <v>0</v>
      </c>
      <c r="AV1142" s="53">
        <f t="shared" si="210"/>
        <v>0</v>
      </c>
      <c r="AW1142" s="53">
        <f t="shared" si="210"/>
        <v>0</v>
      </c>
      <c r="AX1142" s="53">
        <f t="shared" si="211"/>
        <v>228700000</v>
      </c>
      <c r="AY1142" s="41" t="s">
        <v>557</v>
      </c>
    </row>
    <row r="1143" spans="1:51" x14ac:dyDescent="0.2">
      <c r="A1143" s="41" t="s">
        <v>192</v>
      </c>
      <c r="B1143" s="41">
        <v>2010</v>
      </c>
      <c r="C1143" s="41" t="s">
        <v>87</v>
      </c>
      <c r="D1143" s="41" t="s">
        <v>88</v>
      </c>
      <c r="E1143" s="41">
        <v>100</v>
      </c>
      <c r="F1143" s="41" t="s">
        <v>570</v>
      </c>
      <c r="G1143" s="53">
        <v>2796000</v>
      </c>
      <c r="H1143" s="59">
        <v>1.5</v>
      </c>
      <c r="I1143" s="56">
        <f t="shared" si="213"/>
        <v>1.2126478779208394</v>
      </c>
      <c r="R1143" s="76">
        <f t="shared" si="212"/>
        <v>92422.5</v>
      </c>
      <c r="S1143" s="53">
        <v>36969</v>
      </c>
      <c r="T1143" s="53">
        <f>81766*31.1/1000</f>
        <v>2542.9225999999999</v>
      </c>
      <c r="AM1143" s="53">
        <v>9827000</v>
      </c>
      <c r="AO1143" s="53">
        <f t="shared" si="210"/>
        <v>4194000</v>
      </c>
      <c r="AP1143" s="53">
        <f t="shared" si="210"/>
        <v>3390563.4666666668</v>
      </c>
      <c r="AQ1143" s="53">
        <f t="shared" si="210"/>
        <v>0</v>
      </c>
      <c r="AR1143" s="53">
        <f t="shared" si="210"/>
        <v>0</v>
      </c>
      <c r="AS1143" s="53">
        <f t="shared" si="210"/>
        <v>0</v>
      </c>
      <c r="AT1143" s="53">
        <f t="shared" si="210"/>
        <v>0</v>
      </c>
      <c r="AU1143" s="53">
        <f t="shared" si="210"/>
        <v>0</v>
      </c>
      <c r="AV1143" s="53">
        <f t="shared" si="210"/>
        <v>0</v>
      </c>
      <c r="AW1143" s="53">
        <f t="shared" si="210"/>
        <v>0</v>
      </c>
      <c r="AX1143" s="53">
        <f t="shared" si="211"/>
        <v>279600000</v>
      </c>
      <c r="AY1143" s="41" t="s">
        <v>557</v>
      </c>
    </row>
    <row r="1144" spans="1:51" x14ac:dyDescent="0.2">
      <c r="A1144" s="41" t="s">
        <v>192</v>
      </c>
      <c r="B1144" s="41">
        <v>2011</v>
      </c>
      <c r="C1144" s="41" t="s">
        <v>87</v>
      </c>
      <c r="D1144" s="41" t="s">
        <v>88</v>
      </c>
      <c r="E1144" s="41">
        <v>100</v>
      </c>
      <c r="F1144" s="41" t="s">
        <v>570</v>
      </c>
      <c r="G1144" s="53">
        <v>2691000</v>
      </c>
      <c r="H1144" s="59">
        <v>1.4</v>
      </c>
      <c r="I1144" s="56">
        <f t="shared" si="213"/>
        <v>0.96983614517527561</v>
      </c>
      <c r="R1144" s="76">
        <f t="shared" si="212"/>
        <v>88202.5</v>
      </c>
      <c r="S1144" s="53">
        <v>35281</v>
      </c>
      <c r="T1144" s="53">
        <f>62938*31.1/1000</f>
        <v>1957.3718000000001</v>
      </c>
      <c r="AM1144" s="53">
        <v>13239000</v>
      </c>
      <c r="AO1144" s="53">
        <f t="shared" si="210"/>
        <v>3767399.9999999995</v>
      </c>
      <c r="AP1144" s="53">
        <f t="shared" si="210"/>
        <v>2609829.0666666669</v>
      </c>
      <c r="AQ1144" s="53">
        <f t="shared" si="210"/>
        <v>0</v>
      </c>
      <c r="AR1144" s="53">
        <f t="shared" si="210"/>
        <v>0</v>
      </c>
      <c r="AS1144" s="53">
        <f t="shared" si="210"/>
        <v>0</v>
      </c>
      <c r="AT1144" s="53">
        <f t="shared" si="210"/>
        <v>0</v>
      </c>
      <c r="AU1144" s="53">
        <f t="shared" si="210"/>
        <v>0</v>
      </c>
      <c r="AV1144" s="53">
        <f t="shared" si="210"/>
        <v>0</v>
      </c>
      <c r="AW1144" s="53">
        <f t="shared" si="210"/>
        <v>0</v>
      </c>
      <c r="AX1144" s="53">
        <f t="shared" si="211"/>
        <v>269100000</v>
      </c>
      <c r="AY1144" s="41" t="s">
        <v>557</v>
      </c>
    </row>
    <row r="1145" spans="1:51" x14ac:dyDescent="0.2">
      <c r="A1145" s="41" t="s">
        <v>192</v>
      </c>
      <c r="B1145" s="41">
        <v>2012</v>
      </c>
      <c r="C1145" s="41" t="s">
        <v>87</v>
      </c>
      <c r="D1145" s="41" t="s">
        <v>88</v>
      </c>
      <c r="E1145" s="41">
        <v>100</v>
      </c>
      <c r="F1145" s="41" t="s">
        <v>570</v>
      </c>
      <c r="G1145" s="53">
        <v>3062000</v>
      </c>
      <c r="H1145" s="59">
        <v>1.3</v>
      </c>
      <c r="I1145" s="56">
        <f t="shared" si="213"/>
        <v>0.8195693011103854</v>
      </c>
      <c r="R1145" s="76">
        <f t="shared" si="212"/>
        <v>94175</v>
      </c>
      <c r="S1145" s="53">
        <v>37670</v>
      </c>
      <c r="T1145" s="53">
        <f>60519*31.1/1000</f>
        <v>1882.1409000000001</v>
      </c>
      <c r="AM1145" s="53">
        <v>19577000</v>
      </c>
      <c r="AO1145" s="53">
        <f t="shared" si="210"/>
        <v>3980600</v>
      </c>
      <c r="AP1145" s="53">
        <f t="shared" si="210"/>
        <v>2509521.2000000002</v>
      </c>
      <c r="AQ1145" s="53">
        <f t="shared" si="210"/>
        <v>0</v>
      </c>
      <c r="AR1145" s="53">
        <f t="shared" si="210"/>
        <v>0</v>
      </c>
      <c r="AS1145" s="53">
        <f t="shared" si="210"/>
        <v>0</v>
      </c>
      <c r="AT1145" s="53">
        <f t="shared" si="210"/>
        <v>0</v>
      </c>
      <c r="AU1145" s="53">
        <f t="shared" si="210"/>
        <v>0</v>
      </c>
      <c r="AV1145" s="53">
        <f t="shared" si="210"/>
        <v>0</v>
      </c>
      <c r="AW1145" s="53">
        <f t="shared" si="210"/>
        <v>0</v>
      </c>
      <c r="AX1145" s="53">
        <f t="shared" si="211"/>
        <v>306200000</v>
      </c>
      <c r="AY1145" s="41" t="s">
        <v>557</v>
      </c>
    </row>
    <row r="1146" spans="1:51" x14ac:dyDescent="0.2">
      <c r="A1146" s="41" t="s">
        <v>192</v>
      </c>
      <c r="B1146" s="41">
        <v>2013</v>
      </c>
      <c r="C1146" s="41" t="s">
        <v>87</v>
      </c>
      <c r="D1146" s="41" t="s">
        <v>88</v>
      </c>
      <c r="E1146" s="41">
        <v>100</v>
      </c>
      <c r="F1146" s="41" t="s">
        <v>570</v>
      </c>
      <c r="G1146" s="53">
        <v>2847000</v>
      </c>
      <c r="H1146" s="59">
        <v>1.4</v>
      </c>
      <c r="I1146" s="56">
        <f t="shared" si="213"/>
        <v>0.84755419740077276</v>
      </c>
      <c r="R1146" s="76">
        <f t="shared" si="212"/>
        <v>94925</v>
      </c>
      <c r="S1146" s="53">
        <v>37970</v>
      </c>
      <c r="T1146" s="53">
        <f>58191*31.1/1000</f>
        <v>1809.7401</v>
      </c>
      <c r="AM1146" s="53">
        <v>22313000</v>
      </c>
      <c r="AO1146" s="53">
        <f t="shared" si="210"/>
        <v>3985799.9999999995</v>
      </c>
      <c r="AP1146" s="53">
        <f t="shared" si="210"/>
        <v>2412986.7999999998</v>
      </c>
      <c r="AQ1146" s="53">
        <f t="shared" si="210"/>
        <v>0</v>
      </c>
      <c r="AR1146" s="53">
        <f t="shared" si="210"/>
        <v>0</v>
      </c>
      <c r="AS1146" s="53">
        <f t="shared" si="210"/>
        <v>0</v>
      </c>
      <c r="AT1146" s="53">
        <f t="shared" si="210"/>
        <v>0</v>
      </c>
      <c r="AU1146" s="53">
        <f t="shared" si="210"/>
        <v>0</v>
      </c>
      <c r="AV1146" s="53">
        <f t="shared" si="210"/>
        <v>0</v>
      </c>
      <c r="AW1146" s="53">
        <f t="shared" si="210"/>
        <v>0</v>
      </c>
      <c r="AX1146" s="53">
        <f t="shared" si="211"/>
        <v>284700000</v>
      </c>
      <c r="AY1146" s="41" t="s">
        <v>557</v>
      </c>
    </row>
    <row r="1147" spans="1:51" x14ac:dyDescent="0.2">
      <c r="A1147" s="41" t="s">
        <v>192</v>
      </c>
      <c r="B1147" s="41">
        <v>2014</v>
      </c>
      <c r="C1147" s="41" t="s">
        <v>87</v>
      </c>
      <c r="D1147" s="41" t="s">
        <v>88</v>
      </c>
      <c r="E1147" s="41">
        <v>100</v>
      </c>
      <c r="F1147" s="41" t="s">
        <v>570</v>
      </c>
      <c r="G1147" s="53">
        <v>3057000</v>
      </c>
      <c r="H1147" s="41">
        <v>1.2</v>
      </c>
      <c r="I1147" s="56">
        <f t="shared" si="213"/>
        <v>0.66395498855086688</v>
      </c>
      <c r="R1147" s="76">
        <f t="shared" si="212"/>
        <v>82697.5</v>
      </c>
      <c r="S1147" s="53">
        <v>33079</v>
      </c>
      <c r="T1147" s="53">
        <f>48948*31.1/1000</f>
        <v>1522.2828</v>
      </c>
      <c r="AM1147" s="53">
        <v>17140000</v>
      </c>
      <c r="AO1147" s="53">
        <f t="shared" si="210"/>
        <v>3668400</v>
      </c>
      <c r="AP1147" s="53">
        <f t="shared" si="210"/>
        <v>2029710.4000000001</v>
      </c>
      <c r="AQ1147" s="53">
        <f t="shared" si="210"/>
        <v>0</v>
      </c>
      <c r="AR1147" s="53">
        <f t="shared" si="210"/>
        <v>0</v>
      </c>
      <c r="AS1147" s="53">
        <f t="shared" si="210"/>
        <v>0</v>
      </c>
      <c r="AT1147" s="53">
        <f t="shared" si="210"/>
        <v>0</v>
      </c>
      <c r="AU1147" s="53">
        <f t="shared" si="210"/>
        <v>0</v>
      </c>
      <c r="AV1147" s="53">
        <f t="shared" si="210"/>
        <v>0</v>
      </c>
      <c r="AW1147" s="53">
        <f t="shared" si="210"/>
        <v>0</v>
      </c>
      <c r="AX1147" s="53">
        <f t="shared" si="211"/>
        <v>305700000</v>
      </c>
      <c r="AY1147" s="41" t="s">
        <v>557</v>
      </c>
    </row>
    <row r="1148" spans="1:51" x14ac:dyDescent="0.2">
      <c r="A1148" s="41" t="s">
        <v>192</v>
      </c>
      <c r="B1148" s="41">
        <v>2015</v>
      </c>
      <c r="C1148" s="41" t="s">
        <v>87</v>
      </c>
      <c r="D1148" s="41" t="s">
        <v>88</v>
      </c>
      <c r="E1148" s="41">
        <v>100</v>
      </c>
      <c r="F1148" s="41" t="s">
        <v>570</v>
      </c>
      <c r="G1148" s="53">
        <v>4015000</v>
      </c>
      <c r="H1148" s="41">
        <v>1.2</v>
      </c>
      <c r="I1148" s="56">
        <f t="shared" si="213"/>
        <v>0.66106025736820262</v>
      </c>
      <c r="R1148" s="76">
        <f t="shared" si="212"/>
        <v>112502.5</v>
      </c>
      <c r="S1148" s="53">
        <v>45001</v>
      </c>
      <c r="T1148" s="53">
        <f>64007*31.1/1000</f>
        <v>1990.6177000000002</v>
      </c>
      <c r="AM1148" s="53">
        <v>17545000</v>
      </c>
      <c r="AO1148" s="53">
        <f t="shared" si="210"/>
        <v>4818000</v>
      </c>
      <c r="AP1148" s="53">
        <f t="shared" si="210"/>
        <v>2654156.9333333336</v>
      </c>
      <c r="AQ1148" s="53">
        <f t="shared" si="210"/>
        <v>0</v>
      </c>
      <c r="AR1148" s="53">
        <f t="shared" si="210"/>
        <v>0</v>
      </c>
      <c r="AS1148" s="53">
        <f t="shared" si="210"/>
        <v>0</v>
      </c>
      <c r="AT1148" s="53">
        <f t="shared" si="210"/>
        <v>0</v>
      </c>
      <c r="AU1148" s="53">
        <f t="shared" si="210"/>
        <v>0</v>
      </c>
      <c r="AV1148" s="53">
        <f t="shared" si="210"/>
        <v>0</v>
      </c>
      <c r="AW1148" s="53">
        <f t="shared" si="210"/>
        <v>0</v>
      </c>
      <c r="AX1148" s="53">
        <f t="shared" si="211"/>
        <v>401500000</v>
      </c>
      <c r="AY1148" s="41" t="s">
        <v>557</v>
      </c>
    </row>
    <row r="1149" spans="1:51" x14ac:dyDescent="0.2">
      <c r="A1149" s="41" t="s">
        <v>192</v>
      </c>
      <c r="B1149" s="41">
        <v>2016</v>
      </c>
      <c r="C1149" s="41" t="s">
        <v>87</v>
      </c>
      <c r="D1149" s="41" t="s">
        <v>88</v>
      </c>
      <c r="E1149" s="41">
        <v>100</v>
      </c>
      <c r="F1149" s="41" t="s">
        <v>570</v>
      </c>
      <c r="G1149" s="53">
        <v>3898000</v>
      </c>
      <c r="H1149" s="41">
        <v>0.9</v>
      </c>
      <c r="I1149" s="56">
        <f t="shared" si="213"/>
        <v>0.57392717632974177</v>
      </c>
      <c r="R1149" s="76">
        <f t="shared" si="212"/>
        <v>82045</v>
      </c>
      <c r="S1149" s="53">
        <v>32818</v>
      </c>
      <c r="T1149" s="53">
        <f>53951*31.1/1000</f>
        <v>1677.8761000000002</v>
      </c>
      <c r="AM1149" s="53">
        <v>12066000</v>
      </c>
      <c r="AO1149" s="53">
        <f t="shared" si="210"/>
        <v>3508200</v>
      </c>
      <c r="AP1149" s="53">
        <f t="shared" si="210"/>
        <v>2237168.1333333333</v>
      </c>
      <c r="AQ1149" s="53">
        <f t="shared" si="210"/>
        <v>0</v>
      </c>
      <c r="AR1149" s="53">
        <f t="shared" si="210"/>
        <v>0</v>
      </c>
      <c r="AS1149" s="53">
        <f t="shared" si="210"/>
        <v>0</v>
      </c>
      <c r="AT1149" s="53">
        <f t="shared" si="210"/>
        <v>0</v>
      </c>
      <c r="AU1149" s="53">
        <f t="shared" si="210"/>
        <v>0</v>
      </c>
      <c r="AV1149" s="53">
        <f t="shared" si="210"/>
        <v>0</v>
      </c>
      <c r="AW1149" s="53">
        <f t="shared" si="210"/>
        <v>0</v>
      </c>
      <c r="AX1149" s="53">
        <f t="shared" si="211"/>
        <v>389800000</v>
      </c>
      <c r="AY1149" s="41" t="s">
        <v>557</v>
      </c>
    </row>
    <row r="1150" spans="1:51" x14ac:dyDescent="0.2">
      <c r="A1150" s="60"/>
      <c r="B1150" s="85" t="s">
        <v>639</v>
      </c>
      <c r="C1150" s="60" t="s">
        <v>87</v>
      </c>
      <c r="D1150" s="60" t="s">
        <v>88</v>
      </c>
      <c r="E1150" s="60">
        <v>100</v>
      </c>
      <c r="F1150" s="60" t="s">
        <v>570</v>
      </c>
      <c r="G1150" s="79">
        <f>SUM(G1139:G1148)+(4.67/12)*G1149</f>
        <v>26530971.666666668</v>
      </c>
      <c r="H1150" s="80">
        <f>AO1150/$G1150</f>
        <v>1.4331014701496985</v>
      </c>
      <c r="I1150" s="80">
        <f>AP1150/$G1150</f>
        <v>0.94618542612325063</v>
      </c>
      <c r="R1150" s="79">
        <f>SUM(R1139:R1148)+(4.67/12)*R1149</f>
        <v>855521.6791666667</v>
      </c>
      <c r="S1150" s="79">
        <f>SUM(S1139:S1148)+(4.67/12)*S1149</f>
        <v>342208.67166666669</v>
      </c>
      <c r="T1150" s="79">
        <f>SUM(T1139:T1148)+(4.67/12)*T1149</f>
        <v>18827.414048916668</v>
      </c>
      <c r="AM1150" s="79">
        <f>SUM(AM1139:AM1148)+(4.67/12)*AM1149</f>
        <v>125024685</v>
      </c>
      <c r="AO1150" s="79">
        <f t="shared" ref="AO1150:AX1150" si="214">SUM(AO1139:AO1148)+(4.67/12)*AO1149</f>
        <v>38021574.5</v>
      </c>
      <c r="AP1150" s="79">
        <f t="shared" si="214"/>
        <v>25103218.73188889</v>
      </c>
      <c r="AQ1150" s="79">
        <f t="shared" si="214"/>
        <v>0</v>
      </c>
      <c r="AR1150" s="79">
        <f t="shared" si="214"/>
        <v>0</v>
      </c>
      <c r="AS1150" s="79">
        <f t="shared" si="214"/>
        <v>0</v>
      </c>
      <c r="AT1150" s="79">
        <f t="shared" si="214"/>
        <v>0</v>
      </c>
      <c r="AU1150" s="79">
        <f t="shared" si="214"/>
        <v>0</v>
      </c>
      <c r="AV1150" s="79">
        <f t="shared" si="214"/>
        <v>0</v>
      </c>
      <c r="AW1150" s="79">
        <f t="shared" si="214"/>
        <v>0</v>
      </c>
      <c r="AX1150" s="79">
        <f t="shared" si="214"/>
        <v>2653097166.6666665</v>
      </c>
      <c r="AY1150" s="41" t="s">
        <v>557</v>
      </c>
    </row>
    <row r="1151" spans="1:51" x14ac:dyDescent="0.2">
      <c r="A1151" s="41" t="s">
        <v>192</v>
      </c>
      <c r="B1151" s="43" t="s">
        <v>560</v>
      </c>
      <c r="G1151" s="53">
        <f>STDEV(G1139:G1149)</f>
        <v>1013789.7486882843</v>
      </c>
      <c r="H1151" s="46">
        <f>STDEV(H1139:H1149)</f>
        <v>0.35496478698597766</v>
      </c>
      <c r="I1151" s="46">
        <f>STDEV(I1139:I1149)</f>
        <v>0.32232836484316263</v>
      </c>
      <c r="R1151" s="53">
        <f>STDEV(R1139:R1149)</f>
        <v>25307.93613402003</v>
      </c>
      <c r="S1151" s="53">
        <f>STDEV(S1139:S1149)</f>
        <v>10123.174453608008</v>
      </c>
      <c r="T1151" s="53">
        <f>STDEV(T1139:T1149)</f>
        <v>671.85724454803665</v>
      </c>
      <c r="AM1151" s="53">
        <f>STDEV(AM1139:AM1149)</f>
        <v>6633198.6771774823</v>
      </c>
      <c r="AY1151" s="41" t="s">
        <v>557</v>
      </c>
    </row>
    <row r="1152" spans="1:51" x14ac:dyDescent="0.2">
      <c r="A1152" s="41" t="s">
        <v>192</v>
      </c>
      <c r="B1152" s="81" t="s">
        <v>249</v>
      </c>
      <c r="G1152" s="41">
        <f>COUNT(G1139:G1149)</f>
        <v>11</v>
      </c>
      <c r="H1152" s="41">
        <f>COUNT(H1139:H1149)</f>
        <v>11</v>
      </c>
      <c r="I1152" s="41">
        <f>COUNT(I1139:I1149)</f>
        <v>11</v>
      </c>
      <c r="R1152" s="41">
        <f>COUNT(R1139:R1149)</f>
        <v>11</v>
      </c>
      <c r="S1152" s="41">
        <f>COUNT(S1139:S1149)</f>
        <v>11</v>
      </c>
      <c r="T1152" s="41">
        <f>COUNT(T1139:T1149)</f>
        <v>11</v>
      </c>
      <c r="AM1152" s="41">
        <f>COUNT(AM1139:AM1149)</f>
        <v>11</v>
      </c>
      <c r="AY1152" s="41" t="s">
        <v>557</v>
      </c>
    </row>
    <row r="1153" spans="1:51" x14ac:dyDescent="0.2">
      <c r="A1153" s="82"/>
      <c r="B1153" s="82"/>
      <c r="C1153" s="82"/>
      <c r="D1153" s="82"/>
      <c r="E1153" s="82"/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  <c r="P1153" s="82"/>
      <c r="Q1153" s="82"/>
      <c r="R1153" s="82"/>
      <c r="S1153" s="82"/>
      <c r="T1153" s="82"/>
      <c r="U1153" s="82"/>
      <c r="V1153" s="82"/>
      <c r="W1153" s="82"/>
      <c r="X1153" s="82"/>
      <c r="Y1153" s="82"/>
      <c r="Z1153" s="82"/>
      <c r="AA1153" s="82"/>
      <c r="AB1153" s="82"/>
      <c r="AC1153" s="82"/>
      <c r="AD1153" s="82"/>
      <c r="AE1153" s="82"/>
      <c r="AF1153" s="82"/>
      <c r="AG1153" s="82"/>
      <c r="AH1153" s="82"/>
      <c r="AI1153" s="82"/>
      <c r="AJ1153" s="82"/>
      <c r="AK1153" s="82"/>
      <c r="AL1153" s="82"/>
      <c r="AM1153" s="82"/>
      <c r="AN1153" s="82"/>
      <c r="AO1153" s="82"/>
      <c r="AP1153" s="82"/>
      <c r="AQ1153" s="82"/>
      <c r="AR1153" s="82"/>
      <c r="AS1153" s="82"/>
      <c r="AT1153" s="82"/>
      <c r="AU1153" s="82"/>
      <c r="AV1153" s="82"/>
      <c r="AW1153" s="82"/>
      <c r="AX1153" s="82"/>
      <c r="AY1153" s="41" t="s">
        <v>557</v>
      </c>
    </row>
    <row r="1154" spans="1:51" x14ac:dyDescent="0.2">
      <c r="A1154" s="41" t="s">
        <v>640</v>
      </c>
      <c r="B1154" s="41">
        <v>1985</v>
      </c>
      <c r="C1154" s="41" t="s">
        <v>96</v>
      </c>
      <c r="D1154" s="41" t="s">
        <v>401</v>
      </c>
      <c r="E1154" s="41">
        <v>0</v>
      </c>
      <c r="F1154" s="41" t="s">
        <v>390</v>
      </c>
      <c r="G1154" s="53">
        <v>634234</v>
      </c>
      <c r="I1154" s="46">
        <v>8.4382685097298467</v>
      </c>
      <c r="T1154" s="53">
        <v>5352.7142999999996</v>
      </c>
      <c r="AO1154" s="53">
        <f t="shared" ref="AO1154:AW1182" si="215">$G1154*H1154</f>
        <v>0</v>
      </c>
      <c r="AP1154" s="53">
        <f t="shared" si="215"/>
        <v>5351836.7899999991</v>
      </c>
      <c r="AQ1154" s="53">
        <f t="shared" si="215"/>
        <v>0</v>
      </c>
      <c r="AR1154" s="53">
        <f t="shared" si="215"/>
        <v>0</v>
      </c>
      <c r="AS1154" s="53">
        <f t="shared" si="215"/>
        <v>0</v>
      </c>
      <c r="AT1154" s="53">
        <f t="shared" si="215"/>
        <v>0</v>
      </c>
      <c r="AU1154" s="53">
        <f t="shared" si="215"/>
        <v>0</v>
      </c>
      <c r="AV1154" s="53">
        <f t="shared" si="215"/>
        <v>0</v>
      </c>
      <c r="AW1154" s="53">
        <f t="shared" si="215"/>
        <v>0</v>
      </c>
      <c r="AX1154" s="53">
        <f t="shared" ref="AX1154:AX1185" si="216">$G1154*E1154</f>
        <v>0</v>
      </c>
      <c r="AY1154" s="41" t="s">
        <v>557</v>
      </c>
    </row>
    <row r="1155" spans="1:51" x14ac:dyDescent="0.2">
      <c r="A1155" s="41" t="s">
        <v>640</v>
      </c>
      <c r="B1155" s="41">
        <v>1986</v>
      </c>
      <c r="C1155" s="41" t="s">
        <v>96</v>
      </c>
      <c r="D1155" s="41" t="s">
        <v>401</v>
      </c>
      <c r="E1155" s="41">
        <v>0</v>
      </c>
      <c r="F1155" s="41" t="s">
        <v>390</v>
      </c>
      <c r="G1155" s="53">
        <v>2194326</v>
      </c>
      <c r="I1155" s="46">
        <v>8.2118375619666359</v>
      </c>
      <c r="T1155" s="53">
        <v>18018.6558</v>
      </c>
      <c r="AO1155" s="53">
        <f t="shared" si="215"/>
        <v>0</v>
      </c>
      <c r="AP1155" s="53">
        <f t="shared" si="215"/>
        <v>18019448.670000002</v>
      </c>
      <c r="AQ1155" s="53">
        <f t="shared" si="215"/>
        <v>0</v>
      </c>
      <c r="AR1155" s="53">
        <f t="shared" si="215"/>
        <v>0</v>
      </c>
      <c r="AS1155" s="53">
        <f t="shared" si="215"/>
        <v>0</v>
      </c>
      <c r="AT1155" s="53">
        <f t="shared" si="215"/>
        <v>0</v>
      </c>
      <c r="AU1155" s="53">
        <f t="shared" si="215"/>
        <v>0</v>
      </c>
      <c r="AV1155" s="53">
        <f t="shared" si="215"/>
        <v>0</v>
      </c>
      <c r="AW1155" s="53">
        <f t="shared" si="215"/>
        <v>0</v>
      </c>
      <c r="AX1155" s="53">
        <f t="shared" si="216"/>
        <v>0</v>
      </c>
      <c r="AY1155" s="41" t="s">
        <v>557</v>
      </c>
    </row>
    <row r="1156" spans="1:51" x14ac:dyDescent="0.2">
      <c r="A1156" s="41" t="s">
        <v>640</v>
      </c>
      <c r="B1156" s="41">
        <v>1987</v>
      </c>
      <c r="C1156" s="41" t="s">
        <v>96</v>
      </c>
      <c r="D1156" s="41" t="s">
        <v>401</v>
      </c>
      <c r="E1156" s="41">
        <v>0</v>
      </c>
      <c r="F1156" s="41" t="s">
        <v>390</v>
      </c>
      <c r="G1156" s="53">
        <v>2470709</v>
      </c>
      <c r="I1156" s="46">
        <v>10.525337022692677</v>
      </c>
      <c r="T1156" s="53">
        <v>26006.317600000002</v>
      </c>
      <c r="AO1156" s="53">
        <f t="shared" si="215"/>
        <v>0</v>
      </c>
      <c r="AP1156" s="53">
        <f t="shared" si="215"/>
        <v>26005044.91</v>
      </c>
      <c r="AQ1156" s="53">
        <f t="shared" si="215"/>
        <v>0</v>
      </c>
      <c r="AR1156" s="53">
        <f t="shared" si="215"/>
        <v>0</v>
      </c>
      <c r="AS1156" s="53">
        <f t="shared" si="215"/>
        <v>0</v>
      </c>
      <c r="AT1156" s="53">
        <f t="shared" si="215"/>
        <v>0</v>
      </c>
      <c r="AU1156" s="53">
        <f t="shared" si="215"/>
        <v>0</v>
      </c>
      <c r="AV1156" s="53">
        <f t="shared" si="215"/>
        <v>0</v>
      </c>
      <c r="AW1156" s="53">
        <f t="shared" si="215"/>
        <v>0</v>
      </c>
      <c r="AX1156" s="53">
        <f t="shared" si="216"/>
        <v>0</v>
      </c>
      <c r="AY1156" s="41" t="s">
        <v>557</v>
      </c>
    </row>
    <row r="1157" spans="1:51" x14ac:dyDescent="0.2">
      <c r="A1157" s="41" t="s">
        <v>640</v>
      </c>
      <c r="B1157" s="41">
        <v>1988</v>
      </c>
      <c r="C1157" s="41" t="s">
        <v>96</v>
      </c>
      <c r="D1157" s="41" t="s">
        <v>401</v>
      </c>
      <c r="E1157" s="41">
        <v>0</v>
      </c>
      <c r="F1157" s="41" t="s">
        <v>390</v>
      </c>
      <c r="G1157" s="53">
        <v>2844493</v>
      </c>
      <c r="I1157" s="46">
        <v>10.676108392602828</v>
      </c>
      <c r="T1157" s="53">
        <v>30393.159200000002</v>
      </c>
      <c r="AO1157" s="53">
        <f t="shared" si="215"/>
        <v>0</v>
      </c>
      <c r="AP1157" s="53">
        <f t="shared" si="215"/>
        <v>30368115.589999996</v>
      </c>
      <c r="AQ1157" s="53">
        <f t="shared" si="215"/>
        <v>0</v>
      </c>
      <c r="AR1157" s="53">
        <f t="shared" si="215"/>
        <v>0</v>
      </c>
      <c r="AS1157" s="53">
        <f t="shared" si="215"/>
        <v>0</v>
      </c>
      <c r="AT1157" s="53">
        <f t="shared" si="215"/>
        <v>0</v>
      </c>
      <c r="AU1157" s="53">
        <f t="shared" si="215"/>
        <v>0</v>
      </c>
      <c r="AV1157" s="53">
        <f t="shared" si="215"/>
        <v>0</v>
      </c>
      <c r="AW1157" s="53">
        <f t="shared" si="215"/>
        <v>0</v>
      </c>
      <c r="AX1157" s="53">
        <f t="shared" si="216"/>
        <v>0</v>
      </c>
      <c r="AY1157" s="41" t="s">
        <v>557</v>
      </c>
    </row>
    <row r="1158" spans="1:51" x14ac:dyDescent="0.2">
      <c r="A1158" s="41" t="s">
        <v>640</v>
      </c>
      <c r="B1158" s="41">
        <v>1989</v>
      </c>
      <c r="C1158" s="41" t="s">
        <v>96</v>
      </c>
      <c r="D1158" s="41" t="s">
        <v>401</v>
      </c>
      <c r="E1158" s="41">
        <v>0</v>
      </c>
      <c r="F1158" s="41" t="s">
        <v>390</v>
      </c>
      <c r="G1158" s="53">
        <v>3370024</v>
      </c>
      <c r="I1158" s="46">
        <v>11.411744189358888</v>
      </c>
      <c r="T1158" s="53">
        <v>38436.9565</v>
      </c>
      <c r="AO1158" s="53">
        <f t="shared" si="215"/>
        <v>0</v>
      </c>
      <c r="AP1158" s="53">
        <f t="shared" si="215"/>
        <v>38457851.799999997</v>
      </c>
      <c r="AQ1158" s="53">
        <f t="shared" si="215"/>
        <v>0</v>
      </c>
      <c r="AR1158" s="53">
        <f t="shared" si="215"/>
        <v>0</v>
      </c>
      <c r="AS1158" s="53">
        <f t="shared" si="215"/>
        <v>0</v>
      </c>
      <c r="AT1158" s="53">
        <f t="shared" si="215"/>
        <v>0</v>
      </c>
      <c r="AU1158" s="53">
        <f t="shared" si="215"/>
        <v>0</v>
      </c>
      <c r="AV1158" s="53">
        <f t="shared" si="215"/>
        <v>0</v>
      </c>
      <c r="AW1158" s="53">
        <f t="shared" si="215"/>
        <v>0</v>
      </c>
      <c r="AX1158" s="53">
        <f t="shared" si="216"/>
        <v>0</v>
      </c>
      <c r="AY1158" s="41" t="s">
        <v>557</v>
      </c>
    </row>
    <row r="1159" spans="1:51" x14ac:dyDescent="0.2">
      <c r="A1159" s="41" t="s">
        <v>640</v>
      </c>
      <c r="B1159" s="41">
        <v>1990</v>
      </c>
      <c r="C1159" s="41" t="s">
        <v>96</v>
      </c>
      <c r="D1159" s="41" t="s">
        <v>401</v>
      </c>
      <c r="E1159" s="41">
        <v>0</v>
      </c>
      <c r="F1159" s="41" t="s">
        <v>390</v>
      </c>
      <c r="G1159" s="53">
        <v>3932602</v>
      </c>
      <c r="I1159" s="46">
        <v>11.124233029429371</v>
      </c>
      <c r="T1159" s="53">
        <v>43744.7624</v>
      </c>
      <c r="AO1159" s="53">
        <f t="shared" si="215"/>
        <v>0</v>
      </c>
      <c r="AP1159" s="53">
        <f t="shared" si="215"/>
        <v>43747181.060000002</v>
      </c>
      <c r="AQ1159" s="53">
        <f t="shared" si="215"/>
        <v>0</v>
      </c>
      <c r="AR1159" s="53">
        <f t="shared" si="215"/>
        <v>0</v>
      </c>
      <c r="AS1159" s="53">
        <f t="shared" si="215"/>
        <v>0</v>
      </c>
      <c r="AT1159" s="53">
        <f t="shared" si="215"/>
        <v>0</v>
      </c>
      <c r="AU1159" s="53">
        <f t="shared" si="215"/>
        <v>0</v>
      </c>
      <c r="AV1159" s="53">
        <f t="shared" si="215"/>
        <v>0</v>
      </c>
      <c r="AW1159" s="53">
        <f t="shared" si="215"/>
        <v>0</v>
      </c>
      <c r="AX1159" s="53">
        <f t="shared" si="216"/>
        <v>0</v>
      </c>
      <c r="AY1159" s="41" t="s">
        <v>557</v>
      </c>
    </row>
    <row r="1160" spans="1:51" x14ac:dyDescent="0.2">
      <c r="A1160" s="41" t="s">
        <v>640</v>
      </c>
      <c r="B1160" s="41">
        <v>1991</v>
      </c>
      <c r="C1160" s="41" t="s">
        <v>96</v>
      </c>
      <c r="D1160" s="41" t="s">
        <v>401</v>
      </c>
      <c r="E1160" s="47">
        <v>0.83992279009752024</v>
      </c>
      <c r="F1160" s="41" t="s">
        <v>390</v>
      </c>
      <c r="G1160" s="53">
        <v>3809874</v>
      </c>
      <c r="I1160" s="46">
        <v>10.618334317617855</v>
      </c>
      <c r="T1160" s="53">
        <v>40450.774800000007</v>
      </c>
      <c r="AM1160" s="76">
        <f>(E1160/100)*G1160*1.5</f>
        <v>48000</v>
      </c>
      <c r="AO1160" s="53">
        <f t="shared" si="215"/>
        <v>0</v>
      </c>
      <c r="AP1160" s="53">
        <f t="shared" si="215"/>
        <v>40454515.840000004</v>
      </c>
      <c r="AQ1160" s="53">
        <f t="shared" si="215"/>
        <v>0</v>
      </c>
      <c r="AR1160" s="53">
        <f t="shared" si="215"/>
        <v>0</v>
      </c>
      <c r="AS1160" s="53">
        <f t="shared" si="215"/>
        <v>0</v>
      </c>
      <c r="AT1160" s="53">
        <f t="shared" si="215"/>
        <v>0</v>
      </c>
      <c r="AU1160" s="53">
        <f t="shared" si="215"/>
        <v>0</v>
      </c>
      <c r="AV1160" s="53">
        <f t="shared" si="215"/>
        <v>0</v>
      </c>
      <c r="AW1160" s="53">
        <f t="shared" si="215"/>
        <v>0</v>
      </c>
      <c r="AX1160" s="53">
        <f t="shared" si="216"/>
        <v>3200000</v>
      </c>
      <c r="AY1160" s="41" t="s">
        <v>557</v>
      </c>
    </row>
    <row r="1161" spans="1:51" x14ac:dyDescent="0.2">
      <c r="A1161" s="41" t="s">
        <v>640</v>
      </c>
      <c r="B1161" s="41">
        <v>1992</v>
      </c>
      <c r="C1161" s="41" t="s">
        <v>96</v>
      </c>
      <c r="D1161" s="41" t="s">
        <v>401</v>
      </c>
      <c r="E1161" s="47">
        <v>3.333135428417271</v>
      </c>
      <c r="F1161" s="41" t="s">
        <v>390</v>
      </c>
      <c r="G1161" s="53">
        <v>3840228</v>
      </c>
      <c r="I1161" s="46">
        <v>9.8793150250453881</v>
      </c>
      <c r="T1161" s="53">
        <v>37927.009800000007</v>
      </c>
      <c r="AM1161" s="76">
        <f t="shared" ref="AM1161:AM1168" si="217">(E1161/100)*G1161*1.5</f>
        <v>191999.99999999997</v>
      </c>
      <c r="AO1161" s="53">
        <f t="shared" si="215"/>
        <v>0</v>
      </c>
      <c r="AP1161" s="53">
        <f t="shared" si="215"/>
        <v>37938822.18</v>
      </c>
      <c r="AQ1161" s="53">
        <f t="shared" si="215"/>
        <v>0</v>
      </c>
      <c r="AR1161" s="53">
        <f t="shared" si="215"/>
        <v>0</v>
      </c>
      <c r="AS1161" s="53">
        <f t="shared" si="215"/>
        <v>0</v>
      </c>
      <c r="AT1161" s="53">
        <f t="shared" si="215"/>
        <v>0</v>
      </c>
      <c r="AU1161" s="53">
        <f t="shared" si="215"/>
        <v>0</v>
      </c>
      <c r="AV1161" s="53">
        <f t="shared" si="215"/>
        <v>0</v>
      </c>
      <c r="AW1161" s="53">
        <f t="shared" si="215"/>
        <v>0</v>
      </c>
      <c r="AX1161" s="53">
        <f t="shared" si="216"/>
        <v>12800000</v>
      </c>
      <c r="AY1161" s="41" t="s">
        <v>557</v>
      </c>
    </row>
    <row r="1162" spans="1:51" x14ac:dyDescent="0.2">
      <c r="A1162" s="41" t="s">
        <v>640</v>
      </c>
      <c r="B1162" s="41">
        <v>1993</v>
      </c>
      <c r="C1162" s="41" t="s">
        <v>96</v>
      </c>
      <c r="D1162" s="41" t="s">
        <v>401</v>
      </c>
      <c r="E1162" s="47">
        <v>3.6526685170114734</v>
      </c>
      <c r="F1162" s="41" t="s">
        <v>390</v>
      </c>
      <c r="G1162" s="53">
        <v>3914946</v>
      </c>
      <c r="I1162" s="46">
        <v>9.3541158268849696</v>
      </c>
      <c r="T1162" s="53">
        <v>36614.3099</v>
      </c>
      <c r="AM1162" s="76">
        <f t="shared" si="217"/>
        <v>214500</v>
      </c>
      <c r="AO1162" s="53">
        <f t="shared" si="215"/>
        <v>0</v>
      </c>
      <c r="AP1162" s="53">
        <f t="shared" si="215"/>
        <v>36620858.340000004</v>
      </c>
      <c r="AQ1162" s="53">
        <f t="shared" si="215"/>
        <v>0</v>
      </c>
      <c r="AR1162" s="53">
        <f t="shared" si="215"/>
        <v>0</v>
      </c>
      <c r="AS1162" s="53">
        <f t="shared" si="215"/>
        <v>0</v>
      </c>
      <c r="AT1162" s="53">
        <f t="shared" si="215"/>
        <v>0</v>
      </c>
      <c r="AU1162" s="53">
        <f t="shared" si="215"/>
        <v>0</v>
      </c>
      <c r="AV1162" s="53">
        <f t="shared" si="215"/>
        <v>0</v>
      </c>
      <c r="AW1162" s="53">
        <f t="shared" si="215"/>
        <v>0</v>
      </c>
      <c r="AX1162" s="53">
        <f t="shared" si="216"/>
        <v>14300000</v>
      </c>
      <c r="AY1162" s="41" t="s">
        <v>557</v>
      </c>
    </row>
    <row r="1163" spans="1:51" x14ac:dyDescent="0.2">
      <c r="A1163" s="41" t="s">
        <v>640</v>
      </c>
      <c r="B1163" s="41">
        <v>1994</v>
      </c>
      <c r="C1163" s="41" t="s">
        <v>96</v>
      </c>
      <c r="D1163" s="41" t="s">
        <v>401</v>
      </c>
      <c r="E1163" s="47">
        <v>4.103291459114959</v>
      </c>
      <c r="F1163" s="41" t="s">
        <v>390</v>
      </c>
      <c r="G1163" s="53">
        <v>3874938</v>
      </c>
      <c r="I1163" s="46">
        <v>9.1244807374982511</v>
      </c>
      <c r="T1163" s="53">
        <v>35354.169000000002</v>
      </c>
      <c r="AM1163" s="76">
        <f t="shared" si="217"/>
        <v>238500.00000000006</v>
      </c>
      <c r="AO1163" s="53">
        <f t="shared" si="215"/>
        <v>0</v>
      </c>
      <c r="AP1163" s="53">
        <f t="shared" si="215"/>
        <v>35356797.140000001</v>
      </c>
      <c r="AQ1163" s="53">
        <f t="shared" si="215"/>
        <v>0</v>
      </c>
      <c r="AR1163" s="53">
        <f t="shared" si="215"/>
        <v>0</v>
      </c>
      <c r="AS1163" s="53">
        <f t="shared" si="215"/>
        <v>0</v>
      </c>
      <c r="AT1163" s="53">
        <f t="shared" si="215"/>
        <v>0</v>
      </c>
      <c r="AU1163" s="53">
        <f t="shared" si="215"/>
        <v>0</v>
      </c>
      <c r="AV1163" s="53">
        <f t="shared" si="215"/>
        <v>0</v>
      </c>
      <c r="AW1163" s="53">
        <f t="shared" si="215"/>
        <v>0</v>
      </c>
      <c r="AX1163" s="53">
        <f t="shared" si="216"/>
        <v>15900000</v>
      </c>
      <c r="AY1163" s="41" t="s">
        <v>557</v>
      </c>
    </row>
    <row r="1164" spans="1:51" x14ac:dyDescent="0.2">
      <c r="A1164" s="41" t="s">
        <v>640</v>
      </c>
      <c r="B1164" s="41">
        <v>1995</v>
      </c>
      <c r="C1164" s="41" t="s">
        <v>96</v>
      </c>
      <c r="D1164" s="41" t="s">
        <v>401</v>
      </c>
      <c r="E1164" s="47">
        <v>5.931746532981383</v>
      </c>
      <c r="F1164" s="41" t="s">
        <v>390</v>
      </c>
      <c r="G1164" s="53">
        <v>3439122</v>
      </c>
      <c r="I1164" s="46">
        <v>7.6232714657985383</v>
      </c>
      <c r="T1164" s="53">
        <v>26204.144700000004</v>
      </c>
      <c r="AM1164" s="76">
        <f t="shared" si="217"/>
        <v>306000</v>
      </c>
      <c r="AO1164" s="53">
        <f t="shared" si="215"/>
        <v>0</v>
      </c>
      <c r="AP1164" s="53">
        <f t="shared" si="215"/>
        <v>26217360.609999999</v>
      </c>
      <c r="AQ1164" s="53">
        <f t="shared" si="215"/>
        <v>0</v>
      </c>
      <c r="AR1164" s="53">
        <f t="shared" si="215"/>
        <v>0</v>
      </c>
      <c r="AS1164" s="53">
        <f t="shared" si="215"/>
        <v>0</v>
      </c>
      <c r="AT1164" s="53">
        <f t="shared" si="215"/>
        <v>0</v>
      </c>
      <c r="AU1164" s="53">
        <f t="shared" si="215"/>
        <v>0</v>
      </c>
      <c r="AV1164" s="53">
        <f t="shared" si="215"/>
        <v>0</v>
      </c>
      <c r="AW1164" s="53">
        <f t="shared" si="215"/>
        <v>0</v>
      </c>
      <c r="AX1164" s="53">
        <f t="shared" si="216"/>
        <v>20400000</v>
      </c>
      <c r="AY1164" s="41" t="s">
        <v>557</v>
      </c>
    </row>
    <row r="1165" spans="1:51" x14ac:dyDescent="0.2">
      <c r="A1165" s="41" t="s">
        <v>640</v>
      </c>
      <c r="B1165" s="41">
        <v>1996</v>
      </c>
      <c r="C1165" s="41" t="s">
        <v>96</v>
      </c>
      <c r="D1165" s="41" t="s">
        <v>401</v>
      </c>
      <c r="E1165" s="47">
        <v>5.2904787097517669</v>
      </c>
      <c r="F1165" s="41" t="s">
        <v>390</v>
      </c>
      <c r="G1165" s="53">
        <v>3818180</v>
      </c>
      <c r="I1165" s="46">
        <v>8.2383166587222174</v>
      </c>
      <c r="T1165" s="53">
        <v>31462.159500000002</v>
      </c>
      <c r="AM1165" s="76">
        <f t="shared" si="217"/>
        <v>303000</v>
      </c>
      <c r="AO1165" s="53">
        <f t="shared" si="215"/>
        <v>0</v>
      </c>
      <c r="AP1165" s="53">
        <f t="shared" si="215"/>
        <v>31455375.899999995</v>
      </c>
      <c r="AQ1165" s="53">
        <f t="shared" si="215"/>
        <v>0</v>
      </c>
      <c r="AR1165" s="53">
        <f t="shared" si="215"/>
        <v>0</v>
      </c>
      <c r="AS1165" s="53">
        <f t="shared" si="215"/>
        <v>0</v>
      </c>
      <c r="AT1165" s="53">
        <f t="shared" si="215"/>
        <v>0</v>
      </c>
      <c r="AU1165" s="53">
        <f t="shared" si="215"/>
        <v>0</v>
      </c>
      <c r="AV1165" s="53">
        <f t="shared" si="215"/>
        <v>0</v>
      </c>
      <c r="AW1165" s="53">
        <f t="shared" si="215"/>
        <v>0</v>
      </c>
      <c r="AX1165" s="53">
        <f t="shared" si="216"/>
        <v>20200000</v>
      </c>
      <c r="AY1165" s="41" t="s">
        <v>557</v>
      </c>
    </row>
    <row r="1166" spans="1:51" x14ac:dyDescent="0.2">
      <c r="A1166" s="41" t="s">
        <v>640</v>
      </c>
      <c r="B1166" s="41">
        <v>1997</v>
      </c>
      <c r="C1166" s="41" t="s">
        <v>96</v>
      </c>
      <c r="D1166" s="41" t="s">
        <v>401</v>
      </c>
      <c r="E1166" s="47">
        <v>8.1428574720831861</v>
      </c>
      <c r="F1166" s="41" t="s">
        <v>390</v>
      </c>
      <c r="G1166" s="53">
        <v>3905263</v>
      </c>
      <c r="I1166" s="46">
        <v>7.9373342666038109</v>
      </c>
      <c r="T1166" s="53">
        <v>30979.954000000002</v>
      </c>
      <c r="AM1166" s="76">
        <f t="shared" si="217"/>
        <v>477000</v>
      </c>
      <c r="AO1166" s="53">
        <f t="shared" si="215"/>
        <v>0</v>
      </c>
      <c r="AP1166" s="53">
        <f t="shared" si="215"/>
        <v>30997377.829999998</v>
      </c>
      <c r="AQ1166" s="53">
        <f t="shared" si="215"/>
        <v>0</v>
      </c>
      <c r="AR1166" s="53">
        <f t="shared" si="215"/>
        <v>0</v>
      </c>
      <c r="AS1166" s="53">
        <f t="shared" si="215"/>
        <v>0</v>
      </c>
      <c r="AT1166" s="53">
        <f t="shared" si="215"/>
        <v>0</v>
      </c>
      <c r="AU1166" s="53">
        <f t="shared" si="215"/>
        <v>0</v>
      </c>
      <c r="AV1166" s="53">
        <f t="shared" si="215"/>
        <v>0</v>
      </c>
      <c r="AW1166" s="53">
        <f t="shared" si="215"/>
        <v>0</v>
      </c>
      <c r="AX1166" s="53">
        <f t="shared" si="216"/>
        <v>31800000</v>
      </c>
      <c r="AY1166" s="41" t="s">
        <v>557</v>
      </c>
    </row>
    <row r="1167" spans="1:51" x14ac:dyDescent="0.2">
      <c r="A1167" s="41" t="s">
        <v>640</v>
      </c>
      <c r="B1167" s="41">
        <v>1998</v>
      </c>
      <c r="C1167" s="41" t="s">
        <v>96</v>
      </c>
      <c r="D1167" s="41" t="s">
        <v>401</v>
      </c>
      <c r="E1167" s="47">
        <v>9.7134184629904734</v>
      </c>
      <c r="F1167" s="41" t="s">
        <v>390</v>
      </c>
      <c r="G1167" s="53">
        <v>3922409</v>
      </c>
      <c r="I1167" s="46">
        <v>7.5613515495196957</v>
      </c>
      <c r="T1167" s="53">
        <v>29645.110900000003</v>
      </c>
      <c r="AM1167" s="76">
        <f t="shared" si="217"/>
        <v>571500</v>
      </c>
      <c r="AO1167" s="53">
        <f t="shared" si="215"/>
        <v>0</v>
      </c>
      <c r="AP1167" s="53">
        <f t="shared" si="215"/>
        <v>29658713.370000001</v>
      </c>
      <c r="AQ1167" s="53">
        <f t="shared" si="215"/>
        <v>0</v>
      </c>
      <c r="AR1167" s="53">
        <f t="shared" si="215"/>
        <v>0</v>
      </c>
      <c r="AS1167" s="53">
        <f t="shared" si="215"/>
        <v>0</v>
      </c>
      <c r="AT1167" s="53">
        <f t="shared" si="215"/>
        <v>0</v>
      </c>
      <c r="AU1167" s="53">
        <f t="shared" si="215"/>
        <v>0</v>
      </c>
      <c r="AV1167" s="53">
        <f t="shared" si="215"/>
        <v>0</v>
      </c>
      <c r="AW1167" s="53">
        <f t="shared" si="215"/>
        <v>0</v>
      </c>
      <c r="AX1167" s="53">
        <f t="shared" si="216"/>
        <v>38100000</v>
      </c>
      <c r="AY1167" s="41" t="s">
        <v>557</v>
      </c>
    </row>
    <row r="1168" spans="1:51" x14ac:dyDescent="0.2">
      <c r="A1168" s="41" t="s">
        <v>640</v>
      </c>
      <c r="B1168" s="41">
        <v>1999</v>
      </c>
      <c r="C1168" s="41" t="s">
        <v>96</v>
      </c>
      <c r="D1168" s="41" t="s">
        <v>401</v>
      </c>
      <c r="E1168" s="47">
        <v>9.4335577376613351</v>
      </c>
      <c r="F1168" s="41" t="s">
        <v>390</v>
      </c>
      <c r="G1168" s="53">
        <v>3964570</v>
      </c>
      <c r="I1168" s="46">
        <v>7.7895442406112139</v>
      </c>
      <c r="T1168" s="53">
        <v>30873.032200000001</v>
      </c>
      <c r="AM1168" s="76">
        <f t="shared" si="217"/>
        <v>561000</v>
      </c>
      <c r="AO1168" s="53">
        <f t="shared" si="215"/>
        <v>0</v>
      </c>
      <c r="AP1168" s="53">
        <f t="shared" si="215"/>
        <v>30882193.41</v>
      </c>
      <c r="AQ1168" s="53">
        <f t="shared" si="215"/>
        <v>0</v>
      </c>
      <c r="AR1168" s="53">
        <f t="shared" si="215"/>
        <v>0</v>
      </c>
      <c r="AS1168" s="53">
        <f t="shared" si="215"/>
        <v>0</v>
      </c>
      <c r="AT1168" s="53">
        <f t="shared" si="215"/>
        <v>0</v>
      </c>
      <c r="AU1168" s="53">
        <f t="shared" si="215"/>
        <v>0</v>
      </c>
      <c r="AV1168" s="53">
        <f t="shared" si="215"/>
        <v>0</v>
      </c>
      <c r="AW1168" s="53">
        <f t="shared" si="215"/>
        <v>0</v>
      </c>
      <c r="AX1168" s="53">
        <f t="shared" si="216"/>
        <v>37400000</v>
      </c>
      <c r="AY1168" s="41" t="s">
        <v>557</v>
      </c>
    </row>
    <row r="1169" spans="1:51" x14ac:dyDescent="0.2">
      <c r="A1169" s="41" t="s">
        <v>640</v>
      </c>
      <c r="B1169" s="41">
        <v>2000</v>
      </c>
      <c r="C1169" s="41" t="s">
        <v>96</v>
      </c>
      <c r="D1169" s="41" t="s">
        <v>401</v>
      </c>
      <c r="E1169" s="47">
        <v>14.143609429205757</v>
      </c>
      <c r="F1169" s="41" t="s">
        <v>390</v>
      </c>
      <c r="G1169" s="53">
        <v>4015948</v>
      </c>
      <c r="I1169" s="46">
        <v>7.4247709382691207</v>
      </c>
      <c r="T1169" s="53">
        <v>29805.307000000001</v>
      </c>
      <c r="AM1169" s="53">
        <f>(5271000-3247000)*0.9072</f>
        <v>1836172.8</v>
      </c>
      <c r="AO1169" s="53">
        <f t="shared" si="215"/>
        <v>0</v>
      </c>
      <c r="AP1169" s="53">
        <f t="shared" si="215"/>
        <v>29817494</v>
      </c>
      <c r="AQ1169" s="53">
        <f t="shared" si="215"/>
        <v>0</v>
      </c>
      <c r="AR1169" s="53">
        <f t="shared" si="215"/>
        <v>0</v>
      </c>
      <c r="AS1169" s="53">
        <f t="shared" si="215"/>
        <v>0</v>
      </c>
      <c r="AT1169" s="53">
        <f t="shared" si="215"/>
        <v>0</v>
      </c>
      <c r="AU1169" s="53">
        <f t="shared" si="215"/>
        <v>0</v>
      </c>
      <c r="AV1169" s="53">
        <f t="shared" si="215"/>
        <v>0</v>
      </c>
      <c r="AW1169" s="53">
        <f t="shared" si="215"/>
        <v>0</v>
      </c>
      <c r="AX1169" s="53">
        <f t="shared" si="216"/>
        <v>56800000</v>
      </c>
      <c r="AY1169" s="41" t="s">
        <v>557</v>
      </c>
    </row>
    <row r="1170" spans="1:51" x14ac:dyDescent="0.2">
      <c r="A1170" s="41" t="s">
        <v>640</v>
      </c>
      <c r="B1170" s="41">
        <v>2001</v>
      </c>
      <c r="C1170" s="41" t="s">
        <v>96</v>
      </c>
      <c r="D1170" s="41" t="s">
        <v>401</v>
      </c>
      <c r="E1170" s="47">
        <v>23.722071055078722</v>
      </c>
      <c r="F1170" s="41" t="s">
        <v>390</v>
      </c>
      <c r="G1170" s="53">
        <v>4481059</v>
      </c>
      <c r="I1170" s="46">
        <v>6.4116570458010029</v>
      </c>
      <c r="T1170" s="53">
        <v>28737.5818</v>
      </c>
      <c r="AM1170" s="53">
        <f>(6876000-3849000)*0.9072</f>
        <v>2746094.4</v>
      </c>
      <c r="AO1170" s="53">
        <f t="shared" si="215"/>
        <v>0</v>
      </c>
      <c r="AP1170" s="53">
        <f t="shared" si="215"/>
        <v>28731013.509999998</v>
      </c>
      <c r="AQ1170" s="53">
        <f t="shared" si="215"/>
        <v>0</v>
      </c>
      <c r="AR1170" s="53">
        <f t="shared" si="215"/>
        <v>0</v>
      </c>
      <c r="AS1170" s="53">
        <f t="shared" si="215"/>
        <v>0</v>
      </c>
      <c r="AT1170" s="53">
        <f t="shared" si="215"/>
        <v>0</v>
      </c>
      <c r="AU1170" s="53">
        <f t="shared" si="215"/>
        <v>0</v>
      </c>
      <c r="AV1170" s="53">
        <f t="shared" si="215"/>
        <v>0</v>
      </c>
      <c r="AW1170" s="53">
        <f t="shared" si="215"/>
        <v>0</v>
      </c>
      <c r="AX1170" s="53">
        <f t="shared" si="216"/>
        <v>106300000</v>
      </c>
      <c r="AY1170" s="41" t="s">
        <v>557</v>
      </c>
    </row>
    <row r="1171" spans="1:51" x14ac:dyDescent="0.2">
      <c r="A1171" s="41" t="s">
        <v>640</v>
      </c>
      <c r="B1171" s="41">
        <v>2002</v>
      </c>
      <c r="C1171" s="41" t="s">
        <v>96</v>
      </c>
      <c r="D1171" s="41" t="s">
        <v>401</v>
      </c>
      <c r="E1171" s="47">
        <v>25.110771264211767</v>
      </c>
      <c r="F1171" s="41" t="s">
        <v>390</v>
      </c>
      <c r="G1171" s="53">
        <v>4456255</v>
      </c>
      <c r="I1171" s="46">
        <v>5.9186520318069773</v>
      </c>
      <c r="T1171" s="53">
        <v>26378.677900000002</v>
      </c>
      <c r="AM1171" s="53">
        <f>2*(4114000-1906000)*0.9072</f>
        <v>4006195.2000000002</v>
      </c>
      <c r="AO1171" s="53">
        <f t="shared" si="215"/>
        <v>0</v>
      </c>
      <c r="AP1171" s="53">
        <f t="shared" si="215"/>
        <v>26375022.710000001</v>
      </c>
      <c r="AQ1171" s="53">
        <f t="shared" si="215"/>
        <v>0</v>
      </c>
      <c r="AR1171" s="53">
        <f t="shared" si="215"/>
        <v>0</v>
      </c>
      <c r="AS1171" s="53">
        <f t="shared" si="215"/>
        <v>0</v>
      </c>
      <c r="AT1171" s="53">
        <f t="shared" si="215"/>
        <v>0</v>
      </c>
      <c r="AU1171" s="53">
        <f t="shared" si="215"/>
        <v>0</v>
      </c>
      <c r="AV1171" s="53">
        <f t="shared" si="215"/>
        <v>0</v>
      </c>
      <c r="AW1171" s="53">
        <f t="shared" si="215"/>
        <v>0</v>
      </c>
      <c r="AX1171" s="53">
        <f t="shared" si="216"/>
        <v>111900000</v>
      </c>
      <c r="AY1171" s="41" t="s">
        <v>557</v>
      </c>
    </row>
    <row r="1172" spans="1:51" x14ac:dyDescent="0.2">
      <c r="A1172" s="41" t="s">
        <v>640</v>
      </c>
      <c r="B1172" s="41">
        <v>2003</v>
      </c>
      <c r="C1172" s="41" t="s">
        <v>96</v>
      </c>
      <c r="D1172" s="41" t="s">
        <v>401</v>
      </c>
      <c r="E1172" s="47">
        <v>33.124733418009072</v>
      </c>
      <c r="F1172" s="41" t="s">
        <v>390</v>
      </c>
      <c r="G1172" s="53">
        <v>4229468</v>
      </c>
      <c r="I1172" s="46">
        <v>5.9653536685937816</v>
      </c>
      <c r="T1172" s="53">
        <v>25227.013800000001</v>
      </c>
      <c r="AM1172" s="53">
        <f>2*(4178000-1971000)*0.9072</f>
        <v>4004380.8</v>
      </c>
      <c r="AO1172" s="53">
        <f t="shared" si="215"/>
        <v>0</v>
      </c>
      <c r="AP1172" s="53">
        <f t="shared" si="215"/>
        <v>25230272.450000003</v>
      </c>
      <c r="AQ1172" s="53">
        <f t="shared" si="215"/>
        <v>0</v>
      </c>
      <c r="AR1172" s="53">
        <f t="shared" si="215"/>
        <v>0</v>
      </c>
      <c r="AS1172" s="53">
        <f t="shared" si="215"/>
        <v>0</v>
      </c>
      <c r="AT1172" s="53">
        <f t="shared" si="215"/>
        <v>0</v>
      </c>
      <c r="AU1172" s="53">
        <f t="shared" si="215"/>
        <v>0</v>
      </c>
      <c r="AV1172" s="53">
        <f t="shared" si="215"/>
        <v>0</v>
      </c>
      <c r="AW1172" s="53">
        <f t="shared" si="215"/>
        <v>0</v>
      </c>
      <c r="AX1172" s="53">
        <f t="shared" si="216"/>
        <v>140100000</v>
      </c>
      <c r="AY1172" s="41" t="s">
        <v>557</v>
      </c>
    </row>
    <row r="1173" spans="1:51" x14ac:dyDescent="0.2">
      <c r="A1173" s="41" t="s">
        <v>640</v>
      </c>
      <c r="B1173" s="41">
        <v>2004</v>
      </c>
      <c r="C1173" s="41" t="s">
        <v>96</v>
      </c>
      <c r="D1173" s="41" t="s">
        <v>401</v>
      </c>
      <c r="E1173" s="47">
        <v>33.806356127335498</v>
      </c>
      <c r="F1173" s="41" t="s">
        <v>390</v>
      </c>
      <c r="G1173" s="53">
        <v>4132359</v>
      </c>
      <c r="I1173" s="46">
        <v>5.1689899933669849</v>
      </c>
      <c r="T1173" s="53">
        <v>21357.707300000002</v>
      </c>
      <c r="AM1173" s="53">
        <f>2*(4715000-2019000)*0.9072</f>
        <v>4891622.4000000004</v>
      </c>
      <c r="AO1173" s="53">
        <f t="shared" si="215"/>
        <v>0</v>
      </c>
      <c r="AP1173" s="53">
        <f t="shared" si="215"/>
        <v>21360122.32</v>
      </c>
      <c r="AQ1173" s="53">
        <f t="shared" si="215"/>
        <v>0</v>
      </c>
      <c r="AR1173" s="53">
        <f t="shared" si="215"/>
        <v>0</v>
      </c>
      <c r="AS1173" s="53">
        <f t="shared" si="215"/>
        <v>0</v>
      </c>
      <c r="AT1173" s="53">
        <f t="shared" si="215"/>
        <v>0</v>
      </c>
      <c r="AU1173" s="53">
        <f t="shared" si="215"/>
        <v>0</v>
      </c>
      <c r="AV1173" s="53">
        <f t="shared" si="215"/>
        <v>0</v>
      </c>
      <c r="AW1173" s="53">
        <f t="shared" si="215"/>
        <v>0</v>
      </c>
      <c r="AX1173" s="53">
        <f t="shared" si="216"/>
        <v>139700000</v>
      </c>
      <c r="AY1173" s="41" t="s">
        <v>557</v>
      </c>
    </row>
    <row r="1174" spans="1:51" x14ac:dyDescent="0.2">
      <c r="A1174" s="41" t="s">
        <v>640</v>
      </c>
      <c r="B1174" s="41">
        <v>2005</v>
      </c>
      <c r="C1174" s="41" t="s">
        <v>96</v>
      </c>
      <c r="D1174" s="41" t="s">
        <v>401</v>
      </c>
      <c r="E1174" s="47">
        <v>37.93333266733552</v>
      </c>
      <c r="F1174" s="41" t="s">
        <v>390</v>
      </c>
      <c r="G1174" s="53">
        <f>2*1931000*0.9072</f>
        <v>3503606.4</v>
      </c>
      <c r="I1174" s="46">
        <f>0.119*31.1/0.9072</f>
        <v>4.0794753086419755</v>
      </c>
      <c r="T1174" s="53">
        <f>2*230000*31.1/1000</f>
        <v>14306</v>
      </c>
      <c r="AM1174" s="53">
        <f>2*(4409000-1931000)*0.9072</f>
        <v>4496083.2</v>
      </c>
      <c r="AO1174" s="53">
        <f t="shared" si="215"/>
        <v>0</v>
      </c>
      <c r="AP1174" s="53">
        <f t="shared" si="215"/>
        <v>14292875.800000001</v>
      </c>
      <c r="AQ1174" s="53">
        <f t="shared" si="215"/>
        <v>0</v>
      </c>
      <c r="AR1174" s="53">
        <f t="shared" si="215"/>
        <v>0</v>
      </c>
      <c r="AS1174" s="53">
        <f t="shared" si="215"/>
        <v>0</v>
      </c>
      <c r="AT1174" s="53">
        <f t="shared" si="215"/>
        <v>0</v>
      </c>
      <c r="AU1174" s="53">
        <f t="shared" si="215"/>
        <v>0</v>
      </c>
      <c r="AV1174" s="53">
        <f t="shared" si="215"/>
        <v>0</v>
      </c>
      <c r="AW1174" s="53">
        <f t="shared" si="215"/>
        <v>0</v>
      </c>
      <c r="AX1174" s="53">
        <f t="shared" si="216"/>
        <v>132903467.1066058</v>
      </c>
      <c r="AY1174" s="41" t="s">
        <v>557</v>
      </c>
    </row>
    <row r="1175" spans="1:51" x14ac:dyDescent="0.2">
      <c r="A1175" s="41" t="s">
        <v>640</v>
      </c>
      <c r="B1175" s="41">
        <v>2006</v>
      </c>
      <c r="C1175" s="41" t="s">
        <v>96</v>
      </c>
      <c r="D1175" s="41" t="s">
        <v>401</v>
      </c>
      <c r="E1175" s="47">
        <v>38.148293743053955</v>
      </c>
      <c r="F1175" s="41" t="s">
        <v>390</v>
      </c>
      <c r="G1175" s="53">
        <f>2*1849000*0.9072</f>
        <v>3354825.6</v>
      </c>
      <c r="I1175" s="46">
        <f>0.118*31.1/0.9072</f>
        <v>4.045194003527337</v>
      </c>
      <c r="T1175" s="53">
        <f>2*205000*31.1/1000</f>
        <v>12751</v>
      </c>
      <c r="AM1175" s="53">
        <f>2*(4464000-1849000)*0.9072</f>
        <v>4744656</v>
      </c>
      <c r="AO1175" s="53">
        <f t="shared" si="215"/>
        <v>0</v>
      </c>
      <c r="AP1175" s="53">
        <f t="shared" si="215"/>
        <v>13570920.4</v>
      </c>
      <c r="AQ1175" s="53">
        <f t="shared" si="215"/>
        <v>0</v>
      </c>
      <c r="AR1175" s="53">
        <f t="shared" si="215"/>
        <v>0</v>
      </c>
      <c r="AS1175" s="53">
        <f t="shared" si="215"/>
        <v>0</v>
      </c>
      <c r="AT1175" s="53">
        <f t="shared" si="215"/>
        <v>0</v>
      </c>
      <c r="AU1175" s="53">
        <f t="shared" si="215"/>
        <v>0</v>
      </c>
      <c r="AV1175" s="53">
        <f t="shared" si="215"/>
        <v>0</v>
      </c>
      <c r="AW1175" s="53">
        <f t="shared" si="215"/>
        <v>0</v>
      </c>
      <c r="AX1175" s="53">
        <f t="shared" si="216"/>
        <v>127980872.44551723</v>
      </c>
      <c r="AY1175" s="41" t="s">
        <v>557</v>
      </c>
    </row>
    <row r="1176" spans="1:51" x14ac:dyDescent="0.2">
      <c r="A1176" s="41" t="s">
        <v>640</v>
      </c>
      <c r="B1176" s="41">
        <v>2007</v>
      </c>
      <c r="C1176" s="41" t="s">
        <v>96</v>
      </c>
      <c r="D1176" s="41" t="s">
        <v>401</v>
      </c>
      <c r="E1176" s="47">
        <v>52.406205738001908</v>
      </c>
      <c r="F1176" s="41" t="s">
        <v>390</v>
      </c>
      <c r="G1176" s="53">
        <f>2*1673000*0.9072</f>
        <v>3035491.2</v>
      </c>
      <c r="I1176" s="46">
        <f>0.107*31.1/0.9072</f>
        <v>3.6680996472663141</v>
      </c>
      <c r="T1176" s="53">
        <f>2*169000*31.1/1000</f>
        <v>10511.8</v>
      </c>
      <c r="AM1176" s="53">
        <f>2*(4526000-1673000)*0.9072</f>
        <v>5176483.2</v>
      </c>
      <c r="AO1176" s="53">
        <f t="shared" si="215"/>
        <v>0</v>
      </c>
      <c r="AP1176" s="53">
        <f t="shared" si="215"/>
        <v>11134484.200000001</v>
      </c>
      <c r="AQ1176" s="53">
        <f t="shared" si="215"/>
        <v>0</v>
      </c>
      <c r="AR1176" s="53">
        <f t="shared" si="215"/>
        <v>0</v>
      </c>
      <c r="AS1176" s="53">
        <f t="shared" si="215"/>
        <v>0</v>
      </c>
      <c r="AT1176" s="53">
        <f t="shared" si="215"/>
        <v>0</v>
      </c>
      <c r="AU1176" s="53">
        <f t="shared" si="215"/>
        <v>0</v>
      </c>
      <c r="AV1176" s="53">
        <f t="shared" si="215"/>
        <v>0</v>
      </c>
      <c r="AW1176" s="53">
        <f t="shared" si="215"/>
        <v>0</v>
      </c>
      <c r="AX1176" s="53">
        <f t="shared" si="216"/>
        <v>159078576.34309432</v>
      </c>
      <c r="AY1176" s="41" t="s">
        <v>557</v>
      </c>
    </row>
    <row r="1177" spans="1:51" x14ac:dyDescent="0.2">
      <c r="A1177" s="41" t="s">
        <v>640</v>
      </c>
      <c r="B1177" s="41">
        <v>2008</v>
      </c>
      <c r="C1177" s="41" t="s">
        <v>96</v>
      </c>
      <c r="D1177" s="41" t="s">
        <v>401</v>
      </c>
      <c r="E1177" s="47">
        <v>58.359282800438628</v>
      </c>
      <c r="F1177" s="41" t="s">
        <v>390</v>
      </c>
      <c r="G1177" s="53">
        <f>2*1530000*0.9072</f>
        <v>2776032</v>
      </c>
      <c r="I1177" s="46">
        <f>0.09*31.1/0.9072</f>
        <v>3.08531746031746</v>
      </c>
      <c r="T1177" s="53">
        <f>2*130000*31.1/1000</f>
        <v>8086</v>
      </c>
      <c r="AM1177" s="53">
        <f>2*(4186000-1530000)*0.9072</f>
        <v>4819046.4000000004</v>
      </c>
      <c r="AO1177" s="53">
        <f t="shared" si="215"/>
        <v>0</v>
      </c>
      <c r="AP1177" s="53">
        <f t="shared" si="215"/>
        <v>8564940</v>
      </c>
      <c r="AQ1177" s="53">
        <f t="shared" si="215"/>
        <v>0</v>
      </c>
      <c r="AR1177" s="53">
        <f t="shared" si="215"/>
        <v>0</v>
      </c>
      <c r="AS1177" s="53">
        <f t="shared" si="215"/>
        <v>0</v>
      </c>
      <c r="AT1177" s="53">
        <f t="shared" si="215"/>
        <v>0</v>
      </c>
      <c r="AU1177" s="53">
        <f t="shared" si="215"/>
        <v>0</v>
      </c>
      <c r="AV1177" s="53">
        <f t="shared" si="215"/>
        <v>0</v>
      </c>
      <c r="AW1177" s="53">
        <f t="shared" si="215"/>
        <v>0</v>
      </c>
      <c r="AX1177" s="53">
        <f t="shared" si="216"/>
        <v>162007236.55106723</v>
      </c>
      <c r="AY1177" s="41" t="s">
        <v>557</v>
      </c>
    </row>
    <row r="1178" spans="1:51" x14ac:dyDescent="0.2">
      <c r="A1178" s="41" t="s">
        <v>640</v>
      </c>
      <c r="B1178" s="41">
        <v>2009</v>
      </c>
      <c r="C1178" s="41" t="s">
        <v>96</v>
      </c>
      <c r="D1178" s="41" t="s">
        <v>401</v>
      </c>
      <c r="E1178" s="47">
        <v>58.626856880006144</v>
      </c>
      <c r="F1178" s="41" t="s">
        <v>390</v>
      </c>
      <c r="G1178" s="53">
        <f>2785000*0.9072</f>
        <v>2526552</v>
      </c>
      <c r="I1178" s="46">
        <f>0.1*31.1/0.9072</f>
        <v>3.428130511463845</v>
      </c>
      <c r="T1178" s="53">
        <f>275000*31.1/1000</f>
        <v>8552.5</v>
      </c>
      <c r="AM1178" s="53">
        <f>(8017000-2785000)*0.9072</f>
        <v>4746470.4000000004</v>
      </c>
      <c r="AO1178" s="53">
        <f t="shared" si="215"/>
        <v>0</v>
      </c>
      <c r="AP1178" s="53">
        <f t="shared" si="215"/>
        <v>8661350</v>
      </c>
      <c r="AQ1178" s="53">
        <f t="shared" si="215"/>
        <v>0</v>
      </c>
      <c r="AR1178" s="53">
        <f t="shared" si="215"/>
        <v>0</v>
      </c>
      <c r="AS1178" s="53">
        <f t="shared" si="215"/>
        <v>0</v>
      </c>
      <c r="AT1178" s="53">
        <f t="shared" si="215"/>
        <v>0</v>
      </c>
      <c r="AU1178" s="53">
        <f t="shared" si="215"/>
        <v>0</v>
      </c>
      <c r="AV1178" s="53">
        <f t="shared" si="215"/>
        <v>0</v>
      </c>
      <c r="AW1178" s="53">
        <f t="shared" si="215"/>
        <v>0</v>
      </c>
      <c r="AX1178" s="53">
        <f t="shared" si="216"/>
        <v>148123802.50389329</v>
      </c>
      <c r="AY1178" s="41" t="s">
        <v>557</v>
      </c>
    </row>
    <row r="1179" spans="1:51" x14ac:dyDescent="0.2">
      <c r="A1179" s="41" t="s">
        <v>640</v>
      </c>
      <c r="B1179" s="41">
        <v>2010</v>
      </c>
      <c r="C1179" s="41" t="s">
        <v>96</v>
      </c>
      <c r="D1179" s="41" t="s">
        <v>401</v>
      </c>
      <c r="E1179" s="47">
        <v>67.205621560415949</v>
      </c>
      <c r="F1179" s="41" t="s">
        <v>390</v>
      </c>
      <c r="G1179" s="53">
        <f>3311000*0.9072</f>
        <v>3003739.2</v>
      </c>
      <c r="I1179" s="46">
        <f>0.077*31.1/0.9072</f>
        <v>2.6396604938271606</v>
      </c>
      <c r="T1179" s="53">
        <f>242000*31.1/1000</f>
        <v>7526.2</v>
      </c>
      <c r="AM1179" s="53">
        <f>(7904000-3311000)*0.9072</f>
        <v>4166769.6</v>
      </c>
      <c r="AO1179" s="53">
        <f t="shared" si="215"/>
        <v>0</v>
      </c>
      <c r="AP1179" s="53">
        <f t="shared" si="215"/>
        <v>7928851.7000000011</v>
      </c>
      <c r="AQ1179" s="53">
        <f t="shared" si="215"/>
        <v>0</v>
      </c>
      <c r="AR1179" s="53">
        <f t="shared" si="215"/>
        <v>0</v>
      </c>
      <c r="AS1179" s="53">
        <f t="shared" si="215"/>
        <v>0</v>
      </c>
      <c r="AT1179" s="53">
        <f t="shared" si="215"/>
        <v>0</v>
      </c>
      <c r="AU1179" s="53">
        <f t="shared" si="215"/>
        <v>0</v>
      </c>
      <c r="AV1179" s="53">
        <f t="shared" si="215"/>
        <v>0</v>
      </c>
      <c r="AW1179" s="53">
        <f t="shared" si="215"/>
        <v>0</v>
      </c>
      <c r="AX1179" s="53">
        <f t="shared" si="216"/>
        <v>201868159.94138658</v>
      </c>
      <c r="AY1179" s="41" t="s">
        <v>557</v>
      </c>
    </row>
    <row r="1180" spans="1:51" x14ac:dyDescent="0.2">
      <c r="A1180" s="41" t="s">
        <v>640</v>
      </c>
      <c r="B1180" s="41">
        <v>2011</v>
      </c>
      <c r="C1180" s="41" t="s">
        <v>96</v>
      </c>
      <c r="D1180" s="41" t="s">
        <v>401</v>
      </c>
      <c r="E1180" s="47">
        <v>72.713240766140302</v>
      </c>
      <c r="F1180" s="41" t="s">
        <v>390</v>
      </c>
      <c r="G1180" s="53">
        <f>3370000*0.9072</f>
        <v>3057264</v>
      </c>
      <c r="I1180" s="46">
        <f>0.071*31.1/0.9072</f>
        <v>2.4339726631393299</v>
      </c>
      <c r="T1180" s="53">
        <f>227000*31.1/1000</f>
        <v>7059.7</v>
      </c>
      <c r="AM1180" s="53">
        <f>(8234000-3370000)*0.9072</f>
        <v>4412620.7999999998</v>
      </c>
      <c r="AO1180" s="53">
        <f t="shared" si="215"/>
        <v>0</v>
      </c>
      <c r="AP1180" s="53">
        <f t="shared" si="215"/>
        <v>7441297</v>
      </c>
      <c r="AQ1180" s="53">
        <f t="shared" si="215"/>
        <v>0</v>
      </c>
      <c r="AR1180" s="53">
        <f t="shared" si="215"/>
        <v>0</v>
      </c>
      <c r="AS1180" s="53">
        <f t="shared" si="215"/>
        <v>0</v>
      </c>
      <c r="AT1180" s="53">
        <f t="shared" si="215"/>
        <v>0</v>
      </c>
      <c r="AU1180" s="53">
        <f t="shared" si="215"/>
        <v>0</v>
      </c>
      <c r="AV1180" s="53">
        <f t="shared" si="215"/>
        <v>0</v>
      </c>
      <c r="AW1180" s="53">
        <f t="shared" si="215"/>
        <v>0</v>
      </c>
      <c r="AX1180" s="53">
        <f t="shared" si="216"/>
        <v>222303573.31765318</v>
      </c>
      <c r="AY1180" s="41" t="s">
        <v>557</v>
      </c>
    </row>
    <row r="1181" spans="1:51" x14ac:dyDescent="0.2">
      <c r="A1181" s="41" t="s">
        <v>640</v>
      </c>
      <c r="B1181" s="41">
        <v>2012</v>
      </c>
      <c r="C1181" s="41" t="s">
        <v>96</v>
      </c>
      <c r="D1181" s="41" t="s">
        <v>401</v>
      </c>
      <c r="E1181" s="47">
        <v>71.183840781692624</v>
      </c>
      <c r="F1181" s="41" t="s">
        <v>390</v>
      </c>
      <c r="G1181" s="53">
        <f>3396000*0.9072</f>
        <v>3080851.2</v>
      </c>
      <c r="I1181" s="46">
        <f>0.065*31.1/0.9072</f>
        <v>2.2282848324514992</v>
      </c>
      <c r="T1181" s="53">
        <f>206000*31.1/1000</f>
        <v>6406.6</v>
      </c>
      <c r="AM1181" s="53">
        <f>(9541000-3396000)*0.9072</f>
        <v>5574744</v>
      </c>
      <c r="AO1181" s="53">
        <f t="shared" si="215"/>
        <v>0</v>
      </c>
      <c r="AP1181" s="53">
        <f t="shared" si="215"/>
        <v>6865014.0000000009</v>
      </c>
      <c r="AQ1181" s="53">
        <f t="shared" si="215"/>
        <v>0</v>
      </c>
      <c r="AR1181" s="53">
        <f t="shared" si="215"/>
        <v>0</v>
      </c>
      <c r="AS1181" s="53">
        <f t="shared" si="215"/>
        <v>0</v>
      </c>
      <c r="AT1181" s="53">
        <f t="shared" si="215"/>
        <v>0</v>
      </c>
      <c r="AU1181" s="53">
        <f t="shared" si="215"/>
        <v>0</v>
      </c>
      <c r="AV1181" s="53">
        <f t="shared" si="215"/>
        <v>0</v>
      </c>
      <c r="AW1181" s="53">
        <f t="shared" si="215"/>
        <v>0</v>
      </c>
      <c r="AX1181" s="53">
        <f t="shared" si="216"/>
        <v>219306821.29288667</v>
      </c>
      <c r="AY1181" s="41" t="s">
        <v>557</v>
      </c>
    </row>
    <row r="1182" spans="1:51" x14ac:dyDescent="0.2">
      <c r="A1182" s="41" t="s">
        <v>640</v>
      </c>
      <c r="B1182" s="41">
        <v>2013</v>
      </c>
      <c r="C1182" s="41" t="s">
        <v>96</v>
      </c>
      <c r="D1182" s="41" t="s">
        <v>401</v>
      </c>
      <c r="E1182" s="47">
        <v>68.112114212245459</v>
      </c>
      <c r="F1182" s="41" t="s">
        <v>390</v>
      </c>
      <c r="G1182" s="53">
        <v>3110000</v>
      </c>
      <c r="I1182" s="41">
        <v>2.19</v>
      </c>
      <c r="T1182" s="53">
        <f>204000*31.1/1000</f>
        <v>6344.4</v>
      </c>
      <c r="AM1182" s="53">
        <f>8127000-3110000</f>
        <v>5017000</v>
      </c>
      <c r="AO1182" s="53">
        <f t="shared" si="215"/>
        <v>0</v>
      </c>
      <c r="AP1182" s="53">
        <f t="shared" si="215"/>
        <v>6810900</v>
      </c>
      <c r="AQ1182" s="53">
        <f t="shared" si="215"/>
        <v>0</v>
      </c>
      <c r="AR1182" s="53">
        <f t="shared" ref="AR1182:AW1185" si="218">$G1182*K1182</f>
        <v>0</v>
      </c>
      <c r="AS1182" s="53">
        <f t="shared" si="218"/>
        <v>0</v>
      </c>
      <c r="AT1182" s="53">
        <f t="shared" si="218"/>
        <v>0</v>
      </c>
      <c r="AU1182" s="53">
        <f t="shared" si="218"/>
        <v>0</v>
      </c>
      <c r="AV1182" s="53">
        <f t="shared" si="218"/>
        <v>0</v>
      </c>
      <c r="AW1182" s="53">
        <f t="shared" si="218"/>
        <v>0</v>
      </c>
      <c r="AX1182" s="53">
        <f t="shared" si="216"/>
        <v>211828675.20008337</v>
      </c>
      <c r="AY1182" s="41" t="s">
        <v>557</v>
      </c>
    </row>
    <row r="1183" spans="1:51" x14ac:dyDescent="0.2">
      <c r="A1183" s="41" t="s">
        <v>640</v>
      </c>
      <c r="B1183" s="41">
        <v>2014</v>
      </c>
      <c r="C1183" s="41" t="s">
        <v>96</v>
      </c>
      <c r="D1183" s="41" t="s">
        <v>401</v>
      </c>
      <c r="E1183" s="47">
        <v>67.616033755274259</v>
      </c>
      <c r="F1183" s="41" t="s">
        <v>390</v>
      </c>
      <c r="G1183" s="53">
        <v>2916000</v>
      </c>
      <c r="I1183" s="41">
        <v>2.34</v>
      </c>
      <c r="T1183" s="53">
        <f>206000*31.1/1000</f>
        <v>6406.6</v>
      </c>
      <c r="AM1183" s="53">
        <f>8086000-2916000</f>
        <v>5170000</v>
      </c>
      <c r="AO1183" s="53">
        <f t="shared" ref="AO1183:AQ1185" si="219">$G1183*H1183</f>
        <v>0</v>
      </c>
      <c r="AP1183" s="53">
        <f t="shared" si="219"/>
        <v>6823440</v>
      </c>
      <c r="AQ1183" s="53">
        <f t="shared" si="219"/>
        <v>0</v>
      </c>
      <c r="AR1183" s="53">
        <f t="shared" si="218"/>
        <v>0</v>
      </c>
      <c r="AS1183" s="53">
        <f t="shared" si="218"/>
        <v>0</v>
      </c>
      <c r="AT1183" s="53">
        <f t="shared" si="218"/>
        <v>0</v>
      </c>
      <c r="AU1183" s="53">
        <f t="shared" si="218"/>
        <v>0</v>
      </c>
      <c r="AV1183" s="53">
        <f t="shared" si="218"/>
        <v>0</v>
      </c>
      <c r="AW1183" s="53">
        <f t="shared" si="218"/>
        <v>0</v>
      </c>
      <c r="AX1183" s="53">
        <f t="shared" si="216"/>
        <v>197168354.43037975</v>
      </c>
      <c r="AY1183" s="41" t="s">
        <v>557</v>
      </c>
    </row>
    <row r="1184" spans="1:51" x14ac:dyDescent="0.2">
      <c r="A1184" s="41" t="s">
        <v>640</v>
      </c>
      <c r="B1184" s="41">
        <v>2015</v>
      </c>
      <c r="C1184" s="41" t="s">
        <v>96</v>
      </c>
      <c r="D1184" s="41" t="s">
        <v>401</v>
      </c>
      <c r="E1184" s="47">
        <v>67.820512820512818</v>
      </c>
      <c r="F1184" s="41" t="s">
        <v>390</v>
      </c>
      <c r="G1184" s="53">
        <v>3120000</v>
      </c>
      <c r="I1184" s="46">
        <v>2.2999999999999998</v>
      </c>
      <c r="T1184" s="53">
        <f>235000*31.1/1000</f>
        <v>7308.5</v>
      </c>
      <c r="AM1184" s="53">
        <f>7409000-3120000</f>
        <v>4289000</v>
      </c>
      <c r="AO1184" s="53">
        <f t="shared" si="219"/>
        <v>0</v>
      </c>
      <c r="AP1184" s="53">
        <f t="shared" si="219"/>
        <v>7175999.9999999991</v>
      </c>
      <c r="AQ1184" s="53">
        <f t="shared" si="219"/>
        <v>0</v>
      </c>
      <c r="AR1184" s="53">
        <f t="shared" si="218"/>
        <v>0</v>
      </c>
      <c r="AS1184" s="53">
        <f t="shared" si="218"/>
        <v>0</v>
      </c>
      <c r="AT1184" s="53">
        <f t="shared" si="218"/>
        <v>0</v>
      </c>
      <c r="AU1184" s="53">
        <f t="shared" si="218"/>
        <v>0</v>
      </c>
      <c r="AV1184" s="53">
        <f t="shared" si="218"/>
        <v>0</v>
      </c>
      <c r="AW1184" s="53">
        <f t="shared" si="218"/>
        <v>0</v>
      </c>
      <c r="AX1184" s="53">
        <f t="shared" si="216"/>
        <v>211600000</v>
      </c>
      <c r="AY1184" s="41" t="s">
        <v>557</v>
      </c>
    </row>
    <row r="1185" spans="1:51" x14ac:dyDescent="0.2">
      <c r="A1185" s="41" t="s">
        <v>640</v>
      </c>
      <c r="B1185" s="41">
        <v>2016</v>
      </c>
      <c r="C1185" s="41" t="s">
        <v>96</v>
      </c>
      <c r="D1185" s="41" t="s">
        <v>401</v>
      </c>
      <c r="E1185" s="47">
        <v>71.953010279001475</v>
      </c>
      <c r="F1185" s="41" t="s">
        <v>390</v>
      </c>
      <c r="G1185" s="53">
        <v>3408000</v>
      </c>
      <c r="I1185" s="41">
        <v>2.2799999999999998</v>
      </c>
      <c r="T1185" s="53">
        <f>217000*31.1/1000</f>
        <v>6748.7</v>
      </c>
      <c r="AM1185" s="53">
        <f>7940000-3408000</f>
        <v>4532000</v>
      </c>
      <c r="AO1185" s="53">
        <f t="shared" si="219"/>
        <v>0</v>
      </c>
      <c r="AP1185" s="53">
        <f t="shared" si="219"/>
        <v>7770239.9999999991</v>
      </c>
      <c r="AQ1185" s="53">
        <f t="shared" si="219"/>
        <v>0</v>
      </c>
      <c r="AR1185" s="53">
        <f t="shared" si="218"/>
        <v>0</v>
      </c>
      <c r="AS1185" s="53">
        <f t="shared" si="218"/>
        <v>0</v>
      </c>
      <c r="AT1185" s="53">
        <f t="shared" si="218"/>
        <v>0</v>
      </c>
      <c r="AU1185" s="53">
        <f t="shared" si="218"/>
        <v>0</v>
      </c>
      <c r="AV1185" s="53">
        <f t="shared" si="218"/>
        <v>0</v>
      </c>
      <c r="AW1185" s="53">
        <f t="shared" si="218"/>
        <v>0</v>
      </c>
      <c r="AX1185" s="53">
        <f t="shared" si="216"/>
        <v>245215859.03083703</v>
      </c>
      <c r="AY1185" s="41" t="s">
        <v>557</v>
      </c>
    </row>
    <row r="1186" spans="1:51" x14ac:dyDescent="0.2">
      <c r="A1186" s="41" t="s">
        <v>640</v>
      </c>
      <c r="B1186" s="60" t="s">
        <v>559</v>
      </c>
      <c r="C1186" s="60" t="s">
        <v>96</v>
      </c>
      <c r="D1186" s="60" t="s">
        <v>401</v>
      </c>
      <c r="E1186" s="78">
        <f>AX1186/G1186</f>
        <v>27.632627287730006</v>
      </c>
      <c r="F1186" s="60" t="s">
        <v>390</v>
      </c>
      <c r="G1186" s="79">
        <f>SUM(G1154:G1185)</f>
        <v>108143368.60000001</v>
      </c>
      <c r="I1186" s="80">
        <f>AP1186/$G1186</f>
        <v>6.4736815635868776</v>
      </c>
      <c r="T1186" s="79">
        <f>SUM(T1154:T1185)</f>
        <v>694977.51839999994</v>
      </c>
      <c r="AM1186" s="79">
        <f>SUM(AM1154:AM1185)</f>
        <v>77540839.199999988</v>
      </c>
      <c r="AO1186" s="79">
        <f t="shared" ref="AO1186:AX1186" si="220">SUM(AO1154:AO1185)</f>
        <v>0</v>
      </c>
      <c r="AP1186" s="79">
        <f t="shared" si="220"/>
        <v>700085731.53000009</v>
      </c>
      <c r="AQ1186" s="79">
        <f t="shared" si="220"/>
        <v>0</v>
      </c>
      <c r="AR1186" s="79">
        <f t="shared" si="220"/>
        <v>0</v>
      </c>
      <c r="AS1186" s="79">
        <f t="shared" si="220"/>
        <v>0</v>
      </c>
      <c r="AT1186" s="79">
        <f t="shared" si="220"/>
        <v>0</v>
      </c>
      <c r="AU1186" s="79">
        <f t="shared" si="220"/>
        <v>0</v>
      </c>
      <c r="AV1186" s="79">
        <f t="shared" si="220"/>
        <v>0</v>
      </c>
      <c r="AW1186" s="79">
        <f t="shared" si="220"/>
        <v>0</v>
      </c>
      <c r="AX1186" s="79">
        <f t="shared" si="220"/>
        <v>2988285398.1634045</v>
      </c>
      <c r="AY1186" s="41" t="s">
        <v>557</v>
      </c>
    </row>
    <row r="1187" spans="1:51" x14ac:dyDescent="0.2">
      <c r="A1187" s="41" t="s">
        <v>640</v>
      </c>
      <c r="B1187" s="43" t="s">
        <v>560</v>
      </c>
      <c r="G1187" s="53">
        <f>STDEV(G1154:G1185)</f>
        <v>770031.99463584158</v>
      </c>
      <c r="I1187" s="46">
        <f>STDEV(I1154:I1185)</f>
        <v>3.1273722784876421</v>
      </c>
      <c r="T1187" s="53">
        <f>STDEV(T1154:T1185)</f>
        <v>12483.543767534729</v>
      </c>
      <c r="AM1187" s="53">
        <f>STDEV(AM1154:AM1185)</f>
        <v>2106065.643896135</v>
      </c>
      <c r="AY1187" s="41" t="s">
        <v>557</v>
      </c>
    </row>
    <row r="1188" spans="1:51" x14ac:dyDescent="0.2">
      <c r="A1188" s="41" t="s">
        <v>640</v>
      </c>
      <c r="B1188" s="81" t="s">
        <v>249</v>
      </c>
      <c r="G1188" s="41">
        <f>COUNT(G1154:G1185)</f>
        <v>32</v>
      </c>
      <c r="I1188" s="41">
        <f>COUNT(I1154:I1185)</f>
        <v>32</v>
      </c>
      <c r="T1188" s="41">
        <f>COUNT(T1154:T1185)</f>
        <v>32</v>
      </c>
      <c r="AM1188" s="41">
        <f>COUNT(AM1154:AM1185)</f>
        <v>26</v>
      </c>
      <c r="AY1188" s="41" t="s">
        <v>557</v>
      </c>
    </row>
    <row r="1189" spans="1:51" x14ac:dyDescent="0.2">
      <c r="A1189" s="82"/>
      <c r="B1189" s="82"/>
      <c r="C1189" s="82"/>
      <c r="D1189" s="82"/>
      <c r="E1189" s="82"/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2"/>
      <c r="Q1189" s="82"/>
      <c r="R1189" s="82"/>
      <c r="S1189" s="82"/>
      <c r="T1189" s="82"/>
      <c r="U1189" s="82"/>
      <c r="V1189" s="82"/>
      <c r="W1189" s="82"/>
      <c r="X1189" s="82"/>
      <c r="Y1189" s="82"/>
      <c r="Z1189" s="82"/>
      <c r="AA1189" s="82"/>
      <c r="AB1189" s="82"/>
      <c r="AC1189" s="82"/>
      <c r="AD1189" s="82"/>
      <c r="AE1189" s="82"/>
      <c r="AF1189" s="82"/>
      <c r="AG1189" s="82"/>
      <c r="AH1189" s="82"/>
      <c r="AI1189" s="82"/>
      <c r="AJ1189" s="82"/>
      <c r="AK1189" s="82"/>
      <c r="AL1189" s="82"/>
      <c r="AM1189" s="82"/>
      <c r="AN1189" s="82"/>
      <c r="AO1189" s="82"/>
      <c r="AP1189" s="82"/>
      <c r="AQ1189" s="82"/>
      <c r="AR1189" s="82"/>
      <c r="AS1189" s="82"/>
      <c r="AT1189" s="82"/>
      <c r="AU1189" s="82"/>
      <c r="AV1189" s="82"/>
      <c r="AW1189" s="82"/>
      <c r="AX1189" s="82"/>
      <c r="AY1189" s="41" t="s">
        <v>557</v>
      </c>
    </row>
    <row r="1190" spans="1:51" x14ac:dyDescent="0.2">
      <c r="A1190" s="41" t="s">
        <v>447</v>
      </c>
      <c r="B1190" s="41" t="s">
        <v>578</v>
      </c>
      <c r="C1190" s="41" t="s">
        <v>87</v>
      </c>
      <c r="D1190" s="41" t="s">
        <v>398</v>
      </c>
      <c r="E1190" s="41">
        <v>100</v>
      </c>
      <c r="F1190" s="41" t="s">
        <v>577</v>
      </c>
      <c r="G1190" s="53">
        <f>2*1341000</f>
        <v>2682000</v>
      </c>
      <c r="I1190" s="59">
        <v>2.04</v>
      </c>
      <c r="J1190" s="58">
        <v>30</v>
      </c>
      <c r="T1190" s="53">
        <f>2*61148*31.1/1000</f>
        <v>3803.4056</v>
      </c>
      <c r="U1190" s="76">
        <f>0.4*G1190*J1190/1000</f>
        <v>32184</v>
      </c>
      <c r="AM1190" s="53">
        <f>2*(10085000-1341000)</f>
        <v>17488000</v>
      </c>
      <c r="AO1190" s="53">
        <f t="shared" ref="AO1190:AW1196" si="221">$G1190*H1190</f>
        <v>0</v>
      </c>
      <c r="AP1190" s="53">
        <f t="shared" si="221"/>
        <v>5471280</v>
      </c>
      <c r="AQ1190" s="53">
        <f t="shared" si="221"/>
        <v>80460000</v>
      </c>
      <c r="AR1190" s="53">
        <f t="shared" si="221"/>
        <v>0</v>
      </c>
      <c r="AS1190" s="53">
        <f t="shared" si="221"/>
        <v>0</v>
      </c>
      <c r="AT1190" s="53">
        <f t="shared" si="221"/>
        <v>0</v>
      </c>
      <c r="AU1190" s="53">
        <f t="shared" si="221"/>
        <v>0</v>
      </c>
      <c r="AV1190" s="53">
        <f t="shared" si="221"/>
        <v>0</v>
      </c>
      <c r="AW1190" s="53">
        <f t="shared" si="221"/>
        <v>0</v>
      </c>
      <c r="AX1190" s="53">
        <f t="shared" ref="AX1190:AX1196" si="222">$G1190*E1190</f>
        <v>268200000</v>
      </c>
      <c r="AY1190" s="41" t="s">
        <v>557</v>
      </c>
    </row>
    <row r="1191" spans="1:51" x14ac:dyDescent="0.2">
      <c r="A1191" s="41" t="s">
        <v>447</v>
      </c>
      <c r="B1191" s="41" t="s">
        <v>579</v>
      </c>
      <c r="C1191" s="41" t="s">
        <v>87</v>
      </c>
      <c r="D1191" s="41" t="s">
        <v>398</v>
      </c>
      <c r="E1191" s="41">
        <v>100</v>
      </c>
      <c r="F1191" s="41" t="s">
        <v>577</v>
      </c>
      <c r="G1191" s="53">
        <f>2*1679000</f>
        <v>3358000</v>
      </c>
      <c r="I1191" s="59">
        <v>1.59</v>
      </c>
      <c r="J1191" s="41">
        <v>24.8</v>
      </c>
      <c r="T1191" s="53">
        <f>2*49940*31.1/1000</f>
        <v>3106.268</v>
      </c>
      <c r="U1191" s="53">
        <f>2*673031*31.1/1000</f>
        <v>41862.528200000001</v>
      </c>
      <c r="AM1191" s="53">
        <f>2*(9199000-1679000)</f>
        <v>15040000</v>
      </c>
      <c r="AO1191" s="53">
        <f t="shared" si="221"/>
        <v>0</v>
      </c>
      <c r="AP1191" s="53">
        <f t="shared" si="221"/>
        <v>5339220</v>
      </c>
      <c r="AQ1191" s="53">
        <f t="shared" si="221"/>
        <v>83278400</v>
      </c>
      <c r="AR1191" s="53">
        <f t="shared" si="221"/>
        <v>0</v>
      </c>
      <c r="AS1191" s="53">
        <f t="shared" si="221"/>
        <v>0</v>
      </c>
      <c r="AT1191" s="53">
        <f t="shared" si="221"/>
        <v>0</v>
      </c>
      <c r="AU1191" s="53">
        <f t="shared" si="221"/>
        <v>0</v>
      </c>
      <c r="AV1191" s="53">
        <f t="shared" si="221"/>
        <v>0</v>
      </c>
      <c r="AW1191" s="53">
        <f t="shared" si="221"/>
        <v>0</v>
      </c>
      <c r="AX1191" s="53">
        <f t="shared" si="222"/>
        <v>335800000</v>
      </c>
      <c r="AY1191" s="41" t="s">
        <v>557</v>
      </c>
    </row>
    <row r="1192" spans="1:51" x14ac:dyDescent="0.2">
      <c r="A1192" s="41" t="s">
        <v>447</v>
      </c>
      <c r="B1192" s="41" t="s">
        <v>571</v>
      </c>
      <c r="C1192" s="41" t="s">
        <v>87</v>
      </c>
      <c r="D1192" s="41" t="s">
        <v>398</v>
      </c>
      <c r="E1192" s="41">
        <v>100</v>
      </c>
      <c r="F1192" s="41" t="s">
        <v>577</v>
      </c>
      <c r="G1192" s="53">
        <f>2*1766000</f>
        <v>3532000</v>
      </c>
      <c r="I1192" s="46">
        <v>1.8</v>
      </c>
      <c r="J1192" s="41">
        <v>26.62</v>
      </c>
      <c r="T1192" s="53">
        <f>2*88801*31.1/1000</f>
        <v>5523.4222</v>
      </c>
      <c r="U1192" s="53">
        <f>2*857540*31.1/1000</f>
        <v>53338.987999999998</v>
      </c>
      <c r="AM1192" s="53">
        <f>2*(10511000-1766000)</f>
        <v>17490000</v>
      </c>
      <c r="AO1192" s="53">
        <f t="shared" si="221"/>
        <v>0</v>
      </c>
      <c r="AP1192" s="53">
        <f t="shared" si="221"/>
        <v>6357600</v>
      </c>
      <c r="AQ1192" s="53">
        <f t="shared" si="221"/>
        <v>94021840</v>
      </c>
      <c r="AR1192" s="53">
        <f t="shared" si="221"/>
        <v>0</v>
      </c>
      <c r="AS1192" s="53">
        <f t="shared" si="221"/>
        <v>0</v>
      </c>
      <c r="AT1192" s="53">
        <f t="shared" si="221"/>
        <v>0</v>
      </c>
      <c r="AU1192" s="53">
        <f t="shared" si="221"/>
        <v>0</v>
      </c>
      <c r="AV1192" s="53">
        <f t="shared" si="221"/>
        <v>0</v>
      </c>
      <c r="AW1192" s="53">
        <f t="shared" si="221"/>
        <v>0</v>
      </c>
      <c r="AX1192" s="53">
        <f t="shared" si="222"/>
        <v>353200000</v>
      </c>
      <c r="AY1192" s="41" t="s">
        <v>557</v>
      </c>
    </row>
    <row r="1193" spans="1:51" x14ac:dyDescent="0.2">
      <c r="A1193" s="41" t="s">
        <v>447</v>
      </c>
      <c r="B1193" s="41" t="s">
        <v>573</v>
      </c>
      <c r="C1193" s="41" t="s">
        <v>87</v>
      </c>
      <c r="D1193" s="41" t="s">
        <v>398</v>
      </c>
      <c r="E1193" s="41">
        <v>100</v>
      </c>
      <c r="F1193" s="41" t="s">
        <v>577</v>
      </c>
      <c r="G1193" s="53">
        <f>2*1844000</f>
        <v>3688000</v>
      </c>
      <c r="I1193" s="46">
        <v>1.7</v>
      </c>
      <c r="J1193" s="41">
        <v>26.34</v>
      </c>
      <c r="T1193" s="53">
        <f>2*85004*31.1/1000</f>
        <v>5287.2487999999994</v>
      </c>
      <c r="U1193" s="53">
        <f>2*856328*31.1/1000</f>
        <v>53263.601600000002</v>
      </c>
      <c r="AM1193" s="53">
        <f>2*(10869000-1844000)</f>
        <v>18050000</v>
      </c>
      <c r="AO1193" s="53">
        <f t="shared" si="221"/>
        <v>0</v>
      </c>
      <c r="AP1193" s="53">
        <f t="shared" si="221"/>
        <v>6269600</v>
      </c>
      <c r="AQ1193" s="53">
        <f t="shared" si="221"/>
        <v>97141920</v>
      </c>
      <c r="AR1193" s="53">
        <f t="shared" si="221"/>
        <v>0</v>
      </c>
      <c r="AS1193" s="53">
        <f t="shared" si="221"/>
        <v>0</v>
      </c>
      <c r="AT1193" s="53">
        <f t="shared" si="221"/>
        <v>0</v>
      </c>
      <c r="AU1193" s="53">
        <f t="shared" si="221"/>
        <v>0</v>
      </c>
      <c r="AV1193" s="53">
        <f t="shared" si="221"/>
        <v>0</v>
      </c>
      <c r="AW1193" s="53">
        <f t="shared" si="221"/>
        <v>0</v>
      </c>
      <c r="AX1193" s="53">
        <f t="shared" si="222"/>
        <v>368800000</v>
      </c>
      <c r="AY1193" s="41" t="s">
        <v>557</v>
      </c>
    </row>
    <row r="1194" spans="1:51" x14ac:dyDescent="0.2">
      <c r="A1194" s="41" t="s">
        <v>447</v>
      </c>
      <c r="B1194" s="41" t="s">
        <v>580</v>
      </c>
      <c r="C1194" s="41" t="s">
        <v>87</v>
      </c>
      <c r="D1194" s="41" t="s">
        <v>398</v>
      </c>
      <c r="E1194" s="41">
        <v>100</v>
      </c>
      <c r="F1194" s="41" t="s">
        <v>577</v>
      </c>
      <c r="G1194" s="53">
        <f>2*2001000</f>
        <v>4002000</v>
      </c>
      <c r="I1194" s="59">
        <v>1.87</v>
      </c>
      <c r="J1194" s="41">
        <v>22</v>
      </c>
      <c r="T1194" s="53">
        <f>2*105845*31.1/1000</f>
        <v>6583.5590000000002</v>
      </c>
      <c r="U1194" s="53">
        <f>2*974846*31.1/1000</f>
        <v>60635.421200000004</v>
      </c>
      <c r="AM1194" s="53">
        <f>2*(10754000-2001000)</f>
        <v>17506000</v>
      </c>
      <c r="AO1194" s="53">
        <f t="shared" si="221"/>
        <v>0</v>
      </c>
      <c r="AP1194" s="53">
        <f t="shared" si="221"/>
        <v>7483740</v>
      </c>
      <c r="AQ1194" s="53">
        <f t="shared" si="221"/>
        <v>88044000</v>
      </c>
      <c r="AR1194" s="53">
        <f t="shared" si="221"/>
        <v>0</v>
      </c>
      <c r="AS1194" s="53">
        <f t="shared" si="221"/>
        <v>0</v>
      </c>
      <c r="AT1194" s="53">
        <f t="shared" si="221"/>
        <v>0</v>
      </c>
      <c r="AU1194" s="53">
        <f t="shared" si="221"/>
        <v>0</v>
      </c>
      <c r="AV1194" s="53">
        <f t="shared" si="221"/>
        <v>0</v>
      </c>
      <c r="AW1194" s="53">
        <f t="shared" si="221"/>
        <v>0</v>
      </c>
      <c r="AX1194" s="53">
        <f t="shared" si="222"/>
        <v>400200000</v>
      </c>
      <c r="AY1194" s="41" t="s">
        <v>557</v>
      </c>
    </row>
    <row r="1195" spans="1:51" x14ac:dyDescent="0.2">
      <c r="A1195" s="41" t="s">
        <v>447</v>
      </c>
      <c r="B1195" s="41" t="s">
        <v>581</v>
      </c>
      <c r="C1195" s="41" t="s">
        <v>87</v>
      </c>
      <c r="D1195" s="41" t="s">
        <v>398</v>
      </c>
      <c r="E1195" s="41">
        <v>100</v>
      </c>
      <c r="F1195" s="41" t="s">
        <v>577</v>
      </c>
      <c r="G1195" s="53">
        <f>2*1824000</f>
        <v>3648000</v>
      </c>
      <c r="I1195" s="59">
        <v>1.84</v>
      </c>
      <c r="J1195" s="41">
        <v>21</v>
      </c>
      <c r="T1195" s="53">
        <f>2*94601*31.1/1000</f>
        <v>5884.1822000000002</v>
      </c>
      <c r="U1195" s="53">
        <f>2*892838*31.1/1000</f>
        <v>55534.5236</v>
      </c>
      <c r="AM1195" s="53">
        <f>2*(8783000-1824000)</f>
        <v>13918000</v>
      </c>
      <c r="AO1195" s="53">
        <f t="shared" si="221"/>
        <v>0</v>
      </c>
      <c r="AP1195" s="53">
        <f t="shared" si="221"/>
        <v>6712320</v>
      </c>
      <c r="AQ1195" s="53">
        <f t="shared" si="221"/>
        <v>76608000</v>
      </c>
      <c r="AR1195" s="53">
        <f t="shared" si="221"/>
        <v>0</v>
      </c>
      <c r="AS1195" s="53">
        <f t="shared" si="221"/>
        <v>0</v>
      </c>
      <c r="AT1195" s="53">
        <f t="shared" si="221"/>
        <v>0</v>
      </c>
      <c r="AU1195" s="53">
        <f t="shared" si="221"/>
        <v>0</v>
      </c>
      <c r="AV1195" s="53">
        <f t="shared" si="221"/>
        <v>0</v>
      </c>
      <c r="AW1195" s="53">
        <f t="shared" si="221"/>
        <v>0</v>
      </c>
      <c r="AX1195" s="53">
        <f t="shared" si="222"/>
        <v>364800000</v>
      </c>
      <c r="AY1195" s="41" t="s">
        <v>557</v>
      </c>
    </row>
    <row r="1196" spans="1:51" x14ac:dyDescent="0.2">
      <c r="A1196" s="41" t="s">
        <v>447</v>
      </c>
      <c r="B1196" s="41" t="s">
        <v>597</v>
      </c>
      <c r="C1196" s="41" t="s">
        <v>87</v>
      </c>
      <c r="D1196" s="41" t="s">
        <v>398</v>
      </c>
      <c r="E1196" s="41">
        <v>100</v>
      </c>
      <c r="F1196" s="41" t="s">
        <v>577</v>
      </c>
      <c r="G1196" s="53">
        <f>2*1728000</f>
        <v>3456000</v>
      </c>
      <c r="I1196" s="59">
        <v>1.51</v>
      </c>
      <c r="J1196" s="41">
        <v>32</v>
      </c>
      <c r="T1196" s="53">
        <f>2*72566*31.1/1000</f>
        <v>4513.6052</v>
      </c>
      <c r="U1196" s="53">
        <f>2*1331310*31.1/1000</f>
        <v>82807.482000000004</v>
      </c>
      <c r="AM1196" s="53">
        <f>2*(4477000-1728000)</f>
        <v>5498000</v>
      </c>
      <c r="AO1196" s="53">
        <f t="shared" si="221"/>
        <v>0</v>
      </c>
      <c r="AP1196" s="53">
        <f t="shared" si="221"/>
        <v>5218560</v>
      </c>
      <c r="AQ1196" s="53">
        <f t="shared" si="221"/>
        <v>110592000</v>
      </c>
      <c r="AR1196" s="53">
        <f t="shared" si="221"/>
        <v>0</v>
      </c>
      <c r="AS1196" s="53">
        <f t="shared" si="221"/>
        <v>0</v>
      </c>
      <c r="AT1196" s="53">
        <f t="shared" si="221"/>
        <v>0</v>
      </c>
      <c r="AU1196" s="53">
        <f t="shared" si="221"/>
        <v>0</v>
      </c>
      <c r="AV1196" s="53">
        <f t="shared" si="221"/>
        <v>0</v>
      </c>
      <c r="AW1196" s="53">
        <f t="shared" si="221"/>
        <v>0</v>
      </c>
      <c r="AX1196" s="53">
        <f t="shared" si="222"/>
        <v>345600000</v>
      </c>
      <c r="AY1196" s="41" t="s">
        <v>557</v>
      </c>
    </row>
    <row r="1197" spans="1:51" x14ac:dyDescent="0.2">
      <c r="A1197" s="41" t="s">
        <v>447</v>
      </c>
      <c r="B1197" s="60" t="s">
        <v>559</v>
      </c>
      <c r="C1197" s="60" t="s">
        <v>87</v>
      </c>
      <c r="D1197" s="60" t="s">
        <v>398</v>
      </c>
      <c r="E1197" s="60">
        <v>100</v>
      </c>
      <c r="F1197" s="60" t="s">
        <v>577</v>
      </c>
      <c r="G1197" s="79">
        <f>SUM(G1190:G1196)</f>
        <v>24366000</v>
      </c>
      <c r="I1197" s="80">
        <f>AP1197/$G1197</f>
        <v>1.7586932611015349</v>
      </c>
      <c r="J1197" s="78">
        <f>AQ1197/SUM($G1190:$G1196)</f>
        <v>25.861699088894362</v>
      </c>
      <c r="T1197" s="79">
        <f>SUM(T1190:T1196)</f>
        <v>34701.690999999999</v>
      </c>
      <c r="U1197" s="79">
        <f>SUM(U1190:U1196)</f>
        <v>379626.54460000002</v>
      </c>
      <c r="AM1197" s="79">
        <f>SUM(AM1190:AM1196)</f>
        <v>104990000</v>
      </c>
      <c r="AO1197" s="79">
        <f t="shared" ref="AO1197:AX1197" si="223">SUM(AO1190:AO1196)</f>
        <v>0</v>
      </c>
      <c r="AP1197" s="79">
        <f t="shared" si="223"/>
        <v>42852320</v>
      </c>
      <c r="AQ1197" s="79">
        <f t="shared" si="223"/>
        <v>630146160</v>
      </c>
      <c r="AR1197" s="79">
        <f t="shared" si="223"/>
        <v>0</v>
      </c>
      <c r="AS1197" s="79">
        <f t="shared" si="223"/>
        <v>0</v>
      </c>
      <c r="AT1197" s="79">
        <f t="shared" si="223"/>
        <v>0</v>
      </c>
      <c r="AU1197" s="79">
        <f t="shared" si="223"/>
        <v>0</v>
      </c>
      <c r="AV1197" s="79">
        <f t="shared" si="223"/>
        <v>0</v>
      </c>
      <c r="AW1197" s="79">
        <f t="shared" si="223"/>
        <v>0</v>
      </c>
      <c r="AX1197" s="79">
        <f t="shared" si="223"/>
        <v>2436600000</v>
      </c>
      <c r="AY1197" s="41" t="s">
        <v>557</v>
      </c>
    </row>
    <row r="1198" spans="1:51" x14ac:dyDescent="0.2">
      <c r="A1198" s="41" t="s">
        <v>447</v>
      </c>
      <c r="B1198" s="43" t="s">
        <v>560</v>
      </c>
      <c r="G1198" s="53">
        <f>STDEV(G1190:G1196)</f>
        <v>408030.81116153864</v>
      </c>
      <c r="I1198" s="46">
        <f>STDEV(I1190:I1196)</f>
        <v>0.17952317797034295</v>
      </c>
      <c r="J1198" s="47">
        <f>STDEV(J1190:J1196)</f>
        <v>3.9761263753031177</v>
      </c>
      <c r="T1198" s="53">
        <f>STDEV(T1190:T1196)</f>
        <v>1217.0898543066567</v>
      </c>
      <c r="U1198" s="53">
        <f>STDEV(U1190:U1196)</f>
        <v>15811.978286016538</v>
      </c>
      <c r="AM1198" s="53">
        <f>STDEV(AM1190:AM1196)</f>
        <v>4461559.7742322832</v>
      </c>
      <c r="AY1198" s="41" t="s">
        <v>557</v>
      </c>
    </row>
    <row r="1199" spans="1:51" x14ac:dyDescent="0.2">
      <c r="A1199" s="41" t="s">
        <v>447</v>
      </c>
      <c r="B1199" s="81" t="s">
        <v>249</v>
      </c>
      <c r="G1199" s="41">
        <f>COUNT(G1190:G1196)</f>
        <v>7</v>
      </c>
      <c r="I1199" s="41">
        <f>COUNT(I1190:I1196)</f>
        <v>7</v>
      </c>
      <c r="J1199" s="41">
        <f>COUNT(J1190:J1196)</f>
        <v>7</v>
      </c>
      <c r="T1199" s="41">
        <f>COUNT(T1190:T1196)</f>
        <v>7</v>
      </c>
      <c r="U1199" s="41">
        <f>COUNT(U1190:U1196)</f>
        <v>7</v>
      </c>
      <c r="AM1199" s="41">
        <f>COUNT(AM1190:AM1196)</f>
        <v>7</v>
      </c>
      <c r="AY1199" s="41" t="s">
        <v>557</v>
      </c>
    </row>
    <row r="1200" spans="1:51" x14ac:dyDescent="0.2">
      <c r="A1200" s="82"/>
      <c r="B1200" s="82"/>
      <c r="C1200" s="82"/>
      <c r="D1200" s="82"/>
      <c r="E1200" s="82"/>
      <c r="F1200" s="82"/>
      <c r="G1200" s="82"/>
      <c r="H1200" s="82"/>
      <c r="I1200" s="82"/>
      <c r="J1200" s="82"/>
      <c r="K1200" s="82"/>
      <c r="L1200" s="82"/>
      <c r="M1200" s="82"/>
      <c r="N1200" s="82"/>
      <c r="O1200" s="82"/>
      <c r="P1200" s="82"/>
      <c r="Q1200" s="82"/>
      <c r="R1200" s="82"/>
      <c r="S1200" s="82"/>
      <c r="T1200" s="82"/>
      <c r="U1200" s="82"/>
      <c r="V1200" s="82"/>
      <c r="W1200" s="82"/>
      <c r="X1200" s="82"/>
      <c r="Y1200" s="82"/>
      <c r="Z1200" s="82"/>
      <c r="AA1200" s="82"/>
      <c r="AB1200" s="82"/>
      <c r="AC1200" s="82"/>
      <c r="AD1200" s="82"/>
      <c r="AE1200" s="82"/>
      <c r="AF1200" s="82"/>
      <c r="AG1200" s="82"/>
      <c r="AH1200" s="82"/>
      <c r="AI1200" s="82"/>
      <c r="AJ1200" s="82"/>
      <c r="AK1200" s="82"/>
      <c r="AL1200" s="82"/>
      <c r="AM1200" s="82"/>
      <c r="AN1200" s="82"/>
      <c r="AO1200" s="82"/>
      <c r="AP1200" s="82"/>
      <c r="AQ1200" s="82"/>
      <c r="AR1200" s="82"/>
      <c r="AS1200" s="82"/>
      <c r="AT1200" s="82"/>
      <c r="AU1200" s="82"/>
      <c r="AV1200" s="82"/>
      <c r="AW1200" s="82"/>
      <c r="AX1200" s="82"/>
      <c r="AY1200" s="41" t="s">
        <v>557</v>
      </c>
    </row>
    <row r="1201" spans="1:51" x14ac:dyDescent="0.2">
      <c r="A1201" s="41" t="s">
        <v>641</v>
      </c>
      <c r="B1201" s="41">
        <v>1915</v>
      </c>
      <c r="C1201" s="41" t="s">
        <v>87</v>
      </c>
      <c r="D1201" s="41" t="s">
        <v>88</v>
      </c>
      <c r="E1201" s="41">
        <v>100</v>
      </c>
      <c r="F1201" s="41" t="s">
        <v>563</v>
      </c>
      <c r="G1201" s="53">
        <v>36</v>
      </c>
      <c r="H1201" s="47">
        <v>25.157894736842103</v>
      </c>
      <c r="I1201" s="47">
        <v>1.3833333333333333</v>
      </c>
      <c r="J1201" s="53">
        <v>1060.9444444444443</v>
      </c>
      <c r="R1201" s="76">
        <f>S1201*4</f>
        <v>34.415999999999997</v>
      </c>
      <c r="S1201" s="53">
        <v>8.6039999999999992</v>
      </c>
      <c r="T1201" s="45">
        <v>0.249</v>
      </c>
      <c r="U1201" s="53">
        <v>19.097000000000001</v>
      </c>
      <c r="AO1201" s="53">
        <f t="shared" ref="AO1201:AW1229" si="224">$G1201*H1201</f>
        <v>905.68421052631572</v>
      </c>
      <c r="AP1201" s="53">
        <f t="shared" si="224"/>
        <v>49.8</v>
      </c>
      <c r="AQ1201" s="53">
        <f t="shared" si="224"/>
        <v>38194</v>
      </c>
      <c r="AR1201" s="53">
        <f t="shared" si="224"/>
        <v>0</v>
      </c>
      <c r="AS1201" s="53">
        <f t="shared" si="224"/>
        <v>0</v>
      </c>
      <c r="AT1201" s="53">
        <f t="shared" si="224"/>
        <v>0</v>
      </c>
      <c r="AU1201" s="53">
        <f t="shared" si="224"/>
        <v>0</v>
      </c>
      <c r="AV1201" s="53">
        <f t="shared" si="224"/>
        <v>0</v>
      </c>
      <c r="AW1201" s="53">
        <f t="shared" si="224"/>
        <v>0</v>
      </c>
      <c r="AX1201" s="53">
        <f t="shared" ref="AX1201:AX1257" si="225">$G1201*E1201</f>
        <v>3600</v>
      </c>
      <c r="AY1201" s="41" t="s">
        <v>557</v>
      </c>
    </row>
    <row r="1202" spans="1:51" x14ac:dyDescent="0.2">
      <c r="A1202" s="41" t="s">
        <v>641</v>
      </c>
      <c r="B1202" s="41">
        <v>1916</v>
      </c>
      <c r="C1202" s="41" t="s">
        <v>87</v>
      </c>
      <c r="D1202" s="41" t="s">
        <v>88</v>
      </c>
      <c r="E1202" s="41">
        <v>100</v>
      </c>
      <c r="F1202" s="41" t="s">
        <v>563</v>
      </c>
      <c r="G1202" s="53">
        <v>87</v>
      </c>
      <c r="H1202" s="47">
        <v>31.713248638838476</v>
      </c>
      <c r="I1202" s="47">
        <v>12.512643678160918</v>
      </c>
      <c r="R1202" s="76">
        <f>S1202*4</f>
        <v>104.84399999999999</v>
      </c>
      <c r="S1202" s="53">
        <v>26.210999999999999</v>
      </c>
      <c r="T1202" s="53">
        <v>5.4429999999999996</v>
      </c>
      <c r="AO1202" s="53">
        <f t="shared" si="224"/>
        <v>2759.0526315789475</v>
      </c>
      <c r="AP1202" s="53">
        <f t="shared" si="224"/>
        <v>1088.5999999999999</v>
      </c>
      <c r="AQ1202" s="53">
        <f t="shared" si="224"/>
        <v>0</v>
      </c>
      <c r="AR1202" s="53">
        <f t="shared" si="224"/>
        <v>0</v>
      </c>
      <c r="AS1202" s="53">
        <f t="shared" si="224"/>
        <v>0</v>
      </c>
      <c r="AT1202" s="53">
        <f t="shared" si="224"/>
        <v>0</v>
      </c>
      <c r="AU1202" s="53">
        <f t="shared" si="224"/>
        <v>0</v>
      </c>
      <c r="AV1202" s="53">
        <f t="shared" si="224"/>
        <v>0</v>
      </c>
      <c r="AW1202" s="53">
        <f t="shared" si="224"/>
        <v>0</v>
      </c>
      <c r="AX1202" s="53">
        <f t="shared" si="225"/>
        <v>8700</v>
      </c>
      <c r="AY1202" s="41" t="s">
        <v>557</v>
      </c>
    </row>
    <row r="1203" spans="1:51" x14ac:dyDescent="0.2">
      <c r="A1203" s="41" t="s">
        <v>641</v>
      </c>
      <c r="B1203" s="41">
        <v>1962</v>
      </c>
      <c r="C1203" s="41" t="s">
        <v>87</v>
      </c>
      <c r="D1203" s="41" t="s">
        <v>88</v>
      </c>
      <c r="E1203" s="41">
        <v>100</v>
      </c>
      <c r="F1203" s="41" t="s">
        <v>563</v>
      </c>
      <c r="G1203" s="53">
        <v>67526.98902295201</v>
      </c>
      <c r="H1203" s="41">
        <v>0.81</v>
      </c>
      <c r="I1203" s="46">
        <v>0.2</v>
      </c>
      <c r="J1203" s="47">
        <v>2</v>
      </c>
      <c r="R1203" s="76">
        <f>S1203*4</f>
        <v>1892.5113943572533</v>
      </c>
      <c r="S1203" s="53">
        <v>473.12784858931332</v>
      </c>
      <c r="T1203" s="53">
        <v>6.7526989022952009</v>
      </c>
      <c r="U1203" s="53">
        <v>67.526989022952009</v>
      </c>
      <c r="V1203" s="76">
        <f>W1203*2</f>
        <v>0</v>
      </c>
      <c r="W1203" s="53">
        <v>0</v>
      </c>
      <c r="AM1203" s="76">
        <v>67526.98902295201</v>
      </c>
      <c r="AO1203" s="53">
        <f t="shared" si="224"/>
        <v>54696.861108591133</v>
      </c>
      <c r="AP1203" s="53">
        <f t="shared" si="224"/>
        <v>13505.397804590402</v>
      </c>
      <c r="AQ1203" s="53">
        <f t="shared" si="224"/>
        <v>135053.97804590402</v>
      </c>
      <c r="AR1203" s="53">
        <f t="shared" si="224"/>
        <v>0</v>
      </c>
      <c r="AS1203" s="53">
        <f t="shared" si="224"/>
        <v>0</v>
      </c>
      <c r="AT1203" s="53">
        <f t="shared" si="224"/>
        <v>0</v>
      </c>
      <c r="AU1203" s="53">
        <f t="shared" si="224"/>
        <v>0</v>
      </c>
      <c r="AV1203" s="53">
        <f t="shared" si="224"/>
        <v>0</v>
      </c>
      <c r="AW1203" s="53">
        <f t="shared" si="224"/>
        <v>0</v>
      </c>
      <c r="AX1203" s="53">
        <f t="shared" si="225"/>
        <v>6752698.9022952011</v>
      </c>
      <c r="AY1203" s="41" t="s">
        <v>557</v>
      </c>
    </row>
    <row r="1204" spans="1:51" x14ac:dyDescent="0.2">
      <c r="A1204" s="41" t="s">
        <v>641</v>
      </c>
      <c r="B1204" s="41">
        <v>1963</v>
      </c>
      <c r="C1204" s="41" t="s">
        <v>87</v>
      </c>
      <c r="D1204" s="41" t="s">
        <v>88</v>
      </c>
      <c r="E1204" s="41">
        <v>100</v>
      </c>
      <c r="F1204" s="41" t="s">
        <v>563</v>
      </c>
      <c r="G1204" s="53">
        <v>1092034.8362514742</v>
      </c>
      <c r="H1204" s="41">
        <v>1.06</v>
      </c>
      <c r="I1204" s="46">
        <v>0.13363676245067496</v>
      </c>
      <c r="J1204" s="47">
        <v>2</v>
      </c>
      <c r="R1204" s="76">
        <f t="shared" ref="R1204:R1257" si="226">S1204*4</f>
        <v>35522.879999999997</v>
      </c>
      <c r="S1204" s="53">
        <v>8880.7199999999993</v>
      </c>
      <c r="T1204" s="53">
        <v>72.968000000000004</v>
      </c>
      <c r="U1204" s="53">
        <v>1092.0348362514742</v>
      </c>
      <c r="V1204" s="76">
        <f t="shared" ref="V1204:V1257" si="227">W1204*2</f>
        <v>0</v>
      </c>
      <c r="W1204" s="53">
        <v>0</v>
      </c>
      <c r="AM1204" s="76">
        <v>1092034.8362514742</v>
      </c>
      <c r="AO1204" s="53">
        <f t="shared" si="224"/>
        <v>1157556.9264265627</v>
      </c>
      <c r="AP1204" s="53">
        <f t="shared" si="224"/>
        <v>145936</v>
      </c>
      <c r="AQ1204" s="53">
        <f t="shared" si="224"/>
        <v>2184069.6725029484</v>
      </c>
      <c r="AR1204" s="53">
        <f t="shared" si="224"/>
        <v>0</v>
      </c>
      <c r="AS1204" s="53">
        <f t="shared" si="224"/>
        <v>0</v>
      </c>
      <c r="AT1204" s="53">
        <f t="shared" si="224"/>
        <v>0</v>
      </c>
      <c r="AU1204" s="53">
        <f t="shared" si="224"/>
        <v>0</v>
      </c>
      <c r="AV1204" s="53">
        <f t="shared" si="224"/>
        <v>0</v>
      </c>
      <c r="AW1204" s="53">
        <f t="shared" si="224"/>
        <v>0</v>
      </c>
      <c r="AX1204" s="53">
        <f t="shared" si="225"/>
        <v>109203483.62514742</v>
      </c>
      <c r="AY1204" s="41" t="s">
        <v>557</v>
      </c>
    </row>
    <row r="1205" spans="1:51" x14ac:dyDescent="0.2">
      <c r="A1205" s="41" t="s">
        <v>641</v>
      </c>
      <c r="B1205" s="41">
        <v>1964</v>
      </c>
      <c r="C1205" s="41" t="s">
        <v>87</v>
      </c>
      <c r="D1205" s="41" t="s">
        <v>88</v>
      </c>
      <c r="E1205" s="41">
        <v>100</v>
      </c>
      <c r="F1205" s="41" t="s">
        <v>563</v>
      </c>
      <c r="G1205" s="53">
        <v>1251409.7795518462</v>
      </c>
      <c r="H1205" s="41">
        <v>0.91</v>
      </c>
      <c r="I1205" s="46">
        <v>0.18163514758642887</v>
      </c>
      <c r="J1205" s="47">
        <v>2</v>
      </c>
      <c r="K1205" s="42">
        <v>1.2444455185932251E-3</v>
      </c>
      <c r="R1205" s="76">
        <f t="shared" si="226"/>
        <v>46526.031999999999</v>
      </c>
      <c r="S1205" s="53">
        <v>11631.508</v>
      </c>
      <c r="T1205" s="53">
        <v>113.65</v>
      </c>
      <c r="U1205" s="53">
        <v>1251.4097795518462</v>
      </c>
      <c r="V1205" s="76">
        <f t="shared" si="227"/>
        <v>25.623999999999999</v>
      </c>
      <c r="W1205" s="53">
        <v>12.811999999999999</v>
      </c>
      <c r="AM1205" s="76">
        <v>1251409.7795518462</v>
      </c>
      <c r="AO1205" s="53">
        <f t="shared" si="224"/>
        <v>1138782.8993921801</v>
      </c>
      <c r="AP1205" s="53">
        <f t="shared" si="224"/>
        <v>227300</v>
      </c>
      <c r="AQ1205" s="53">
        <f t="shared" si="224"/>
        <v>2502819.5591036924</v>
      </c>
      <c r="AR1205" s="53">
        <f t="shared" si="224"/>
        <v>1557.3112920870308</v>
      </c>
      <c r="AS1205" s="53">
        <f t="shared" si="224"/>
        <v>0</v>
      </c>
      <c r="AT1205" s="53">
        <f t="shared" si="224"/>
        <v>0</v>
      </c>
      <c r="AU1205" s="53">
        <f t="shared" si="224"/>
        <v>0</v>
      </c>
      <c r="AV1205" s="53">
        <f t="shared" si="224"/>
        <v>0</v>
      </c>
      <c r="AW1205" s="53">
        <f t="shared" si="224"/>
        <v>0</v>
      </c>
      <c r="AX1205" s="53">
        <f t="shared" si="225"/>
        <v>125140977.95518462</v>
      </c>
      <c r="AY1205" s="41" t="s">
        <v>557</v>
      </c>
    </row>
    <row r="1206" spans="1:51" x14ac:dyDescent="0.2">
      <c r="A1206" s="41" t="s">
        <v>641</v>
      </c>
      <c r="B1206" s="41">
        <v>1965</v>
      </c>
      <c r="C1206" s="41" t="s">
        <v>87</v>
      </c>
      <c r="D1206" s="41" t="s">
        <v>88</v>
      </c>
      <c r="E1206" s="41">
        <v>100</v>
      </c>
      <c r="F1206" s="41" t="s">
        <v>563</v>
      </c>
      <c r="G1206" s="53">
        <v>1781767.2140070761</v>
      </c>
      <c r="H1206" s="41">
        <v>0.73</v>
      </c>
      <c r="I1206" s="46">
        <v>5.1195239918494617E-2</v>
      </c>
      <c r="J1206" s="47">
        <v>2</v>
      </c>
      <c r="K1206" s="42">
        <v>1.6059515789577112E-3</v>
      </c>
      <c r="R1206" s="76">
        <f t="shared" si="226"/>
        <v>40169.932000000001</v>
      </c>
      <c r="S1206" s="53">
        <v>10042.483</v>
      </c>
      <c r="T1206" s="53">
        <v>45.609000000000002</v>
      </c>
      <c r="U1206" s="53">
        <v>1781.7672140070761</v>
      </c>
      <c r="V1206" s="76">
        <f t="shared" si="227"/>
        <v>47.082000000000001</v>
      </c>
      <c r="W1206" s="53">
        <v>23.541</v>
      </c>
      <c r="AM1206" s="76">
        <v>1781767.2140070761</v>
      </c>
      <c r="AO1206" s="53">
        <f t="shared" si="224"/>
        <v>1300690.0662251655</v>
      </c>
      <c r="AP1206" s="53">
        <f t="shared" si="224"/>
        <v>91218</v>
      </c>
      <c r="AQ1206" s="53">
        <f t="shared" si="224"/>
        <v>3563534.4280141522</v>
      </c>
      <c r="AR1206" s="53">
        <f t="shared" si="224"/>
        <v>2861.4318706697459</v>
      </c>
      <c r="AS1206" s="53">
        <f t="shared" si="224"/>
        <v>0</v>
      </c>
      <c r="AT1206" s="53">
        <f t="shared" si="224"/>
        <v>0</v>
      </c>
      <c r="AU1206" s="53">
        <f t="shared" si="224"/>
        <v>0</v>
      </c>
      <c r="AV1206" s="53">
        <f t="shared" si="224"/>
        <v>0</v>
      </c>
      <c r="AW1206" s="53">
        <f t="shared" si="224"/>
        <v>0</v>
      </c>
      <c r="AX1206" s="53">
        <f t="shared" si="225"/>
        <v>178176721.4007076</v>
      </c>
      <c r="AY1206" s="41" t="s">
        <v>557</v>
      </c>
    </row>
    <row r="1207" spans="1:51" x14ac:dyDescent="0.2">
      <c r="A1207" s="41" t="s">
        <v>641</v>
      </c>
      <c r="B1207" s="41">
        <v>1966</v>
      </c>
      <c r="C1207" s="41" t="s">
        <v>87</v>
      </c>
      <c r="D1207" s="41" t="s">
        <v>88</v>
      </c>
      <c r="E1207" s="41">
        <v>100</v>
      </c>
      <c r="F1207" s="41" t="s">
        <v>563</v>
      </c>
      <c r="G1207" s="53">
        <v>2746331.3072666246</v>
      </c>
      <c r="H1207" s="41">
        <v>0.61</v>
      </c>
      <c r="I1207" s="46">
        <v>1.1393381387456268E-2</v>
      </c>
      <c r="J1207" s="47">
        <v>2</v>
      </c>
      <c r="K1207" s="44">
        <v>2.7803758460739583E-4</v>
      </c>
      <c r="R1207" s="76">
        <f t="shared" si="226"/>
        <v>50782.843999999997</v>
      </c>
      <c r="S1207" s="53">
        <v>12695.710999999999</v>
      </c>
      <c r="T1207" s="53">
        <v>15.645</v>
      </c>
      <c r="U1207" s="53">
        <v>2746.3313072666247</v>
      </c>
      <c r="V1207" s="76">
        <f t="shared" si="227"/>
        <v>12.564</v>
      </c>
      <c r="W1207" s="53">
        <v>6.282</v>
      </c>
      <c r="AM1207" s="76">
        <v>2746331.3072666246</v>
      </c>
      <c r="AO1207" s="53">
        <f t="shared" si="224"/>
        <v>1675262.0974326411</v>
      </c>
      <c r="AP1207" s="53">
        <f t="shared" si="224"/>
        <v>31290</v>
      </c>
      <c r="AQ1207" s="53">
        <f t="shared" si="224"/>
        <v>5492662.6145332493</v>
      </c>
      <c r="AR1207" s="53">
        <f t="shared" si="224"/>
        <v>763.58332320408408</v>
      </c>
      <c r="AS1207" s="53">
        <f t="shared" si="224"/>
        <v>0</v>
      </c>
      <c r="AT1207" s="53">
        <f t="shared" si="224"/>
        <v>0</v>
      </c>
      <c r="AU1207" s="53">
        <f t="shared" si="224"/>
        <v>0</v>
      </c>
      <c r="AV1207" s="53">
        <f t="shared" si="224"/>
        <v>0</v>
      </c>
      <c r="AW1207" s="53">
        <f t="shared" si="224"/>
        <v>0</v>
      </c>
      <c r="AX1207" s="53">
        <f t="shared" si="225"/>
        <v>274633130.72666246</v>
      </c>
      <c r="AY1207" s="41" t="s">
        <v>557</v>
      </c>
    </row>
    <row r="1208" spans="1:51" x14ac:dyDescent="0.2">
      <c r="A1208" s="41" t="s">
        <v>641</v>
      </c>
      <c r="B1208" s="41">
        <v>1967</v>
      </c>
      <c r="C1208" s="41" t="s">
        <v>87</v>
      </c>
      <c r="D1208" s="41" t="s">
        <v>88</v>
      </c>
      <c r="E1208" s="41">
        <v>100</v>
      </c>
      <c r="F1208" s="41" t="s">
        <v>563</v>
      </c>
      <c r="G1208" s="53">
        <v>3581723.6686927336</v>
      </c>
      <c r="H1208" s="41">
        <v>0.57999999999999996</v>
      </c>
      <c r="I1208" s="46">
        <v>2.8257344608870923E-2</v>
      </c>
      <c r="J1208" s="47">
        <v>2</v>
      </c>
      <c r="R1208" s="76">
        <f t="shared" si="226"/>
        <v>72798.928</v>
      </c>
      <c r="S1208" s="53">
        <v>18199.732</v>
      </c>
      <c r="T1208" s="53">
        <v>50.604999999999997</v>
      </c>
      <c r="U1208" s="53">
        <v>3581.7236686927336</v>
      </c>
      <c r="V1208" s="76">
        <f t="shared" si="227"/>
        <v>0</v>
      </c>
      <c r="W1208" s="53">
        <v>0</v>
      </c>
      <c r="AM1208" s="76">
        <v>3581723.6686927336</v>
      </c>
      <c r="AO1208" s="53">
        <f t="shared" si="224"/>
        <v>2077399.7278417854</v>
      </c>
      <c r="AP1208" s="53">
        <f t="shared" si="224"/>
        <v>101210</v>
      </c>
      <c r="AQ1208" s="53">
        <f t="shared" si="224"/>
        <v>7163447.3373854673</v>
      </c>
      <c r="AR1208" s="53">
        <f t="shared" si="224"/>
        <v>0</v>
      </c>
      <c r="AS1208" s="53">
        <f t="shared" si="224"/>
        <v>0</v>
      </c>
      <c r="AT1208" s="53">
        <f t="shared" si="224"/>
        <v>0</v>
      </c>
      <c r="AU1208" s="53">
        <f t="shared" si="224"/>
        <v>0</v>
      </c>
      <c r="AV1208" s="53">
        <f t="shared" si="224"/>
        <v>0</v>
      </c>
      <c r="AW1208" s="53">
        <f t="shared" si="224"/>
        <v>0</v>
      </c>
      <c r="AX1208" s="53">
        <f t="shared" si="225"/>
        <v>358172366.86927336</v>
      </c>
      <c r="AY1208" s="41" t="s">
        <v>557</v>
      </c>
    </row>
    <row r="1209" spans="1:51" x14ac:dyDescent="0.2">
      <c r="A1209" s="41" t="s">
        <v>641</v>
      </c>
      <c r="B1209" s="41">
        <v>1968</v>
      </c>
      <c r="C1209" s="41" t="s">
        <v>87</v>
      </c>
      <c r="D1209" s="41" t="s">
        <v>88</v>
      </c>
      <c r="E1209" s="41">
        <v>100</v>
      </c>
      <c r="F1209" s="41" t="s">
        <v>563</v>
      </c>
      <c r="G1209" s="53">
        <v>4609148.1447881702</v>
      </c>
      <c r="H1209" s="41">
        <v>0.57999999999999996</v>
      </c>
      <c r="I1209" s="46">
        <v>3.788378991407422E-2</v>
      </c>
      <c r="J1209" s="47">
        <v>2</v>
      </c>
      <c r="R1209" s="76">
        <f t="shared" si="226"/>
        <v>95823.063999999998</v>
      </c>
      <c r="S1209" s="53">
        <v>23955.766</v>
      </c>
      <c r="T1209" s="53">
        <v>87.305999999999997</v>
      </c>
      <c r="U1209" s="53">
        <v>4609.1481447881706</v>
      </c>
      <c r="V1209" s="76">
        <f t="shared" si="227"/>
        <v>0</v>
      </c>
      <c r="W1209" s="53">
        <v>0</v>
      </c>
      <c r="AM1209" s="76">
        <v>4609148.1447881702</v>
      </c>
      <c r="AO1209" s="53">
        <f t="shared" si="224"/>
        <v>2673305.9239771385</v>
      </c>
      <c r="AP1209" s="53">
        <f t="shared" si="224"/>
        <v>174612</v>
      </c>
      <c r="AQ1209" s="53">
        <f t="shared" si="224"/>
        <v>9218296.2895763405</v>
      </c>
      <c r="AR1209" s="53">
        <f t="shared" si="224"/>
        <v>0</v>
      </c>
      <c r="AS1209" s="53">
        <f t="shared" si="224"/>
        <v>0</v>
      </c>
      <c r="AT1209" s="53">
        <f t="shared" si="224"/>
        <v>0</v>
      </c>
      <c r="AU1209" s="53">
        <f t="shared" si="224"/>
        <v>0</v>
      </c>
      <c r="AV1209" s="53">
        <f t="shared" si="224"/>
        <v>0</v>
      </c>
      <c r="AW1209" s="53">
        <f t="shared" si="224"/>
        <v>0</v>
      </c>
      <c r="AX1209" s="53">
        <f t="shared" si="225"/>
        <v>460914814.47881705</v>
      </c>
      <c r="AY1209" s="41" t="s">
        <v>557</v>
      </c>
    </row>
    <row r="1210" spans="1:51" x14ac:dyDescent="0.2">
      <c r="A1210" s="41" t="s">
        <v>641</v>
      </c>
      <c r="B1210" s="41">
        <v>1969</v>
      </c>
      <c r="C1210" s="41" t="s">
        <v>87</v>
      </c>
      <c r="D1210" s="41" t="s">
        <v>88</v>
      </c>
      <c r="E1210" s="41">
        <v>100</v>
      </c>
      <c r="F1210" s="41" t="s">
        <v>563</v>
      </c>
      <c r="G1210" s="53">
        <v>4750897.2149142707</v>
      </c>
      <c r="H1210" s="41">
        <v>0.53</v>
      </c>
      <c r="I1210" s="46">
        <v>2.7156133707752307E-2</v>
      </c>
      <c r="J1210" s="47">
        <v>2</v>
      </c>
      <c r="R1210" s="76">
        <f t="shared" si="226"/>
        <v>77840.740000000005</v>
      </c>
      <c r="S1210" s="53">
        <v>19460.185000000001</v>
      </c>
      <c r="T1210" s="53">
        <v>64.507999999999996</v>
      </c>
      <c r="U1210" s="53">
        <v>4750.897214914271</v>
      </c>
      <c r="V1210" s="76">
        <f t="shared" si="227"/>
        <v>0</v>
      </c>
      <c r="W1210" s="53">
        <v>0</v>
      </c>
      <c r="AM1210" s="76">
        <v>4750897.2149142707</v>
      </c>
      <c r="AO1210" s="53">
        <f t="shared" si="224"/>
        <v>2517975.5239045634</v>
      </c>
      <c r="AP1210" s="53">
        <f t="shared" si="224"/>
        <v>129015.99999999999</v>
      </c>
      <c r="AQ1210" s="53">
        <f t="shared" si="224"/>
        <v>9501794.4298285414</v>
      </c>
      <c r="AR1210" s="53">
        <f t="shared" si="224"/>
        <v>0</v>
      </c>
      <c r="AS1210" s="53">
        <f t="shared" si="224"/>
        <v>0</v>
      </c>
      <c r="AT1210" s="53">
        <f t="shared" si="224"/>
        <v>0</v>
      </c>
      <c r="AU1210" s="53">
        <f t="shared" si="224"/>
        <v>0</v>
      </c>
      <c r="AV1210" s="53">
        <f t="shared" si="224"/>
        <v>0</v>
      </c>
      <c r="AW1210" s="53">
        <f t="shared" si="224"/>
        <v>0</v>
      </c>
      <c r="AX1210" s="53">
        <f t="shared" si="225"/>
        <v>475089721.49142706</v>
      </c>
      <c r="AY1210" s="41" t="s">
        <v>557</v>
      </c>
    </row>
    <row r="1211" spans="1:51" x14ac:dyDescent="0.2">
      <c r="A1211" s="41" t="s">
        <v>641</v>
      </c>
      <c r="B1211" s="41">
        <v>1970</v>
      </c>
      <c r="C1211" s="41" t="s">
        <v>87</v>
      </c>
      <c r="D1211" s="41" t="s">
        <v>88</v>
      </c>
      <c r="E1211" s="41">
        <v>100</v>
      </c>
      <c r="F1211" s="41" t="s">
        <v>563</v>
      </c>
      <c r="G1211" s="53">
        <v>4944884.3327587768</v>
      </c>
      <c r="H1211" s="46">
        <v>0.54773521501683231</v>
      </c>
      <c r="I1211" s="46">
        <v>2.8317345882563599E-2</v>
      </c>
      <c r="J1211" s="47">
        <v>2.031981280822845</v>
      </c>
      <c r="R1211" s="76">
        <f t="shared" si="226"/>
        <v>93713.66</v>
      </c>
      <c r="S1211" s="53">
        <v>23428.415000000001</v>
      </c>
      <c r="T1211" s="53">
        <v>70.013000000000005</v>
      </c>
      <c r="U1211" s="53">
        <v>5023.9561999999996</v>
      </c>
      <c r="V1211" s="76">
        <f t="shared" si="227"/>
        <v>0</v>
      </c>
      <c r="W1211" s="53">
        <v>0</v>
      </c>
      <c r="AM1211" s="76">
        <v>4944884.3327587768</v>
      </c>
      <c r="AO1211" s="53">
        <f t="shared" si="224"/>
        <v>2708487.2832369939</v>
      </c>
      <c r="AP1211" s="53">
        <f t="shared" si="224"/>
        <v>140026</v>
      </c>
      <c r="AQ1211" s="53">
        <f t="shared" si="224"/>
        <v>10047912.399999999</v>
      </c>
      <c r="AR1211" s="53">
        <f t="shared" si="224"/>
        <v>0</v>
      </c>
      <c r="AS1211" s="53">
        <f t="shared" si="224"/>
        <v>0</v>
      </c>
      <c r="AT1211" s="53">
        <f t="shared" si="224"/>
        <v>0</v>
      </c>
      <c r="AU1211" s="53">
        <f t="shared" si="224"/>
        <v>0</v>
      </c>
      <c r="AV1211" s="53">
        <f t="shared" si="224"/>
        <v>0</v>
      </c>
      <c r="AW1211" s="53">
        <f t="shared" si="224"/>
        <v>0</v>
      </c>
      <c r="AX1211" s="53">
        <f t="shared" si="225"/>
        <v>494488433.27587771</v>
      </c>
      <c r="AY1211" s="41" t="s">
        <v>557</v>
      </c>
    </row>
    <row r="1212" spans="1:51" x14ac:dyDescent="0.2">
      <c r="A1212" s="41" t="s">
        <v>641</v>
      </c>
      <c r="B1212" s="41">
        <v>1971</v>
      </c>
      <c r="C1212" s="41" t="s">
        <v>87</v>
      </c>
      <c r="D1212" s="41" t="s">
        <v>88</v>
      </c>
      <c r="E1212" s="41">
        <v>100</v>
      </c>
      <c r="F1212" s="41" t="s">
        <v>563</v>
      </c>
      <c r="G1212" s="53">
        <v>5103872.8113943571</v>
      </c>
      <c r="H1212" s="41">
        <v>0.52</v>
      </c>
      <c r="I1212" s="46">
        <v>2.9999999999999995E-2</v>
      </c>
      <c r="J1212" s="47">
        <v>1.9686839330259387</v>
      </c>
      <c r="R1212" s="76">
        <f t="shared" si="226"/>
        <v>98159.46</v>
      </c>
      <c r="S1212" s="53">
        <v>24539.865000000002</v>
      </c>
      <c r="T1212" s="53">
        <v>76.558092170915344</v>
      </c>
      <c r="U1212" s="53">
        <v>5023.9561999999996</v>
      </c>
      <c r="V1212" s="76">
        <f t="shared" si="227"/>
        <v>0</v>
      </c>
      <c r="W1212" s="53">
        <v>0</v>
      </c>
      <c r="AM1212" s="76">
        <v>5103872.8113943571</v>
      </c>
      <c r="AO1212" s="53">
        <f t="shared" si="224"/>
        <v>2654013.861925066</v>
      </c>
      <c r="AP1212" s="53">
        <f t="shared" si="224"/>
        <v>153116.1843418307</v>
      </c>
      <c r="AQ1212" s="53">
        <f t="shared" si="224"/>
        <v>10047912.399999999</v>
      </c>
      <c r="AR1212" s="53">
        <f t="shared" si="224"/>
        <v>0</v>
      </c>
      <c r="AS1212" s="53">
        <f t="shared" si="224"/>
        <v>0</v>
      </c>
      <c r="AT1212" s="53">
        <f t="shared" si="224"/>
        <v>0</v>
      </c>
      <c r="AU1212" s="53">
        <f t="shared" si="224"/>
        <v>0</v>
      </c>
      <c r="AV1212" s="53">
        <f t="shared" si="224"/>
        <v>0</v>
      </c>
      <c r="AW1212" s="53">
        <f t="shared" si="224"/>
        <v>0</v>
      </c>
      <c r="AX1212" s="53">
        <f t="shared" si="225"/>
        <v>510387281.13943571</v>
      </c>
      <c r="AY1212" s="41" t="s">
        <v>557</v>
      </c>
    </row>
    <row r="1213" spans="1:51" x14ac:dyDescent="0.2">
      <c r="A1213" s="41" t="s">
        <v>641</v>
      </c>
      <c r="B1213" s="41">
        <v>1972</v>
      </c>
      <c r="C1213" s="41" t="s">
        <v>87</v>
      </c>
      <c r="D1213" s="41" t="s">
        <v>88</v>
      </c>
      <c r="E1213" s="41">
        <v>100</v>
      </c>
      <c r="F1213" s="41" t="s">
        <v>563</v>
      </c>
      <c r="G1213" s="53">
        <v>10372394.085094802</v>
      </c>
      <c r="H1213" s="46">
        <v>0.48738550171469952</v>
      </c>
      <c r="I1213" s="46">
        <v>8.2463122108822409E-3</v>
      </c>
      <c r="J1213" s="47">
        <v>1.4633797372187427</v>
      </c>
      <c r="K1213" s="42">
        <v>5.7200382385430874E-3</v>
      </c>
      <c r="R1213" s="76">
        <f t="shared" si="226"/>
        <v>162601.56340705795</v>
      </c>
      <c r="S1213" s="53">
        <v>40650.390851764489</v>
      </c>
      <c r="T1213" s="53">
        <v>42.767000000000003</v>
      </c>
      <c r="U1213" s="53">
        <v>10300.32</v>
      </c>
      <c r="V1213" s="76">
        <f t="shared" si="227"/>
        <v>593.30490791980412</v>
      </c>
      <c r="W1213" s="53">
        <v>296.65245395990206</v>
      </c>
      <c r="AM1213" s="76">
        <v>10372394.085094802</v>
      </c>
      <c r="AO1213" s="53">
        <f t="shared" si="224"/>
        <v>5055354.4951465121</v>
      </c>
      <c r="AP1213" s="53">
        <f t="shared" si="224"/>
        <v>85534</v>
      </c>
      <c r="AQ1213" s="53">
        <f t="shared" si="224"/>
        <v>15178751.330575272</v>
      </c>
      <c r="AR1213" s="53">
        <f t="shared" si="224"/>
        <v>59330.49079198041</v>
      </c>
      <c r="AS1213" s="53">
        <f t="shared" si="224"/>
        <v>0</v>
      </c>
      <c r="AT1213" s="53">
        <f t="shared" si="224"/>
        <v>0</v>
      </c>
      <c r="AU1213" s="53">
        <f t="shared" si="224"/>
        <v>0</v>
      </c>
      <c r="AV1213" s="53">
        <f t="shared" si="224"/>
        <v>0</v>
      </c>
      <c r="AW1213" s="53">
        <f t="shared" si="224"/>
        <v>0</v>
      </c>
      <c r="AX1213" s="53">
        <f t="shared" si="225"/>
        <v>1037239408.5094802</v>
      </c>
      <c r="AY1213" s="41" t="s">
        <v>557</v>
      </c>
    </row>
    <row r="1214" spans="1:51" x14ac:dyDescent="0.2">
      <c r="A1214" s="41" t="s">
        <v>641</v>
      </c>
      <c r="B1214" s="41">
        <v>1973</v>
      </c>
      <c r="C1214" s="41" t="s">
        <v>87</v>
      </c>
      <c r="D1214" s="41" t="s">
        <v>88</v>
      </c>
      <c r="E1214" s="41">
        <v>100</v>
      </c>
      <c r="F1214" s="41" t="s">
        <v>563</v>
      </c>
      <c r="G1214" s="53">
        <v>18439698.811575796</v>
      </c>
      <c r="H1214" s="46">
        <v>0.47058754457327723</v>
      </c>
      <c r="I1214" s="46">
        <v>1.1930152159196459E-2</v>
      </c>
      <c r="J1214" s="47">
        <v>1.6368244572982098</v>
      </c>
      <c r="K1214" s="42">
        <v>1.238631570868559E-2</v>
      </c>
      <c r="R1214" s="76">
        <f t="shared" si="226"/>
        <v>325290.5121375306</v>
      </c>
      <c r="S1214" s="53">
        <v>81322.628034382651</v>
      </c>
      <c r="T1214" s="53">
        <v>109.99420629592669</v>
      </c>
      <c r="U1214" s="53">
        <v>20058.224899999997</v>
      </c>
      <c r="V1214" s="76">
        <f t="shared" si="227"/>
        <v>3071.29</v>
      </c>
      <c r="W1214" s="53">
        <v>1535.645</v>
      </c>
      <c r="AM1214" s="76">
        <v>18439698.811575796</v>
      </c>
      <c r="AO1214" s="53">
        <f t="shared" si="224"/>
        <v>8677492.5864102319</v>
      </c>
      <c r="AP1214" s="53">
        <f t="shared" si="224"/>
        <v>219988.41259185338</v>
      </c>
      <c r="AQ1214" s="53">
        <f t="shared" si="224"/>
        <v>30182549.999999996</v>
      </c>
      <c r="AR1214" s="53">
        <f t="shared" si="224"/>
        <v>228399.93105325228</v>
      </c>
      <c r="AS1214" s="53">
        <f t="shared" si="224"/>
        <v>0</v>
      </c>
      <c r="AT1214" s="53">
        <f t="shared" si="224"/>
        <v>0</v>
      </c>
      <c r="AU1214" s="53">
        <f t="shared" si="224"/>
        <v>0</v>
      </c>
      <c r="AV1214" s="53">
        <f t="shared" si="224"/>
        <v>0</v>
      </c>
      <c r="AW1214" s="53">
        <f t="shared" si="224"/>
        <v>0</v>
      </c>
      <c r="AX1214" s="53">
        <f t="shared" si="225"/>
        <v>1843969881.1575797</v>
      </c>
      <c r="AY1214" s="41" t="s">
        <v>557</v>
      </c>
    </row>
    <row r="1215" spans="1:51" x14ac:dyDescent="0.2">
      <c r="A1215" s="41" t="s">
        <v>641</v>
      </c>
      <c r="B1215" s="41">
        <v>1974</v>
      </c>
      <c r="C1215" s="41" t="s">
        <v>87</v>
      </c>
      <c r="D1215" s="41" t="s">
        <v>88</v>
      </c>
      <c r="E1215" s="41">
        <v>100</v>
      </c>
      <c r="F1215" s="41" t="s">
        <v>563</v>
      </c>
      <c r="G1215" s="53">
        <v>20676823.006441079</v>
      </c>
      <c r="H1215" s="46">
        <v>0.47036549961999929</v>
      </c>
      <c r="I1215" s="46">
        <v>4.0373707302130014E-3</v>
      </c>
      <c r="J1215" s="47">
        <v>1.5700071777574724</v>
      </c>
      <c r="K1215" s="42">
        <v>1.1516121210972485E-2</v>
      </c>
      <c r="R1215" s="76">
        <f t="shared" si="226"/>
        <v>294850.89104708337</v>
      </c>
      <c r="S1215" s="53">
        <v>73712.722761770841</v>
      </c>
      <c r="T1215" s="53">
        <v>41.74</v>
      </c>
      <c r="U1215" s="53">
        <v>21577.304400000001</v>
      </c>
      <c r="V1215" s="76">
        <f t="shared" si="227"/>
        <v>3571.752</v>
      </c>
      <c r="W1215" s="53">
        <v>1785.876</v>
      </c>
      <c r="AM1215" s="76">
        <v>20676823.006441079</v>
      </c>
      <c r="AO1215" s="53">
        <f t="shared" si="224"/>
        <v>9725664.1839789543</v>
      </c>
      <c r="AP1215" s="53">
        <f t="shared" si="224"/>
        <v>83480</v>
      </c>
      <c r="AQ1215" s="53">
        <f t="shared" si="224"/>
        <v>32462760.533333335</v>
      </c>
      <c r="AR1215" s="53">
        <f t="shared" si="224"/>
        <v>238116.8</v>
      </c>
      <c r="AS1215" s="53">
        <f t="shared" si="224"/>
        <v>0</v>
      </c>
      <c r="AT1215" s="53">
        <f t="shared" si="224"/>
        <v>0</v>
      </c>
      <c r="AU1215" s="53">
        <f t="shared" si="224"/>
        <v>0</v>
      </c>
      <c r="AV1215" s="53">
        <f t="shared" si="224"/>
        <v>0</v>
      </c>
      <c r="AW1215" s="53">
        <f t="shared" si="224"/>
        <v>0</v>
      </c>
      <c r="AX1215" s="53">
        <f t="shared" si="225"/>
        <v>2067682300.6441078</v>
      </c>
      <c r="AY1215" s="41" t="s">
        <v>557</v>
      </c>
    </row>
    <row r="1216" spans="1:51" x14ac:dyDescent="0.2">
      <c r="A1216" s="41" t="s">
        <v>641</v>
      </c>
      <c r="B1216" s="41">
        <v>1975</v>
      </c>
      <c r="C1216" s="41" t="s">
        <v>87</v>
      </c>
      <c r="D1216" s="41" t="s">
        <v>88</v>
      </c>
      <c r="E1216" s="41">
        <v>100</v>
      </c>
      <c r="F1216" s="41" t="s">
        <v>563</v>
      </c>
      <c r="G1216" s="53">
        <v>17561027</v>
      </c>
      <c r="H1216" s="46">
        <v>0.48798701049773452</v>
      </c>
      <c r="I1216" s="46">
        <v>3.1667851771994882E-3</v>
      </c>
      <c r="J1216" s="47">
        <v>1.0955327513969808</v>
      </c>
      <c r="K1216" s="42">
        <v>1.0675776536303944E-2</v>
      </c>
      <c r="R1216" s="76">
        <f t="shared" si="226"/>
        <v>283026.34399999998</v>
      </c>
      <c r="S1216" s="53">
        <v>70756.585999999996</v>
      </c>
      <c r="T1216" s="53">
        <v>27.806000000000001</v>
      </c>
      <c r="U1216" s="53">
        <v>16426.599999999999</v>
      </c>
      <c r="V1216" s="76">
        <f t="shared" si="227"/>
        <v>2812.1640000000002</v>
      </c>
      <c r="W1216" s="53">
        <v>1406.0820000000001</v>
      </c>
      <c r="AM1216" s="76">
        <v>17561027</v>
      </c>
      <c r="AO1216" s="53">
        <f t="shared" si="224"/>
        <v>8569553.0669999998</v>
      </c>
      <c r="AP1216" s="53">
        <f t="shared" si="224"/>
        <v>55612</v>
      </c>
      <c r="AQ1216" s="53">
        <f t="shared" si="224"/>
        <v>19238680.226666667</v>
      </c>
      <c r="AR1216" s="53">
        <f t="shared" si="224"/>
        <v>187477.60000000003</v>
      </c>
      <c r="AS1216" s="53">
        <f t="shared" si="224"/>
        <v>0</v>
      </c>
      <c r="AT1216" s="53">
        <f t="shared" si="224"/>
        <v>0</v>
      </c>
      <c r="AU1216" s="53">
        <f t="shared" si="224"/>
        <v>0</v>
      </c>
      <c r="AV1216" s="53">
        <f t="shared" si="224"/>
        <v>0</v>
      </c>
      <c r="AW1216" s="53">
        <f t="shared" si="224"/>
        <v>0</v>
      </c>
      <c r="AX1216" s="53">
        <f t="shared" si="225"/>
        <v>1756102700</v>
      </c>
      <c r="AY1216" s="41" t="s">
        <v>557</v>
      </c>
    </row>
    <row r="1217" spans="1:51" x14ac:dyDescent="0.2">
      <c r="A1217" s="41" t="s">
        <v>641</v>
      </c>
      <c r="B1217" s="41">
        <v>1976</v>
      </c>
      <c r="C1217" s="41" t="s">
        <v>87</v>
      </c>
      <c r="D1217" s="41" t="s">
        <v>88</v>
      </c>
      <c r="E1217" s="41">
        <v>100</v>
      </c>
      <c r="F1217" s="41" t="s">
        <v>563</v>
      </c>
      <c r="G1217" s="53">
        <v>22200877</v>
      </c>
      <c r="H1217" s="46">
        <v>0.49058729166419873</v>
      </c>
      <c r="I1217" s="46">
        <v>7.6646521666689114E-3</v>
      </c>
      <c r="J1217" s="47">
        <v>1.3812517406406963</v>
      </c>
      <c r="K1217" s="42">
        <v>1.0303436811677905E-2</v>
      </c>
      <c r="R1217" s="76">
        <f t="shared" si="226"/>
        <v>356401.52</v>
      </c>
      <c r="S1217" s="53">
        <v>89100.38</v>
      </c>
      <c r="T1217" s="53">
        <v>85.080999999999989</v>
      </c>
      <c r="U1217" s="53">
        <v>20527.599999999999</v>
      </c>
      <c r="V1217" s="76">
        <f t="shared" si="227"/>
        <v>3431.18</v>
      </c>
      <c r="W1217" s="53">
        <v>1715.59</v>
      </c>
      <c r="AM1217" s="76">
        <v>22200877</v>
      </c>
      <c r="AO1217" s="53">
        <f t="shared" si="224"/>
        <v>10891468.120000001</v>
      </c>
      <c r="AP1217" s="53">
        <f t="shared" si="224"/>
        <v>170162</v>
      </c>
      <c r="AQ1217" s="53">
        <f t="shared" si="224"/>
        <v>30665000</v>
      </c>
      <c r="AR1217" s="53">
        <f t="shared" si="224"/>
        <v>228745.33333333331</v>
      </c>
      <c r="AS1217" s="53">
        <f t="shared" si="224"/>
        <v>0</v>
      </c>
      <c r="AT1217" s="53">
        <f t="shared" si="224"/>
        <v>0</v>
      </c>
      <c r="AU1217" s="53">
        <f t="shared" si="224"/>
        <v>0</v>
      </c>
      <c r="AV1217" s="53">
        <f t="shared" si="224"/>
        <v>0</v>
      </c>
      <c r="AW1217" s="53">
        <f t="shared" si="224"/>
        <v>0</v>
      </c>
      <c r="AX1217" s="53">
        <f t="shared" si="225"/>
        <v>2220087700</v>
      </c>
      <c r="AY1217" s="41" t="s">
        <v>557</v>
      </c>
    </row>
    <row r="1218" spans="1:51" x14ac:dyDescent="0.2">
      <c r="A1218" s="41" t="s">
        <v>641</v>
      </c>
      <c r="B1218" s="41">
        <v>1977</v>
      </c>
      <c r="C1218" s="41" t="s">
        <v>87</v>
      </c>
      <c r="D1218" s="41" t="s">
        <v>88</v>
      </c>
      <c r="E1218" s="41">
        <v>100</v>
      </c>
      <c r="F1218" s="41" t="s">
        <v>563</v>
      </c>
      <c r="G1218" s="53">
        <v>21035484</v>
      </c>
      <c r="H1218" s="46">
        <v>0.46679685240425184</v>
      </c>
      <c r="I1218" s="46">
        <v>1.1337889824641068E-2</v>
      </c>
      <c r="J1218" s="47">
        <v>1.8974288080717956</v>
      </c>
      <c r="K1218" s="42">
        <v>1.1039055721275537E-2</v>
      </c>
      <c r="R1218" s="76">
        <f t="shared" si="226"/>
        <v>360560.52</v>
      </c>
      <c r="S1218" s="53">
        <v>90140.13</v>
      </c>
      <c r="T1218" s="53">
        <v>119.249</v>
      </c>
      <c r="U1218" s="53">
        <v>26360</v>
      </c>
      <c r="V1218" s="76">
        <f t="shared" si="227"/>
        <v>3693.674</v>
      </c>
      <c r="W1218" s="53">
        <v>1846.837</v>
      </c>
      <c r="AM1218" s="76">
        <v>21035484</v>
      </c>
      <c r="AO1218" s="53">
        <f t="shared" si="224"/>
        <v>9819297.7200000007</v>
      </c>
      <c r="AP1218" s="53">
        <f t="shared" si="224"/>
        <v>238497.99999999997</v>
      </c>
      <c r="AQ1218" s="53">
        <f t="shared" si="224"/>
        <v>39913333.333333328</v>
      </c>
      <c r="AR1218" s="53">
        <f t="shared" si="224"/>
        <v>232211.88</v>
      </c>
      <c r="AS1218" s="53">
        <f t="shared" si="224"/>
        <v>0</v>
      </c>
      <c r="AT1218" s="53">
        <f t="shared" si="224"/>
        <v>0</v>
      </c>
      <c r="AU1218" s="53">
        <f t="shared" si="224"/>
        <v>0</v>
      </c>
      <c r="AV1218" s="53">
        <f t="shared" si="224"/>
        <v>0</v>
      </c>
      <c r="AW1218" s="53">
        <f t="shared" si="224"/>
        <v>0</v>
      </c>
      <c r="AX1218" s="53">
        <f t="shared" si="225"/>
        <v>2103548400</v>
      </c>
      <c r="AY1218" s="41" t="s">
        <v>557</v>
      </c>
    </row>
    <row r="1219" spans="1:51" x14ac:dyDescent="0.2">
      <c r="A1219" s="41" t="s">
        <v>641</v>
      </c>
      <c r="B1219" s="41">
        <v>1978</v>
      </c>
      <c r="C1219" s="41" t="s">
        <v>87</v>
      </c>
      <c r="D1219" s="41" t="s">
        <v>88</v>
      </c>
      <c r="E1219" s="41">
        <v>100</v>
      </c>
      <c r="F1219" s="41" t="s">
        <v>563</v>
      </c>
      <c r="G1219" s="53">
        <v>22417908</v>
      </c>
      <c r="H1219" s="46">
        <v>0.4384186160457077</v>
      </c>
      <c r="I1219" s="46">
        <v>8.686037965719191E-3</v>
      </c>
      <c r="J1219" s="47">
        <v>1.8841729448320215</v>
      </c>
      <c r="K1219" s="42">
        <v>1.2525584813712323E-2</v>
      </c>
      <c r="R1219" s="76">
        <f t="shared" si="226"/>
        <v>329016.02799999999</v>
      </c>
      <c r="S1219" s="53">
        <v>82254.006999999998</v>
      </c>
      <c r="T1219" s="53">
        <v>136.80000000000001</v>
      </c>
      <c r="U1219" s="53">
        <v>26852.600000000002</v>
      </c>
      <c r="V1219" s="76">
        <f t="shared" si="227"/>
        <v>3996.2640000000001</v>
      </c>
      <c r="W1219" s="53">
        <v>1998.1320000000001</v>
      </c>
      <c r="AM1219" s="76">
        <v>22417908</v>
      </c>
      <c r="AO1219" s="53">
        <f t="shared" si="224"/>
        <v>9828428.1999999993</v>
      </c>
      <c r="AP1219" s="53">
        <f t="shared" si="224"/>
        <v>194722.8</v>
      </c>
      <c r="AQ1219" s="53">
        <f t="shared" si="224"/>
        <v>42239215.733333334</v>
      </c>
      <c r="AR1219" s="53">
        <f t="shared" si="224"/>
        <v>280797.408</v>
      </c>
      <c r="AS1219" s="53">
        <f t="shared" si="224"/>
        <v>0</v>
      </c>
      <c r="AT1219" s="53">
        <f t="shared" si="224"/>
        <v>0</v>
      </c>
      <c r="AU1219" s="53">
        <f t="shared" si="224"/>
        <v>0</v>
      </c>
      <c r="AV1219" s="53">
        <f t="shared" si="224"/>
        <v>0</v>
      </c>
      <c r="AW1219" s="53">
        <f t="shared" si="224"/>
        <v>0</v>
      </c>
      <c r="AX1219" s="53">
        <f t="shared" si="225"/>
        <v>2241790800</v>
      </c>
      <c r="AY1219" s="41" t="s">
        <v>557</v>
      </c>
    </row>
    <row r="1220" spans="1:51" x14ac:dyDescent="0.2">
      <c r="A1220" s="41" t="s">
        <v>641</v>
      </c>
      <c r="B1220" s="41">
        <v>1979</v>
      </c>
      <c r="C1220" s="41" t="s">
        <v>87</v>
      </c>
      <c r="D1220" s="41" t="s">
        <v>88</v>
      </c>
      <c r="E1220" s="41">
        <v>100</v>
      </c>
      <c r="F1220" s="41" t="s">
        <v>563</v>
      </c>
      <c r="G1220" s="53">
        <v>22662964</v>
      </c>
      <c r="H1220" s="46">
        <v>0.42423123912653266</v>
      </c>
      <c r="I1220" s="46">
        <v>1.1537521746934778E-2</v>
      </c>
      <c r="J1220" s="47">
        <v>2.0801906630571358</v>
      </c>
      <c r="K1220" s="42">
        <v>1.3827181519592937E-2</v>
      </c>
      <c r="R1220" s="76">
        <f t="shared" si="226"/>
        <v>339422.45199999999</v>
      </c>
      <c r="S1220" s="53">
        <v>84855.612999999998</v>
      </c>
      <c r="T1220" s="53">
        <v>135</v>
      </c>
      <c r="U1220" s="53">
        <v>24582</v>
      </c>
      <c r="V1220" s="76">
        <f t="shared" si="227"/>
        <v>4732.2780000000002</v>
      </c>
      <c r="W1220" s="53">
        <v>2366.1390000000001</v>
      </c>
      <c r="AM1220" s="76">
        <v>22662964</v>
      </c>
      <c r="AO1220" s="53">
        <f t="shared" si="224"/>
        <v>9614337.3000000007</v>
      </c>
      <c r="AP1220" s="53">
        <f t="shared" si="224"/>
        <v>261474.43999999997</v>
      </c>
      <c r="AQ1220" s="53">
        <f t="shared" si="224"/>
        <v>47143286.109999999</v>
      </c>
      <c r="AR1220" s="53">
        <f t="shared" si="224"/>
        <v>313364.91700000002</v>
      </c>
      <c r="AS1220" s="53">
        <f t="shared" si="224"/>
        <v>0</v>
      </c>
      <c r="AT1220" s="53">
        <f t="shared" si="224"/>
        <v>0</v>
      </c>
      <c r="AU1220" s="53">
        <f t="shared" si="224"/>
        <v>0</v>
      </c>
      <c r="AV1220" s="53">
        <f t="shared" si="224"/>
        <v>0</v>
      </c>
      <c r="AW1220" s="53">
        <f t="shared" si="224"/>
        <v>0</v>
      </c>
      <c r="AX1220" s="53">
        <f t="shared" si="225"/>
        <v>2266296400</v>
      </c>
      <c r="AY1220" s="41" t="s">
        <v>557</v>
      </c>
    </row>
    <row r="1221" spans="1:51" x14ac:dyDescent="0.2">
      <c r="A1221" s="41" t="s">
        <v>641</v>
      </c>
      <c r="B1221" s="41">
        <v>1980</v>
      </c>
      <c r="C1221" s="41" t="s">
        <v>87</v>
      </c>
      <c r="D1221" s="41" t="s">
        <v>88</v>
      </c>
      <c r="E1221" s="41">
        <v>100</v>
      </c>
      <c r="F1221" s="41" t="s">
        <v>563</v>
      </c>
      <c r="G1221" s="53">
        <v>22219938</v>
      </c>
      <c r="H1221" s="46">
        <v>0.40165297355915214</v>
      </c>
      <c r="I1221" s="46">
        <v>8.3470264408478552E-3</v>
      </c>
      <c r="J1221" s="47">
        <v>1.9820944198854202</v>
      </c>
      <c r="K1221" s="42">
        <v>1.3661189423660859E-2</v>
      </c>
      <c r="R1221" s="76">
        <f t="shared" si="226"/>
        <v>327601.78000000003</v>
      </c>
      <c r="S1221" s="53">
        <v>81900.445000000007</v>
      </c>
      <c r="T1221" s="53">
        <v>92.8</v>
      </c>
      <c r="U1221" s="53">
        <v>22074</v>
      </c>
      <c r="V1221" s="76">
        <f t="shared" si="227"/>
        <v>4522.87</v>
      </c>
      <c r="W1221" s="53">
        <v>2261.4349999999999</v>
      </c>
      <c r="AM1221" s="76">
        <v>22219938</v>
      </c>
      <c r="AO1221" s="53">
        <f t="shared" si="224"/>
        <v>8924704.1699999999</v>
      </c>
      <c r="AP1221" s="53">
        <f t="shared" si="224"/>
        <v>185470.41</v>
      </c>
      <c r="AQ1221" s="53">
        <f t="shared" si="224"/>
        <v>44042015.120000005</v>
      </c>
      <c r="AR1221" s="53">
        <f t="shared" si="224"/>
        <v>303550.78200000001</v>
      </c>
      <c r="AS1221" s="53">
        <f t="shared" si="224"/>
        <v>0</v>
      </c>
      <c r="AT1221" s="53">
        <f t="shared" si="224"/>
        <v>0</v>
      </c>
      <c r="AU1221" s="53">
        <f t="shared" si="224"/>
        <v>0</v>
      </c>
      <c r="AV1221" s="53">
        <f t="shared" si="224"/>
        <v>0</v>
      </c>
      <c r="AW1221" s="53">
        <f t="shared" si="224"/>
        <v>0</v>
      </c>
      <c r="AX1221" s="53">
        <f t="shared" si="225"/>
        <v>2221993800</v>
      </c>
      <c r="AY1221" s="41" t="s">
        <v>557</v>
      </c>
    </row>
    <row r="1222" spans="1:51" x14ac:dyDescent="0.2">
      <c r="A1222" s="41" t="s">
        <v>641</v>
      </c>
      <c r="B1222" s="41">
        <v>1981</v>
      </c>
      <c r="C1222" s="41" t="s">
        <v>87</v>
      </c>
      <c r="D1222" s="41" t="s">
        <v>88</v>
      </c>
      <c r="E1222" s="41">
        <v>100</v>
      </c>
      <c r="F1222" s="41" t="s">
        <v>563</v>
      </c>
      <c r="G1222" s="53">
        <v>33631085</v>
      </c>
      <c r="H1222" s="46">
        <v>0.35975967219017763</v>
      </c>
      <c r="I1222" s="46">
        <v>5.7948023383723717E-3</v>
      </c>
      <c r="J1222" s="47">
        <v>1.1911253889073159</v>
      </c>
      <c r="K1222" s="42">
        <v>1.6109173254446E-2</v>
      </c>
      <c r="R1222" s="76">
        <f t="shared" si="226"/>
        <v>411232.43199999997</v>
      </c>
      <c r="S1222" s="53">
        <v>102808.10799999999</v>
      </c>
      <c r="T1222" s="53">
        <v>82.5</v>
      </c>
      <c r="U1222" s="53">
        <v>22013</v>
      </c>
      <c r="V1222" s="76">
        <f t="shared" si="227"/>
        <v>6338.8419999999996</v>
      </c>
      <c r="W1222" s="53">
        <v>3169.4209999999998</v>
      </c>
      <c r="AM1222" s="76">
        <v>33631085</v>
      </c>
      <c r="AO1222" s="53">
        <f t="shared" si="224"/>
        <v>12099108.115</v>
      </c>
      <c r="AP1222" s="53">
        <f t="shared" si="224"/>
        <v>194885.49</v>
      </c>
      <c r="AQ1222" s="53">
        <f t="shared" si="224"/>
        <v>40058839.199999996</v>
      </c>
      <c r="AR1222" s="53">
        <f t="shared" si="224"/>
        <v>541768.97500000009</v>
      </c>
      <c r="AS1222" s="53">
        <f t="shared" si="224"/>
        <v>0</v>
      </c>
      <c r="AT1222" s="53">
        <f t="shared" si="224"/>
        <v>0</v>
      </c>
      <c r="AU1222" s="53">
        <f t="shared" si="224"/>
        <v>0</v>
      </c>
      <c r="AV1222" s="53">
        <f t="shared" si="224"/>
        <v>0</v>
      </c>
      <c r="AW1222" s="53">
        <f t="shared" si="224"/>
        <v>0</v>
      </c>
      <c r="AX1222" s="53">
        <f t="shared" si="225"/>
        <v>3363108500</v>
      </c>
      <c r="AY1222" s="41" t="s">
        <v>557</v>
      </c>
    </row>
    <row r="1223" spans="1:51" x14ac:dyDescent="0.2">
      <c r="A1223" s="41" t="s">
        <v>641</v>
      </c>
      <c r="B1223" s="41">
        <v>1982</v>
      </c>
      <c r="C1223" s="41" t="s">
        <v>87</v>
      </c>
      <c r="D1223" s="41" t="s">
        <v>88</v>
      </c>
      <c r="E1223" s="41">
        <v>100</v>
      </c>
      <c r="F1223" s="41" t="s">
        <v>563</v>
      </c>
      <c r="G1223" s="53">
        <v>39842703</v>
      </c>
      <c r="H1223" s="46">
        <v>0.32197635050011536</v>
      </c>
      <c r="I1223" s="46">
        <v>2.3438387199784111E-3</v>
      </c>
      <c r="J1223" s="47">
        <v>0.95375363798317925</v>
      </c>
      <c r="K1223" s="42">
        <v>1.748649686242422E-2</v>
      </c>
      <c r="R1223" s="76">
        <f t="shared" si="226"/>
        <v>470097</v>
      </c>
      <c r="S1223" s="53">
        <v>117524.25</v>
      </c>
      <c r="T1223" s="53">
        <v>48.8</v>
      </c>
      <c r="U1223" s="53">
        <v>25848</v>
      </c>
      <c r="V1223" s="76">
        <f t="shared" si="227"/>
        <v>8262.4500000000007</v>
      </c>
      <c r="W1223" s="53">
        <v>4131.2250000000004</v>
      </c>
      <c r="AM1223" s="76">
        <v>39842703</v>
      </c>
      <c r="AO1223" s="53">
        <f t="shared" si="224"/>
        <v>12828408.105999997</v>
      </c>
      <c r="AP1223" s="53">
        <f t="shared" si="224"/>
        <v>93384.87</v>
      </c>
      <c r="AQ1223" s="53">
        <f t="shared" si="224"/>
        <v>38000122.93333333</v>
      </c>
      <c r="AR1223" s="53">
        <f t="shared" si="224"/>
        <v>696709.30100000009</v>
      </c>
      <c r="AS1223" s="53">
        <f t="shared" si="224"/>
        <v>0</v>
      </c>
      <c r="AT1223" s="53">
        <f t="shared" si="224"/>
        <v>0</v>
      </c>
      <c r="AU1223" s="53">
        <f t="shared" si="224"/>
        <v>0</v>
      </c>
      <c r="AV1223" s="53">
        <f t="shared" si="224"/>
        <v>0</v>
      </c>
      <c r="AW1223" s="53">
        <f t="shared" si="224"/>
        <v>0</v>
      </c>
      <c r="AX1223" s="53">
        <f t="shared" si="225"/>
        <v>3984270300</v>
      </c>
      <c r="AY1223" s="41" t="s">
        <v>557</v>
      </c>
    </row>
    <row r="1224" spans="1:51" x14ac:dyDescent="0.2">
      <c r="A1224" s="41" t="s">
        <v>641</v>
      </c>
      <c r="B1224" s="41">
        <v>1983</v>
      </c>
      <c r="C1224" s="41" t="s">
        <v>87</v>
      </c>
      <c r="D1224" s="41" t="s">
        <v>88</v>
      </c>
      <c r="E1224" s="41">
        <v>100</v>
      </c>
      <c r="F1224" s="41" t="s">
        <v>563</v>
      </c>
      <c r="G1224" s="53">
        <v>38566461</v>
      </c>
      <c r="H1224" s="46">
        <v>0.30696715418093462</v>
      </c>
      <c r="I1224" s="46">
        <v>0</v>
      </c>
      <c r="J1224" s="47">
        <v>1.9095070361784039</v>
      </c>
      <c r="K1224" s="42">
        <v>1.8032790511942488E-2</v>
      </c>
      <c r="R1224" s="76">
        <f t="shared" si="226"/>
        <v>404757.94400000002</v>
      </c>
      <c r="S1224" s="53">
        <v>101189.486</v>
      </c>
      <c r="T1224" s="53">
        <v>0</v>
      </c>
      <c r="U1224" s="53">
        <v>22083</v>
      </c>
      <c r="V1224" s="76">
        <f t="shared" si="227"/>
        <v>8637.4520000000011</v>
      </c>
      <c r="W1224" s="53">
        <v>4318.7260000000006</v>
      </c>
      <c r="AM1224" s="76">
        <v>38566461</v>
      </c>
      <c r="AO1224" s="53">
        <f t="shared" si="224"/>
        <v>11838636.780000001</v>
      </c>
      <c r="AP1224" s="53">
        <f t="shared" si="224"/>
        <v>0</v>
      </c>
      <c r="AQ1224" s="53">
        <f t="shared" si="224"/>
        <v>73642928.640000001</v>
      </c>
      <c r="AR1224" s="53">
        <f t="shared" si="224"/>
        <v>695460.91200000001</v>
      </c>
      <c r="AS1224" s="53">
        <f t="shared" si="224"/>
        <v>0</v>
      </c>
      <c r="AT1224" s="53">
        <f t="shared" si="224"/>
        <v>0</v>
      </c>
      <c r="AU1224" s="53">
        <f t="shared" si="224"/>
        <v>0</v>
      </c>
      <c r="AV1224" s="53">
        <f t="shared" si="224"/>
        <v>0</v>
      </c>
      <c r="AW1224" s="53">
        <f t="shared" si="224"/>
        <v>0</v>
      </c>
      <c r="AX1224" s="53">
        <f t="shared" si="225"/>
        <v>3856646100</v>
      </c>
      <c r="AY1224" s="41" t="s">
        <v>557</v>
      </c>
    </row>
    <row r="1225" spans="1:51" x14ac:dyDescent="0.2">
      <c r="A1225" s="41" t="s">
        <v>641</v>
      </c>
      <c r="B1225" s="41">
        <v>1984</v>
      </c>
      <c r="C1225" s="41" t="s">
        <v>87</v>
      </c>
      <c r="D1225" s="41" t="s">
        <v>88</v>
      </c>
      <c r="E1225" s="41">
        <v>100</v>
      </c>
      <c r="F1225" s="41" t="s">
        <v>563</v>
      </c>
      <c r="G1225" s="53">
        <v>34212789</v>
      </c>
      <c r="H1225" s="46">
        <v>0.32701206382209874</v>
      </c>
      <c r="I1225" s="46">
        <v>0</v>
      </c>
      <c r="J1225" s="47">
        <v>1.4652421046410453</v>
      </c>
      <c r="K1225" s="42">
        <v>1.8414642226332385E-2</v>
      </c>
      <c r="R1225" s="76">
        <f t="shared" si="226"/>
        <v>410760</v>
      </c>
      <c r="S1225" s="53">
        <v>102690</v>
      </c>
      <c r="T1225" s="53">
        <v>0</v>
      </c>
      <c r="U1225" s="53">
        <v>25087</v>
      </c>
      <c r="V1225" s="76">
        <f t="shared" si="227"/>
        <v>10428.516</v>
      </c>
      <c r="W1225" s="53">
        <v>5214.2579999999998</v>
      </c>
      <c r="AM1225" s="76">
        <v>34212789</v>
      </c>
      <c r="AO1225" s="53">
        <f t="shared" si="224"/>
        <v>11187994.739999998</v>
      </c>
      <c r="AP1225" s="53">
        <f t="shared" si="224"/>
        <v>0</v>
      </c>
      <c r="AQ1225" s="53">
        <f t="shared" si="224"/>
        <v>50130018.960000001</v>
      </c>
      <c r="AR1225" s="53">
        <f t="shared" si="224"/>
        <v>630016.26900000009</v>
      </c>
      <c r="AS1225" s="53">
        <f t="shared" si="224"/>
        <v>0</v>
      </c>
      <c r="AT1225" s="53">
        <f t="shared" si="224"/>
        <v>0</v>
      </c>
      <c r="AU1225" s="53">
        <f t="shared" si="224"/>
        <v>0</v>
      </c>
      <c r="AV1225" s="53">
        <f t="shared" si="224"/>
        <v>0</v>
      </c>
      <c r="AW1225" s="53">
        <f t="shared" si="224"/>
        <v>0</v>
      </c>
      <c r="AX1225" s="53">
        <f t="shared" si="225"/>
        <v>3421278900</v>
      </c>
      <c r="AY1225" s="41" t="s">
        <v>557</v>
      </c>
    </row>
    <row r="1226" spans="1:51" x14ac:dyDescent="0.2">
      <c r="A1226" s="41" t="s">
        <v>641</v>
      </c>
      <c r="B1226" s="41">
        <v>1985</v>
      </c>
      <c r="C1226" s="41" t="s">
        <v>87</v>
      </c>
      <c r="D1226" s="41" t="s">
        <v>88</v>
      </c>
      <c r="E1226" s="41">
        <v>100</v>
      </c>
      <c r="F1226" s="41" t="s">
        <v>563</v>
      </c>
      <c r="G1226" s="53">
        <v>29214991</v>
      </c>
      <c r="H1226" s="41">
        <v>0.39</v>
      </c>
      <c r="I1226" s="46">
        <v>0</v>
      </c>
      <c r="J1226" s="47">
        <v>1.9</v>
      </c>
      <c r="K1226" s="42">
        <v>1.6E-2</v>
      </c>
      <c r="R1226" s="76">
        <f t="shared" si="226"/>
        <v>395492</v>
      </c>
      <c r="S1226" s="53">
        <v>98873</v>
      </c>
      <c r="T1226" s="53">
        <v>0</v>
      </c>
      <c r="U1226" s="53">
        <v>26816</v>
      </c>
      <c r="V1226" s="76">
        <f t="shared" si="227"/>
        <v>6303.1779999999999</v>
      </c>
      <c r="W1226" s="53">
        <v>3151.5889999999999</v>
      </c>
      <c r="AM1226" s="76">
        <v>29214991</v>
      </c>
      <c r="AO1226" s="53">
        <f t="shared" si="224"/>
        <v>11393846.49</v>
      </c>
      <c r="AP1226" s="53">
        <f t="shared" si="224"/>
        <v>0</v>
      </c>
      <c r="AQ1226" s="53">
        <f t="shared" si="224"/>
        <v>55508482.899999999</v>
      </c>
      <c r="AR1226" s="53">
        <f t="shared" si="224"/>
        <v>467439.85600000003</v>
      </c>
      <c r="AS1226" s="53">
        <f t="shared" si="224"/>
        <v>0</v>
      </c>
      <c r="AT1226" s="53">
        <f t="shared" si="224"/>
        <v>0</v>
      </c>
      <c r="AU1226" s="53">
        <f t="shared" si="224"/>
        <v>0</v>
      </c>
      <c r="AV1226" s="53">
        <f t="shared" si="224"/>
        <v>0</v>
      </c>
      <c r="AW1226" s="53">
        <f t="shared" si="224"/>
        <v>0</v>
      </c>
      <c r="AX1226" s="53">
        <f t="shared" si="225"/>
        <v>2921499100</v>
      </c>
      <c r="AY1226" s="41" t="s">
        <v>557</v>
      </c>
    </row>
    <row r="1227" spans="1:51" x14ac:dyDescent="0.2">
      <c r="A1227" s="41" t="s">
        <v>641</v>
      </c>
      <c r="B1227" s="41">
        <v>1986</v>
      </c>
      <c r="C1227" s="41" t="s">
        <v>87</v>
      </c>
      <c r="D1227" s="41" t="s">
        <v>88</v>
      </c>
      <c r="E1227" s="41">
        <v>100</v>
      </c>
      <c r="F1227" s="41" t="s">
        <v>563</v>
      </c>
      <c r="G1227" s="53">
        <v>34971606</v>
      </c>
      <c r="H1227" s="46">
        <v>0.39345707543428232</v>
      </c>
      <c r="I1227" s="46">
        <v>1.298196027943355E-2</v>
      </c>
      <c r="J1227" s="47">
        <v>1.7759280657571175</v>
      </c>
      <c r="K1227" s="42">
        <v>1.6413573114142946E-2</v>
      </c>
      <c r="R1227" s="76">
        <f t="shared" si="226"/>
        <v>475176</v>
      </c>
      <c r="S1227" s="53">
        <v>118794</v>
      </c>
      <c r="T1227" s="53">
        <v>454</v>
      </c>
      <c r="U1227" s="53">
        <v>30793</v>
      </c>
      <c r="V1227" s="76">
        <f t="shared" si="227"/>
        <v>8105.8060000000005</v>
      </c>
      <c r="W1227" s="53">
        <v>4052.9030000000002</v>
      </c>
      <c r="AM1227" s="76">
        <v>34971606</v>
      </c>
      <c r="AO1227" s="53">
        <f t="shared" si="224"/>
        <v>13759825.82</v>
      </c>
      <c r="AP1227" s="53">
        <f t="shared" si="224"/>
        <v>454000</v>
      </c>
      <c r="AQ1227" s="53">
        <f t="shared" si="224"/>
        <v>62107056.600000001</v>
      </c>
      <c r="AR1227" s="53">
        <f t="shared" si="224"/>
        <v>574009.0120000001</v>
      </c>
      <c r="AS1227" s="53">
        <f t="shared" si="224"/>
        <v>0</v>
      </c>
      <c r="AT1227" s="53">
        <f t="shared" si="224"/>
        <v>0</v>
      </c>
      <c r="AU1227" s="53">
        <f t="shared" si="224"/>
        <v>0</v>
      </c>
      <c r="AV1227" s="53">
        <f t="shared" si="224"/>
        <v>0</v>
      </c>
      <c r="AW1227" s="53">
        <f t="shared" si="224"/>
        <v>0</v>
      </c>
      <c r="AX1227" s="53">
        <f t="shared" si="225"/>
        <v>3497160600</v>
      </c>
      <c r="AY1227" s="41" t="s">
        <v>557</v>
      </c>
    </row>
    <row r="1228" spans="1:51" x14ac:dyDescent="0.2">
      <c r="A1228" s="41" t="s">
        <v>641</v>
      </c>
      <c r="B1228" s="41">
        <v>1987</v>
      </c>
      <c r="C1228" s="41" t="s">
        <v>87</v>
      </c>
      <c r="D1228" s="41" t="s">
        <v>88</v>
      </c>
      <c r="E1228" s="41">
        <v>100</v>
      </c>
      <c r="F1228" s="41" t="s">
        <v>563</v>
      </c>
      <c r="G1228" s="53">
        <v>41999932</v>
      </c>
      <c r="H1228" s="41">
        <v>0.44000000000000006</v>
      </c>
      <c r="I1228" s="46">
        <v>0.01</v>
      </c>
      <c r="J1228" s="47">
        <v>1.37</v>
      </c>
      <c r="K1228" s="42">
        <v>1.4999999999999999E-2</v>
      </c>
      <c r="R1228" s="76">
        <f t="shared" si="226"/>
        <v>643848</v>
      </c>
      <c r="S1228" s="53">
        <v>160962</v>
      </c>
      <c r="T1228" s="53">
        <v>119</v>
      </c>
      <c r="U1228" s="53">
        <v>28263</v>
      </c>
      <c r="V1228" s="76">
        <f t="shared" si="227"/>
        <v>9453.4040000000005</v>
      </c>
      <c r="W1228" s="53">
        <v>4726.7020000000002</v>
      </c>
      <c r="AM1228" s="76">
        <v>41999932</v>
      </c>
      <c r="AO1228" s="53">
        <f t="shared" si="224"/>
        <v>18479970.080000002</v>
      </c>
      <c r="AP1228" s="53">
        <f t="shared" si="224"/>
        <v>419999.32</v>
      </c>
      <c r="AQ1228" s="53">
        <f t="shared" si="224"/>
        <v>57539906.840000004</v>
      </c>
      <c r="AR1228" s="53">
        <f t="shared" si="224"/>
        <v>629998.98</v>
      </c>
      <c r="AS1228" s="53">
        <f t="shared" si="224"/>
        <v>0</v>
      </c>
      <c r="AT1228" s="53">
        <f t="shared" si="224"/>
        <v>0</v>
      </c>
      <c r="AU1228" s="53">
        <f t="shared" si="224"/>
        <v>0</v>
      </c>
      <c r="AV1228" s="53">
        <f t="shared" si="224"/>
        <v>0</v>
      </c>
      <c r="AW1228" s="53">
        <f t="shared" si="224"/>
        <v>0</v>
      </c>
      <c r="AX1228" s="53">
        <f t="shared" si="225"/>
        <v>4199993200</v>
      </c>
      <c r="AY1228" s="41" t="s">
        <v>557</v>
      </c>
    </row>
    <row r="1229" spans="1:51" x14ac:dyDescent="0.2">
      <c r="A1229" s="41" t="s">
        <v>641</v>
      </c>
      <c r="B1229" s="41">
        <v>1988</v>
      </c>
      <c r="C1229" s="41" t="s">
        <v>87</v>
      </c>
      <c r="D1229" s="41" t="s">
        <v>88</v>
      </c>
      <c r="E1229" s="41">
        <v>100</v>
      </c>
      <c r="F1229" s="41" t="s">
        <v>563</v>
      </c>
      <c r="G1229" s="53">
        <v>44108229</v>
      </c>
      <c r="H1229" s="41">
        <v>0.47</v>
      </c>
      <c r="I1229" s="46">
        <v>0.03</v>
      </c>
      <c r="J1229" s="47">
        <v>2.91</v>
      </c>
      <c r="K1229" s="42">
        <v>1.4999999999999999E-2</v>
      </c>
      <c r="R1229" s="76">
        <f t="shared" si="226"/>
        <v>698748</v>
      </c>
      <c r="S1229" s="53">
        <v>174687</v>
      </c>
      <c r="T1229" s="53">
        <v>416</v>
      </c>
      <c r="U1229" s="53">
        <v>64235</v>
      </c>
      <c r="V1229" s="76">
        <f t="shared" si="227"/>
        <v>3878.5239999999999</v>
      </c>
      <c r="W1229" s="53">
        <v>1939.2619999999999</v>
      </c>
      <c r="AM1229" s="76">
        <v>44108229</v>
      </c>
      <c r="AO1229" s="53">
        <f t="shared" si="224"/>
        <v>20730867.629999999</v>
      </c>
      <c r="AP1229" s="53">
        <f t="shared" si="224"/>
        <v>1323246.8699999999</v>
      </c>
      <c r="AQ1229" s="53">
        <f t="shared" si="224"/>
        <v>128354946.39</v>
      </c>
      <c r="AR1229" s="53">
        <f t="shared" ref="AR1229:AW1257" si="228">$G1229*K1229</f>
        <v>661623.43499999994</v>
      </c>
      <c r="AS1229" s="53">
        <f t="shared" si="228"/>
        <v>0</v>
      </c>
      <c r="AT1229" s="53">
        <f t="shared" si="228"/>
        <v>0</v>
      </c>
      <c r="AU1229" s="53">
        <f t="shared" si="228"/>
        <v>0</v>
      </c>
      <c r="AV1229" s="53">
        <f t="shared" si="228"/>
        <v>0</v>
      </c>
      <c r="AW1229" s="53">
        <f t="shared" si="228"/>
        <v>0</v>
      </c>
      <c r="AX1229" s="53">
        <f t="shared" si="225"/>
        <v>4410822900</v>
      </c>
      <c r="AY1229" s="41" t="s">
        <v>557</v>
      </c>
    </row>
    <row r="1230" spans="1:51" x14ac:dyDescent="0.2">
      <c r="A1230" s="41" t="s">
        <v>641</v>
      </c>
      <c r="B1230" s="41">
        <v>1989</v>
      </c>
      <c r="C1230" s="41" t="s">
        <v>87</v>
      </c>
      <c r="D1230" s="41" t="s">
        <v>88</v>
      </c>
      <c r="E1230" s="41">
        <v>100</v>
      </c>
      <c r="F1230" s="41" t="s">
        <v>563</v>
      </c>
      <c r="G1230" s="53">
        <v>32323627</v>
      </c>
      <c r="H1230" s="41">
        <v>0.43</v>
      </c>
      <c r="I1230" s="46">
        <v>0.03</v>
      </c>
      <c r="J1230" s="47">
        <v>1.65</v>
      </c>
      <c r="K1230" s="42">
        <v>1.4999999999999999E-2</v>
      </c>
      <c r="R1230" s="76">
        <f t="shared" si="226"/>
        <v>452504</v>
      </c>
      <c r="S1230" s="53">
        <v>113126</v>
      </c>
      <c r="T1230" s="53">
        <v>248</v>
      </c>
      <c r="U1230" s="53">
        <v>36698</v>
      </c>
      <c r="V1230" s="76">
        <f t="shared" si="227"/>
        <v>3317.194</v>
      </c>
      <c r="W1230" s="53">
        <v>1658.597</v>
      </c>
      <c r="AM1230" s="76">
        <v>32323627</v>
      </c>
      <c r="AO1230" s="53">
        <f t="shared" ref="AO1230:AQ1257" si="229">$G1230*H1230</f>
        <v>13899159.609999999</v>
      </c>
      <c r="AP1230" s="53">
        <f t="shared" si="229"/>
        <v>969708.80999999994</v>
      </c>
      <c r="AQ1230" s="53">
        <f t="shared" si="229"/>
        <v>53333984.549999997</v>
      </c>
      <c r="AR1230" s="53">
        <f t="shared" si="228"/>
        <v>484854.40499999997</v>
      </c>
      <c r="AS1230" s="53">
        <f t="shared" si="228"/>
        <v>0</v>
      </c>
      <c r="AT1230" s="53">
        <f t="shared" si="228"/>
        <v>0</v>
      </c>
      <c r="AU1230" s="53">
        <f t="shared" si="228"/>
        <v>0</v>
      </c>
      <c r="AV1230" s="53">
        <f t="shared" si="228"/>
        <v>0</v>
      </c>
      <c r="AW1230" s="53">
        <f t="shared" si="228"/>
        <v>0</v>
      </c>
      <c r="AX1230" s="53">
        <f t="shared" si="225"/>
        <v>3232362700</v>
      </c>
      <c r="AY1230" s="41" t="s">
        <v>557</v>
      </c>
    </row>
    <row r="1231" spans="1:51" x14ac:dyDescent="0.2">
      <c r="A1231" s="41" t="s">
        <v>641</v>
      </c>
      <c r="B1231" s="41">
        <v>1990</v>
      </c>
      <c r="C1231" s="41" t="s">
        <v>87</v>
      </c>
      <c r="D1231" s="41" t="s">
        <v>88</v>
      </c>
      <c r="E1231" s="41">
        <v>100</v>
      </c>
      <c r="F1231" s="41" t="s">
        <v>563</v>
      </c>
      <c r="G1231" s="53">
        <v>46261886</v>
      </c>
      <c r="H1231" s="41">
        <v>0.43</v>
      </c>
      <c r="I1231" s="46">
        <v>0.02</v>
      </c>
      <c r="J1231" s="47">
        <v>1.65</v>
      </c>
      <c r="K1231" s="42">
        <v>1.4999999999999998E-2</v>
      </c>
      <c r="R1231" s="76">
        <f t="shared" si="226"/>
        <v>654724</v>
      </c>
      <c r="S1231" s="53">
        <v>163681</v>
      </c>
      <c r="T1231" s="53">
        <v>402</v>
      </c>
      <c r="U1231" s="53">
        <v>61246</v>
      </c>
      <c r="V1231" s="76">
        <f t="shared" si="227"/>
        <v>3391.9639999999999</v>
      </c>
      <c r="W1231" s="53">
        <v>1695.982</v>
      </c>
      <c r="AM1231" s="76">
        <v>46261886</v>
      </c>
      <c r="AO1231" s="53">
        <f t="shared" si="229"/>
        <v>19892610.98</v>
      </c>
      <c r="AP1231" s="53">
        <f t="shared" si="229"/>
        <v>925237.72</v>
      </c>
      <c r="AQ1231" s="53">
        <f t="shared" si="229"/>
        <v>76332111.899999991</v>
      </c>
      <c r="AR1231" s="53">
        <f t="shared" si="228"/>
        <v>693928.28999999992</v>
      </c>
      <c r="AS1231" s="53">
        <f t="shared" si="228"/>
        <v>0</v>
      </c>
      <c r="AT1231" s="53">
        <f t="shared" si="228"/>
        <v>0</v>
      </c>
      <c r="AU1231" s="53">
        <f t="shared" si="228"/>
        <v>0</v>
      </c>
      <c r="AV1231" s="53">
        <f t="shared" si="228"/>
        <v>0</v>
      </c>
      <c r="AW1231" s="53">
        <f t="shared" si="228"/>
        <v>0</v>
      </c>
      <c r="AX1231" s="53">
        <f t="shared" si="225"/>
        <v>4626188600</v>
      </c>
      <c r="AY1231" s="41" t="s">
        <v>557</v>
      </c>
    </row>
    <row r="1232" spans="1:51" x14ac:dyDescent="0.2">
      <c r="A1232" s="41" t="s">
        <v>641</v>
      </c>
      <c r="B1232" s="41">
        <v>1991</v>
      </c>
      <c r="C1232" s="41" t="s">
        <v>87</v>
      </c>
      <c r="D1232" s="41" t="s">
        <v>88</v>
      </c>
      <c r="E1232" s="41">
        <v>100</v>
      </c>
      <c r="F1232" s="41" t="s">
        <v>563</v>
      </c>
      <c r="G1232" s="53">
        <v>46299988</v>
      </c>
      <c r="H1232" s="41">
        <v>0.43999999999999995</v>
      </c>
      <c r="I1232" s="46">
        <v>0.03</v>
      </c>
      <c r="J1232" s="47">
        <v>3.09</v>
      </c>
      <c r="K1232" s="42">
        <v>1.0270326635937788E-2</v>
      </c>
      <c r="R1232" s="76">
        <f t="shared" si="226"/>
        <v>709588</v>
      </c>
      <c r="S1232" s="53">
        <v>177397</v>
      </c>
      <c r="T1232" s="53">
        <v>457</v>
      </c>
      <c r="U1232" s="53">
        <v>71434</v>
      </c>
      <c r="V1232" s="76">
        <f t="shared" si="227"/>
        <v>2853.096</v>
      </c>
      <c r="W1232" s="53">
        <v>1426.548</v>
      </c>
      <c r="AM1232" s="76">
        <v>46299988</v>
      </c>
      <c r="AO1232" s="53">
        <f t="shared" si="229"/>
        <v>20371994.719999999</v>
      </c>
      <c r="AP1232" s="53">
        <f t="shared" si="229"/>
        <v>1388999.64</v>
      </c>
      <c r="AQ1232" s="53">
        <f t="shared" si="229"/>
        <v>143066962.91999999</v>
      </c>
      <c r="AR1232" s="53">
        <f t="shared" si="228"/>
        <v>475515.99999999994</v>
      </c>
      <c r="AS1232" s="53">
        <f t="shared" si="228"/>
        <v>0</v>
      </c>
      <c r="AT1232" s="53">
        <f t="shared" si="228"/>
        <v>0</v>
      </c>
      <c r="AU1232" s="53">
        <f t="shared" si="228"/>
        <v>0</v>
      </c>
      <c r="AV1232" s="53">
        <f t="shared" si="228"/>
        <v>0</v>
      </c>
      <c r="AW1232" s="53">
        <f t="shared" si="228"/>
        <v>0</v>
      </c>
      <c r="AX1232" s="53">
        <f t="shared" si="225"/>
        <v>4629998800</v>
      </c>
      <c r="AY1232" s="41" t="s">
        <v>557</v>
      </c>
    </row>
    <row r="1233" spans="1:51" x14ac:dyDescent="0.2">
      <c r="A1233" s="41" t="s">
        <v>641</v>
      </c>
      <c r="B1233" s="41">
        <v>1992</v>
      </c>
      <c r="C1233" s="41" t="s">
        <v>87</v>
      </c>
      <c r="D1233" s="41" t="s">
        <v>88</v>
      </c>
      <c r="E1233" s="41">
        <v>100</v>
      </c>
      <c r="F1233" s="41" t="s">
        <v>563</v>
      </c>
      <c r="G1233" s="53">
        <v>44062507</v>
      </c>
      <c r="H1233" s="41">
        <v>0.45000000000000007</v>
      </c>
      <c r="I1233" s="46">
        <v>0.03</v>
      </c>
      <c r="J1233" s="47">
        <v>3.09</v>
      </c>
      <c r="K1233" s="42">
        <v>1.3677614848378917E-2</v>
      </c>
      <c r="R1233" s="76">
        <f t="shared" si="226"/>
        <v>705880</v>
      </c>
      <c r="S1233" s="53">
        <v>176470</v>
      </c>
      <c r="T1233" s="53">
        <v>435</v>
      </c>
      <c r="U1233" s="53">
        <v>67982</v>
      </c>
      <c r="V1233" s="76">
        <f t="shared" si="227"/>
        <v>3616.02</v>
      </c>
      <c r="W1233" s="53">
        <v>1808.01</v>
      </c>
      <c r="AM1233" s="76">
        <v>44062507</v>
      </c>
      <c r="AO1233" s="53">
        <f t="shared" si="229"/>
        <v>19828128.150000002</v>
      </c>
      <c r="AP1233" s="53">
        <f t="shared" si="229"/>
        <v>1321875.21</v>
      </c>
      <c r="AQ1233" s="53">
        <f t="shared" si="229"/>
        <v>136153146.63</v>
      </c>
      <c r="AR1233" s="53">
        <f t="shared" si="228"/>
        <v>602670</v>
      </c>
      <c r="AS1233" s="53">
        <f t="shared" si="228"/>
        <v>0</v>
      </c>
      <c r="AT1233" s="53">
        <f t="shared" si="228"/>
        <v>0</v>
      </c>
      <c r="AU1233" s="53">
        <f t="shared" si="228"/>
        <v>0</v>
      </c>
      <c r="AV1233" s="53">
        <f t="shared" si="228"/>
        <v>0</v>
      </c>
      <c r="AW1233" s="53">
        <f t="shared" si="228"/>
        <v>0</v>
      </c>
      <c r="AX1233" s="53">
        <f t="shared" si="225"/>
        <v>4406250700</v>
      </c>
      <c r="AY1233" s="41" t="s">
        <v>557</v>
      </c>
    </row>
    <row r="1234" spans="1:51" x14ac:dyDescent="0.2">
      <c r="A1234" s="41" t="s">
        <v>641</v>
      </c>
      <c r="B1234" s="41">
        <v>1993</v>
      </c>
      <c r="C1234" s="41" t="s">
        <v>87</v>
      </c>
      <c r="D1234" s="41" t="s">
        <v>88</v>
      </c>
      <c r="E1234" s="41">
        <v>100</v>
      </c>
      <c r="F1234" s="41" t="s">
        <v>563</v>
      </c>
      <c r="G1234" s="53">
        <v>44472987</v>
      </c>
      <c r="H1234" s="41">
        <v>0.42</v>
      </c>
      <c r="I1234" s="46">
        <v>0.02</v>
      </c>
      <c r="J1234" s="47">
        <v>2.74</v>
      </c>
      <c r="K1234" s="42">
        <v>1.2879353782405787E-2</v>
      </c>
      <c r="R1234" s="76">
        <f t="shared" si="226"/>
        <v>647668</v>
      </c>
      <c r="S1234" s="53">
        <v>161917</v>
      </c>
      <c r="T1234" s="53">
        <v>399</v>
      </c>
      <c r="U1234" s="53">
        <v>59454</v>
      </c>
      <c r="V1234" s="76">
        <f t="shared" si="227"/>
        <v>3436.7</v>
      </c>
      <c r="W1234" s="53">
        <v>1718.35</v>
      </c>
      <c r="AM1234" s="76">
        <v>44472987</v>
      </c>
      <c r="AO1234" s="53">
        <f t="shared" si="229"/>
        <v>18678654.539999999</v>
      </c>
      <c r="AP1234" s="53">
        <f t="shared" si="229"/>
        <v>889459.74</v>
      </c>
      <c r="AQ1234" s="53">
        <f t="shared" si="229"/>
        <v>121855984.38000001</v>
      </c>
      <c r="AR1234" s="53">
        <f t="shared" si="228"/>
        <v>572783.33333333337</v>
      </c>
      <c r="AS1234" s="53">
        <f t="shared" si="228"/>
        <v>0</v>
      </c>
      <c r="AT1234" s="53">
        <f t="shared" si="228"/>
        <v>0</v>
      </c>
      <c r="AU1234" s="53">
        <f t="shared" si="228"/>
        <v>0</v>
      </c>
      <c r="AV1234" s="53">
        <f t="shared" si="228"/>
        <v>0</v>
      </c>
      <c r="AW1234" s="53">
        <f t="shared" si="228"/>
        <v>0</v>
      </c>
      <c r="AX1234" s="53">
        <f t="shared" si="225"/>
        <v>4447298700</v>
      </c>
      <c r="AY1234" s="41" t="s">
        <v>557</v>
      </c>
    </row>
    <row r="1235" spans="1:51" x14ac:dyDescent="0.2">
      <c r="A1235" s="41" t="s">
        <v>641</v>
      </c>
      <c r="B1235" s="41">
        <v>1994</v>
      </c>
      <c r="C1235" s="41" t="s">
        <v>87</v>
      </c>
      <c r="D1235" s="41" t="s">
        <v>88</v>
      </c>
      <c r="E1235" s="41">
        <v>100</v>
      </c>
      <c r="F1235" s="41" t="s">
        <v>563</v>
      </c>
      <c r="G1235" s="53">
        <v>43483988</v>
      </c>
      <c r="H1235" s="41">
        <v>0.42000000000000004</v>
      </c>
      <c r="I1235" s="46">
        <v>0.02</v>
      </c>
      <c r="J1235" s="47">
        <v>2.79</v>
      </c>
      <c r="K1235" s="42">
        <v>1.2605352572537734E-2</v>
      </c>
      <c r="R1235" s="76">
        <f t="shared" si="226"/>
        <v>666676</v>
      </c>
      <c r="S1235" s="53">
        <v>166669</v>
      </c>
      <c r="T1235" s="53">
        <v>395</v>
      </c>
      <c r="U1235" s="53">
        <v>60621</v>
      </c>
      <c r="V1235" s="76">
        <f t="shared" si="227"/>
        <v>3288.7860000000001</v>
      </c>
      <c r="W1235" s="53">
        <v>1644.393</v>
      </c>
      <c r="AM1235" s="76">
        <v>43483988</v>
      </c>
      <c r="AO1235" s="53">
        <f t="shared" si="229"/>
        <v>18263274.960000001</v>
      </c>
      <c r="AP1235" s="53">
        <f t="shared" si="229"/>
        <v>869679.76</v>
      </c>
      <c r="AQ1235" s="53">
        <f t="shared" si="229"/>
        <v>121320326.52</v>
      </c>
      <c r="AR1235" s="53">
        <f t="shared" si="228"/>
        <v>548131</v>
      </c>
      <c r="AS1235" s="53">
        <f t="shared" si="228"/>
        <v>0</v>
      </c>
      <c r="AT1235" s="53">
        <f t="shared" si="228"/>
        <v>0</v>
      </c>
      <c r="AU1235" s="53">
        <f t="shared" si="228"/>
        <v>0</v>
      </c>
      <c r="AV1235" s="53">
        <f t="shared" si="228"/>
        <v>0</v>
      </c>
      <c r="AW1235" s="53">
        <f t="shared" si="228"/>
        <v>0</v>
      </c>
      <c r="AX1235" s="53">
        <f t="shared" si="225"/>
        <v>4348398800</v>
      </c>
      <c r="AY1235" s="41" t="s">
        <v>557</v>
      </c>
    </row>
    <row r="1236" spans="1:51" x14ac:dyDescent="0.2">
      <c r="A1236" s="41" t="s">
        <v>641</v>
      </c>
      <c r="B1236" s="41">
        <v>1995</v>
      </c>
      <c r="C1236" s="41" t="s">
        <v>87</v>
      </c>
      <c r="D1236" s="41" t="s">
        <v>88</v>
      </c>
      <c r="E1236" s="41">
        <v>100</v>
      </c>
      <c r="F1236" s="41" t="s">
        <v>563</v>
      </c>
      <c r="G1236" s="53">
        <v>45521800</v>
      </c>
      <c r="H1236" s="41">
        <v>0.4</v>
      </c>
      <c r="I1236" s="46">
        <v>0.02</v>
      </c>
      <c r="J1236" s="47">
        <v>2.57</v>
      </c>
      <c r="K1236" s="42">
        <v>1.1458678406097007E-2</v>
      </c>
      <c r="R1236" s="76">
        <f t="shared" si="226"/>
        <v>630916</v>
      </c>
      <c r="S1236" s="53">
        <v>157729</v>
      </c>
      <c r="T1236" s="53">
        <v>396</v>
      </c>
      <c r="U1236" s="53">
        <v>58790</v>
      </c>
      <c r="V1236" s="76">
        <f t="shared" si="227"/>
        <v>3129.7179999999998</v>
      </c>
      <c r="W1236" s="53">
        <v>1564.8589999999999</v>
      </c>
      <c r="AM1236" s="53">
        <v>49591000</v>
      </c>
      <c r="AO1236" s="53">
        <f t="shared" si="229"/>
        <v>18208720</v>
      </c>
      <c r="AP1236" s="53">
        <f t="shared" si="229"/>
        <v>910436</v>
      </c>
      <c r="AQ1236" s="53">
        <f t="shared" si="229"/>
        <v>116991026</v>
      </c>
      <c r="AR1236" s="53">
        <f t="shared" si="228"/>
        <v>521619.66666666674</v>
      </c>
      <c r="AS1236" s="53">
        <f t="shared" si="228"/>
        <v>0</v>
      </c>
      <c r="AT1236" s="53">
        <f t="shared" si="228"/>
        <v>0</v>
      </c>
      <c r="AU1236" s="53">
        <f t="shared" si="228"/>
        <v>0</v>
      </c>
      <c r="AV1236" s="53">
        <f t="shared" si="228"/>
        <v>0</v>
      </c>
      <c r="AW1236" s="53">
        <f t="shared" si="228"/>
        <v>0</v>
      </c>
      <c r="AX1236" s="53">
        <f t="shared" si="225"/>
        <v>4552180000</v>
      </c>
      <c r="AY1236" s="41" t="s">
        <v>557</v>
      </c>
    </row>
    <row r="1237" spans="1:51" x14ac:dyDescent="0.2">
      <c r="A1237" s="41" t="s">
        <v>641</v>
      </c>
      <c r="B1237" s="41">
        <v>1996</v>
      </c>
      <c r="C1237" s="41" t="s">
        <v>87</v>
      </c>
      <c r="D1237" s="41" t="s">
        <v>88</v>
      </c>
      <c r="E1237" s="41">
        <v>100</v>
      </c>
      <c r="F1237" s="41" t="s">
        <v>563</v>
      </c>
      <c r="G1237" s="53">
        <v>42620000</v>
      </c>
      <c r="H1237" s="41">
        <v>0.39600000000000002</v>
      </c>
      <c r="I1237" s="46">
        <v>8.4645706241201317E-3</v>
      </c>
      <c r="J1237" s="47">
        <v>1.313467855466917</v>
      </c>
      <c r="K1237" s="42">
        <v>1.0454716095729705E-2</v>
      </c>
      <c r="R1237" s="76">
        <f t="shared" si="226"/>
        <v>615691.92960000003</v>
      </c>
      <c r="S1237" s="53">
        <v>153922.98240000001</v>
      </c>
      <c r="T1237" s="53">
        <v>360.76</v>
      </c>
      <c r="U1237" s="53">
        <v>55980</v>
      </c>
      <c r="V1237" s="76">
        <f t="shared" si="227"/>
        <v>2673.48</v>
      </c>
      <c r="W1237" s="53">
        <v>1336.74</v>
      </c>
      <c r="AM1237" s="53">
        <v>47762000</v>
      </c>
      <c r="AO1237" s="53">
        <f t="shared" si="229"/>
        <v>16877520</v>
      </c>
      <c r="AP1237" s="53">
        <f t="shared" si="229"/>
        <v>360760</v>
      </c>
      <c r="AQ1237" s="53">
        <f t="shared" si="229"/>
        <v>55980000</v>
      </c>
      <c r="AR1237" s="53">
        <f t="shared" si="228"/>
        <v>445580</v>
      </c>
      <c r="AS1237" s="53">
        <f t="shared" si="228"/>
        <v>0</v>
      </c>
      <c r="AT1237" s="53">
        <f t="shared" si="228"/>
        <v>0</v>
      </c>
      <c r="AU1237" s="53">
        <f t="shared" si="228"/>
        <v>0</v>
      </c>
      <c r="AV1237" s="53">
        <f t="shared" si="228"/>
        <v>0</v>
      </c>
      <c r="AW1237" s="53">
        <f t="shared" si="228"/>
        <v>0</v>
      </c>
      <c r="AX1237" s="53">
        <f t="shared" si="225"/>
        <v>4262000000</v>
      </c>
      <c r="AY1237" s="41" t="s">
        <v>557</v>
      </c>
    </row>
    <row r="1238" spans="1:51" x14ac:dyDescent="0.2">
      <c r="A1238" s="41" t="s">
        <v>641</v>
      </c>
      <c r="B1238" s="41">
        <v>1997</v>
      </c>
      <c r="C1238" s="41" t="s">
        <v>87</v>
      </c>
      <c r="D1238" s="41" t="s">
        <v>88</v>
      </c>
      <c r="E1238" s="41">
        <v>100</v>
      </c>
      <c r="F1238" s="41" t="s">
        <v>563</v>
      </c>
      <c r="G1238" s="53">
        <v>44966000</v>
      </c>
      <c r="H1238" s="41">
        <v>0.39400000000000002</v>
      </c>
      <c r="I1238" s="46">
        <v>8.7145843526219811E-3</v>
      </c>
      <c r="J1238" s="47">
        <v>1.3141039896810924</v>
      </c>
      <c r="K1238" s="42">
        <v>1.2431548280923365E-2</v>
      </c>
      <c r="R1238" s="76">
        <f t="shared" si="226"/>
        <v>649136.37056000007</v>
      </c>
      <c r="S1238" s="53">
        <v>162284.09264000002</v>
      </c>
      <c r="T1238" s="53">
        <v>391.86</v>
      </c>
      <c r="U1238" s="53">
        <v>59090</v>
      </c>
      <c r="V1238" s="76">
        <f t="shared" si="227"/>
        <v>3353.982</v>
      </c>
      <c r="W1238" s="53">
        <v>1676.991</v>
      </c>
      <c r="AM1238" s="53">
        <v>47172000</v>
      </c>
      <c r="AO1238" s="53">
        <f t="shared" si="229"/>
        <v>17716604</v>
      </c>
      <c r="AP1238" s="53">
        <f t="shared" si="229"/>
        <v>391860</v>
      </c>
      <c r="AQ1238" s="53">
        <f t="shared" si="229"/>
        <v>59090000</v>
      </c>
      <c r="AR1238" s="53">
        <f t="shared" si="228"/>
        <v>558997</v>
      </c>
      <c r="AS1238" s="53">
        <f t="shared" si="228"/>
        <v>0</v>
      </c>
      <c r="AT1238" s="53">
        <f t="shared" si="228"/>
        <v>0</v>
      </c>
      <c r="AU1238" s="53">
        <f t="shared" si="228"/>
        <v>0</v>
      </c>
      <c r="AV1238" s="53">
        <f t="shared" si="228"/>
        <v>0</v>
      </c>
      <c r="AW1238" s="53">
        <f t="shared" si="228"/>
        <v>0</v>
      </c>
      <c r="AX1238" s="53">
        <f t="shared" si="225"/>
        <v>4496600000</v>
      </c>
      <c r="AY1238" s="41" t="s">
        <v>557</v>
      </c>
    </row>
    <row r="1239" spans="1:51" x14ac:dyDescent="0.2">
      <c r="A1239" s="41" t="s">
        <v>641</v>
      </c>
      <c r="B1239" s="41">
        <v>1998</v>
      </c>
      <c r="C1239" s="41" t="s">
        <v>87</v>
      </c>
      <c r="D1239" s="41" t="s">
        <v>88</v>
      </c>
      <c r="E1239" s="41">
        <v>100</v>
      </c>
      <c r="F1239" s="41" t="s">
        <v>563</v>
      </c>
      <c r="G1239" s="53">
        <v>48964000</v>
      </c>
      <c r="H1239" s="41">
        <v>0.39300000000000002</v>
      </c>
      <c r="I1239" s="46">
        <v>8.9557634180214042E-3</v>
      </c>
      <c r="J1239" s="47">
        <v>1.3338371048116984</v>
      </c>
      <c r="K1239" s="42">
        <v>1.6161533643765488E-2</v>
      </c>
      <c r="R1239" s="76">
        <f t="shared" si="226"/>
        <v>689663.81568</v>
      </c>
      <c r="S1239" s="53">
        <v>172415.95392</v>
      </c>
      <c r="T1239" s="53">
        <v>438.51</v>
      </c>
      <c r="U1239" s="53">
        <v>65310</v>
      </c>
      <c r="V1239" s="76">
        <f t="shared" si="227"/>
        <v>4748</v>
      </c>
      <c r="W1239" s="53">
        <v>2374</v>
      </c>
      <c r="AM1239" s="53">
        <v>49457000</v>
      </c>
      <c r="AO1239" s="53">
        <f t="shared" si="229"/>
        <v>19242852</v>
      </c>
      <c r="AP1239" s="53">
        <f t="shared" si="229"/>
        <v>438510.00000000006</v>
      </c>
      <c r="AQ1239" s="53">
        <f t="shared" si="229"/>
        <v>65310000</v>
      </c>
      <c r="AR1239" s="53">
        <f t="shared" si="228"/>
        <v>791333.33333333337</v>
      </c>
      <c r="AS1239" s="53">
        <f t="shared" si="228"/>
        <v>0</v>
      </c>
      <c r="AT1239" s="53">
        <f t="shared" si="228"/>
        <v>0</v>
      </c>
      <c r="AU1239" s="53">
        <f t="shared" si="228"/>
        <v>0</v>
      </c>
      <c r="AV1239" s="53">
        <f t="shared" si="228"/>
        <v>0</v>
      </c>
      <c r="AW1239" s="53">
        <f t="shared" si="228"/>
        <v>0</v>
      </c>
      <c r="AX1239" s="53">
        <f t="shared" si="225"/>
        <v>4896400000</v>
      </c>
      <c r="AY1239" s="41" t="s">
        <v>557</v>
      </c>
    </row>
    <row r="1240" spans="1:51" x14ac:dyDescent="0.2">
      <c r="A1240" s="41" t="s">
        <v>641</v>
      </c>
      <c r="B1240" s="41">
        <v>1999</v>
      </c>
      <c r="C1240" s="41" t="s">
        <v>87</v>
      </c>
      <c r="D1240" s="41" t="s">
        <v>88</v>
      </c>
      <c r="E1240" s="41">
        <v>100</v>
      </c>
      <c r="F1240" s="41" t="s">
        <v>563</v>
      </c>
      <c r="G1240" s="53">
        <v>30165000</v>
      </c>
      <c r="H1240" s="41">
        <v>0.40500000000000003</v>
      </c>
      <c r="I1240" s="46">
        <v>9.5882645450024867E-3</v>
      </c>
      <c r="J1240" s="47">
        <v>1.3402950439250787</v>
      </c>
      <c r="K1240" s="42">
        <v>1.5538436108634861E-2</v>
      </c>
      <c r="R1240" s="76">
        <f t="shared" si="226"/>
        <v>438828.35400000005</v>
      </c>
      <c r="S1240" s="53">
        <v>109707.08850000001</v>
      </c>
      <c r="T1240" s="53">
        <v>289.23</v>
      </c>
      <c r="U1240" s="53">
        <v>40430</v>
      </c>
      <c r="V1240" s="76">
        <f t="shared" si="227"/>
        <v>2812.3015513018236</v>
      </c>
      <c r="W1240" s="53">
        <v>1406.1507756509118</v>
      </c>
      <c r="AM1240" s="53">
        <v>27138000</v>
      </c>
      <c r="AO1240" s="53">
        <f t="shared" si="229"/>
        <v>12216825</v>
      </c>
      <c r="AP1240" s="53">
        <f t="shared" si="229"/>
        <v>289230</v>
      </c>
      <c r="AQ1240" s="53">
        <f t="shared" si="229"/>
        <v>40430000</v>
      </c>
      <c r="AR1240" s="53">
        <f t="shared" si="228"/>
        <v>468716.92521697056</v>
      </c>
      <c r="AS1240" s="53">
        <f t="shared" si="228"/>
        <v>0</v>
      </c>
      <c r="AT1240" s="53">
        <f t="shared" si="228"/>
        <v>0</v>
      </c>
      <c r="AU1240" s="53">
        <f t="shared" si="228"/>
        <v>0</v>
      </c>
      <c r="AV1240" s="53">
        <f t="shared" si="228"/>
        <v>0</v>
      </c>
      <c r="AW1240" s="53">
        <f t="shared" si="228"/>
        <v>0</v>
      </c>
      <c r="AX1240" s="53">
        <f t="shared" si="225"/>
        <v>3016500000</v>
      </c>
      <c r="AY1240" s="41" t="s">
        <v>557</v>
      </c>
    </row>
    <row r="1241" spans="1:51" x14ac:dyDescent="0.2">
      <c r="A1241" s="41" t="s">
        <v>641</v>
      </c>
      <c r="B1241" s="41">
        <v>2000</v>
      </c>
      <c r="C1241" s="41" t="s">
        <v>87</v>
      </c>
      <c r="D1241" s="41" t="s">
        <v>88</v>
      </c>
      <c r="E1241" s="41">
        <v>100</v>
      </c>
      <c r="F1241" s="41" t="s">
        <v>563</v>
      </c>
      <c r="G1241" s="53">
        <v>49694000</v>
      </c>
      <c r="H1241" s="41">
        <v>0.42599999999999999</v>
      </c>
      <c r="I1241" s="46">
        <v>1.0013281281442427E-2</v>
      </c>
      <c r="J1241" s="47">
        <v>1.4394091842073489</v>
      </c>
      <c r="K1241" s="42">
        <v>1.3387443872335276E-2</v>
      </c>
      <c r="R1241" s="76">
        <f t="shared" si="226"/>
        <v>762953.96976000001</v>
      </c>
      <c r="S1241" s="53">
        <v>190738.49244</v>
      </c>
      <c r="T1241" s="53">
        <v>497.6</v>
      </c>
      <c r="U1241" s="53">
        <v>71530</v>
      </c>
      <c r="V1241" s="76">
        <f t="shared" si="227"/>
        <v>3991.6538147509755</v>
      </c>
      <c r="W1241" s="53">
        <v>1995.8269073754877</v>
      </c>
      <c r="AM1241" s="53">
        <v>35318000</v>
      </c>
      <c r="AO1241" s="53">
        <f t="shared" si="229"/>
        <v>21169644</v>
      </c>
      <c r="AP1241" s="53">
        <f t="shared" si="229"/>
        <v>497600</v>
      </c>
      <c r="AQ1241" s="53">
        <f t="shared" si="229"/>
        <v>71530000</v>
      </c>
      <c r="AR1241" s="53">
        <f t="shared" si="228"/>
        <v>665275.63579182921</v>
      </c>
      <c r="AS1241" s="53">
        <f t="shared" si="228"/>
        <v>0</v>
      </c>
      <c r="AT1241" s="53">
        <f t="shared" si="228"/>
        <v>0</v>
      </c>
      <c r="AU1241" s="53">
        <f t="shared" si="228"/>
        <v>0</v>
      </c>
      <c r="AV1241" s="53">
        <f t="shared" si="228"/>
        <v>0</v>
      </c>
      <c r="AW1241" s="53">
        <f t="shared" si="228"/>
        <v>0</v>
      </c>
      <c r="AX1241" s="53">
        <f t="shared" si="225"/>
        <v>4969400000</v>
      </c>
      <c r="AY1241" s="41" t="s">
        <v>557</v>
      </c>
    </row>
    <row r="1242" spans="1:51" x14ac:dyDescent="0.2">
      <c r="A1242" s="41" t="s">
        <v>641</v>
      </c>
      <c r="B1242" s="41">
        <v>2001</v>
      </c>
      <c r="C1242" s="41" t="s">
        <v>87</v>
      </c>
      <c r="D1242" s="41" t="s">
        <v>88</v>
      </c>
      <c r="E1242" s="41">
        <v>100</v>
      </c>
      <c r="F1242" s="41" t="s">
        <v>563</v>
      </c>
      <c r="G1242" s="53">
        <v>48892000</v>
      </c>
      <c r="H1242" s="41">
        <v>0.42699999999999999</v>
      </c>
      <c r="I1242" s="46">
        <v>8.9053423873026259E-3</v>
      </c>
      <c r="J1242" s="47">
        <v>1.335801358095394</v>
      </c>
      <c r="K1242" s="42">
        <v>1.261828792713191E-2</v>
      </c>
      <c r="R1242" s="76">
        <f t="shared" si="226"/>
        <v>746400</v>
      </c>
      <c r="S1242" s="53">
        <v>186600</v>
      </c>
      <c r="T1242" s="53">
        <v>435.4</v>
      </c>
      <c r="U1242" s="53">
        <v>65310</v>
      </c>
      <c r="V1242" s="76">
        <f t="shared" si="227"/>
        <v>3701.6</v>
      </c>
      <c r="W1242" s="53">
        <v>1850.8</v>
      </c>
      <c r="AM1242" s="53">
        <v>29994000</v>
      </c>
      <c r="AO1242" s="53">
        <f t="shared" si="229"/>
        <v>20876884</v>
      </c>
      <c r="AP1242" s="53">
        <f t="shared" si="229"/>
        <v>435400</v>
      </c>
      <c r="AQ1242" s="53">
        <f t="shared" si="229"/>
        <v>65310000.000000007</v>
      </c>
      <c r="AR1242" s="53">
        <f t="shared" si="228"/>
        <v>616933.33333333337</v>
      </c>
      <c r="AS1242" s="53">
        <f t="shared" si="228"/>
        <v>0</v>
      </c>
      <c r="AT1242" s="53">
        <f t="shared" si="228"/>
        <v>0</v>
      </c>
      <c r="AU1242" s="53">
        <f t="shared" si="228"/>
        <v>0</v>
      </c>
      <c r="AV1242" s="53">
        <f t="shared" si="228"/>
        <v>0</v>
      </c>
      <c r="AW1242" s="53">
        <f t="shared" si="228"/>
        <v>0</v>
      </c>
      <c r="AX1242" s="53">
        <f t="shared" si="225"/>
        <v>4889200000</v>
      </c>
      <c r="AY1242" s="41" t="s">
        <v>557</v>
      </c>
    </row>
    <row r="1243" spans="1:51" x14ac:dyDescent="0.2">
      <c r="A1243" s="41" t="s">
        <v>641</v>
      </c>
      <c r="B1243" s="41">
        <v>2002</v>
      </c>
      <c r="C1243" s="41" t="s">
        <v>87</v>
      </c>
      <c r="D1243" s="41" t="s">
        <v>88</v>
      </c>
      <c r="E1243" s="41">
        <v>100</v>
      </c>
      <c r="F1243" s="41" t="s">
        <v>563</v>
      </c>
      <c r="G1243" s="53">
        <v>49868000</v>
      </c>
      <c r="H1243" s="41">
        <v>0.41</v>
      </c>
      <c r="I1243" s="46">
        <v>8.980508542552338E-3</v>
      </c>
      <c r="J1243" s="47">
        <v>1.2472928531322691</v>
      </c>
      <c r="K1243" s="42">
        <v>1.6372556883505789E-2</v>
      </c>
      <c r="R1243" s="76">
        <f t="shared" si="226"/>
        <v>725200</v>
      </c>
      <c r="S1243" s="53">
        <v>181300</v>
      </c>
      <c r="T1243" s="53">
        <v>447.84</v>
      </c>
      <c r="U1243" s="53">
        <v>62200</v>
      </c>
      <c r="V1243" s="76">
        <f t="shared" si="227"/>
        <v>4898.8</v>
      </c>
      <c r="W1243" s="53">
        <v>2449.4</v>
      </c>
      <c r="AM1243" s="53">
        <v>26114000</v>
      </c>
      <c r="AO1243" s="53">
        <f t="shared" si="229"/>
        <v>20445880</v>
      </c>
      <c r="AP1243" s="53">
        <f t="shared" si="229"/>
        <v>447840</v>
      </c>
      <c r="AQ1243" s="53">
        <f t="shared" si="229"/>
        <v>62200000</v>
      </c>
      <c r="AR1243" s="53">
        <f t="shared" si="228"/>
        <v>816466.66666666674</v>
      </c>
      <c r="AS1243" s="53">
        <f t="shared" si="228"/>
        <v>0</v>
      </c>
      <c r="AT1243" s="53">
        <f t="shared" si="228"/>
        <v>0</v>
      </c>
      <c r="AU1243" s="53">
        <f t="shared" si="228"/>
        <v>0</v>
      </c>
      <c r="AV1243" s="53">
        <f t="shared" si="228"/>
        <v>0</v>
      </c>
      <c r="AW1243" s="53">
        <f t="shared" si="228"/>
        <v>0</v>
      </c>
      <c r="AX1243" s="53">
        <f t="shared" si="225"/>
        <v>4986800000</v>
      </c>
      <c r="AY1243" s="41" t="s">
        <v>557</v>
      </c>
    </row>
    <row r="1244" spans="1:51" x14ac:dyDescent="0.2">
      <c r="A1244" s="41" t="s">
        <v>641</v>
      </c>
      <c r="B1244" s="41">
        <v>2003</v>
      </c>
      <c r="C1244" s="41" t="s">
        <v>87</v>
      </c>
      <c r="D1244" s="41" t="s">
        <v>88</v>
      </c>
      <c r="E1244" s="41">
        <v>100</v>
      </c>
      <c r="F1244" s="41" t="s">
        <v>563</v>
      </c>
      <c r="G1244" s="53">
        <v>49030000</v>
      </c>
      <c r="H1244" s="41">
        <v>0.39300000000000002</v>
      </c>
      <c r="I1244" s="46">
        <v>8.1402542660955878E-3</v>
      </c>
      <c r="J1244" s="47">
        <v>1.2</v>
      </c>
      <c r="K1244" s="42">
        <v>2.2511550751240741E-2</v>
      </c>
      <c r="R1244" s="76">
        <f t="shared" si="226"/>
        <v>681600</v>
      </c>
      <c r="S1244" s="53">
        <v>170400</v>
      </c>
      <c r="T1244" s="53">
        <v>399.11666666666667</v>
      </c>
      <c r="U1244" s="53">
        <v>58836</v>
      </c>
      <c r="V1244" s="76">
        <f t="shared" si="227"/>
        <v>6622.4480000000003</v>
      </c>
      <c r="W1244" s="53">
        <v>3311.2240000000002</v>
      </c>
      <c r="AM1244" s="53">
        <v>18464000</v>
      </c>
      <c r="AO1244" s="53">
        <f t="shared" si="229"/>
        <v>19268790</v>
      </c>
      <c r="AP1244" s="53">
        <f t="shared" si="229"/>
        <v>399116.66666666669</v>
      </c>
      <c r="AQ1244" s="53">
        <f t="shared" si="229"/>
        <v>58836000</v>
      </c>
      <c r="AR1244" s="53">
        <f t="shared" si="228"/>
        <v>1103741.3333333335</v>
      </c>
      <c r="AS1244" s="53">
        <f t="shared" si="228"/>
        <v>0</v>
      </c>
      <c r="AT1244" s="53">
        <f t="shared" si="228"/>
        <v>0</v>
      </c>
      <c r="AU1244" s="53">
        <f t="shared" si="228"/>
        <v>0</v>
      </c>
      <c r="AV1244" s="53">
        <f t="shared" si="228"/>
        <v>0</v>
      </c>
      <c r="AW1244" s="53">
        <f t="shared" si="228"/>
        <v>0</v>
      </c>
      <c r="AX1244" s="53">
        <f t="shared" si="225"/>
        <v>4903000000</v>
      </c>
      <c r="AY1244" s="41" t="s">
        <v>557</v>
      </c>
    </row>
    <row r="1245" spans="1:51" x14ac:dyDescent="0.2">
      <c r="A1245" s="41" t="s">
        <v>641</v>
      </c>
      <c r="B1245" s="41">
        <v>2004</v>
      </c>
      <c r="C1245" s="41" t="s">
        <v>87</v>
      </c>
      <c r="D1245" s="41" t="s">
        <v>88</v>
      </c>
      <c r="E1245" s="41">
        <v>100</v>
      </c>
      <c r="F1245" s="41" t="s">
        <v>563</v>
      </c>
      <c r="G1245" s="53">
        <v>50623000</v>
      </c>
      <c r="H1245" s="41">
        <v>0.38400000000000001</v>
      </c>
      <c r="I1245" s="46">
        <v>8.8213678083895186E-3</v>
      </c>
      <c r="J1245" s="47">
        <v>1.2</v>
      </c>
      <c r="K1245" s="42">
        <v>3.1958055956120078E-2</v>
      </c>
      <c r="R1245" s="76">
        <f t="shared" si="226"/>
        <v>681200</v>
      </c>
      <c r="S1245" s="53">
        <v>170300</v>
      </c>
      <c r="T1245" s="53">
        <v>446.56410256410254</v>
      </c>
      <c r="U1245" s="53">
        <v>60747.6</v>
      </c>
      <c r="V1245" s="76">
        <f t="shared" si="227"/>
        <v>9706.8760000000002</v>
      </c>
      <c r="W1245" s="53">
        <v>4853.4380000000001</v>
      </c>
      <c r="AM1245" s="53">
        <v>15214000</v>
      </c>
      <c r="AO1245" s="53">
        <f t="shared" si="229"/>
        <v>19439232</v>
      </c>
      <c r="AP1245" s="53">
        <f t="shared" si="229"/>
        <v>446564.10256410262</v>
      </c>
      <c r="AQ1245" s="53">
        <f t="shared" si="229"/>
        <v>60747600</v>
      </c>
      <c r="AR1245" s="53">
        <f t="shared" si="228"/>
        <v>1617812.6666666667</v>
      </c>
      <c r="AS1245" s="53">
        <f t="shared" si="228"/>
        <v>0</v>
      </c>
      <c r="AT1245" s="53">
        <f t="shared" si="228"/>
        <v>0</v>
      </c>
      <c r="AU1245" s="53">
        <f t="shared" si="228"/>
        <v>0</v>
      </c>
      <c r="AV1245" s="53">
        <f t="shared" si="228"/>
        <v>0</v>
      </c>
      <c r="AW1245" s="53">
        <f t="shared" si="228"/>
        <v>0</v>
      </c>
      <c r="AX1245" s="53">
        <f t="shared" si="225"/>
        <v>5062300000</v>
      </c>
      <c r="AY1245" s="41" t="s">
        <v>557</v>
      </c>
    </row>
    <row r="1246" spans="1:51" x14ac:dyDescent="0.2">
      <c r="A1246" s="41" t="s">
        <v>641</v>
      </c>
      <c r="B1246" s="41">
        <v>2005</v>
      </c>
      <c r="C1246" s="41" t="s">
        <v>87</v>
      </c>
      <c r="D1246" s="41" t="s">
        <v>88</v>
      </c>
      <c r="E1246" s="41">
        <v>100</v>
      </c>
      <c r="F1246" s="41" t="s">
        <v>563</v>
      </c>
      <c r="G1246" s="53">
        <v>50666000</v>
      </c>
      <c r="H1246" s="41">
        <v>0.39800000000000002</v>
      </c>
      <c r="I1246" s="46">
        <v>8.0000000000000002E-3</v>
      </c>
      <c r="J1246" s="47">
        <v>1.2</v>
      </c>
      <c r="K1246" s="42">
        <v>1.8800457900761854E-2</v>
      </c>
      <c r="R1246" s="76">
        <f t="shared" si="226"/>
        <v>716000</v>
      </c>
      <c r="S1246" s="53">
        <v>179000</v>
      </c>
      <c r="T1246" s="53">
        <v>405.32799999999997</v>
      </c>
      <c r="U1246" s="53">
        <v>60799.199999999997</v>
      </c>
      <c r="V1246" s="76">
        <f t="shared" si="227"/>
        <v>5715.2640000000001</v>
      </c>
      <c r="W1246" s="53">
        <v>2857.6320000000001</v>
      </c>
      <c r="AM1246" s="53">
        <v>17733100</v>
      </c>
      <c r="AO1246" s="53">
        <f t="shared" si="229"/>
        <v>20165068</v>
      </c>
      <c r="AP1246" s="53">
        <f t="shared" si="229"/>
        <v>405328</v>
      </c>
      <c r="AQ1246" s="53">
        <f t="shared" si="229"/>
        <v>60799200</v>
      </c>
      <c r="AR1246" s="53">
        <f t="shared" si="228"/>
        <v>952544.00000000012</v>
      </c>
      <c r="AS1246" s="53">
        <f t="shared" si="228"/>
        <v>0</v>
      </c>
      <c r="AT1246" s="53">
        <f t="shared" si="228"/>
        <v>0</v>
      </c>
      <c r="AU1246" s="53">
        <f t="shared" si="228"/>
        <v>0</v>
      </c>
      <c r="AV1246" s="53">
        <f t="shared" si="228"/>
        <v>0</v>
      </c>
      <c r="AW1246" s="53">
        <f t="shared" si="228"/>
        <v>0</v>
      </c>
      <c r="AX1246" s="53">
        <f t="shared" si="225"/>
        <v>5066600000</v>
      </c>
      <c r="AY1246" s="41" t="s">
        <v>557</v>
      </c>
    </row>
    <row r="1247" spans="1:51" x14ac:dyDescent="0.2">
      <c r="A1247" s="41" t="s">
        <v>641</v>
      </c>
      <c r="B1247" s="41">
        <v>2006</v>
      </c>
      <c r="C1247" s="41" t="s">
        <v>87</v>
      </c>
      <c r="D1247" s="41" t="s">
        <v>88</v>
      </c>
      <c r="E1247" s="41">
        <v>100</v>
      </c>
      <c r="F1247" s="41" t="s">
        <v>563</v>
      </c>
      <c r="G1247" s="53">
        <v>45356000</v>
      </c>
      <c r="H1247" s="41">
        <v>0.41199999999999998</v>
      </c>
      <c r="I1247" s="46">
        <v>8.0000000000000002E-3</v>
      </c>
      <c r="J1247" s="47">
        <v>1.2</v>
      </c>
      <c r="K1247" s="42">
        <v>1.3757826968868509E-2</v>
      </c>
      <c r="R1247" s="76">
        <f t="shared" si="226"/>
        <v>685200</v>
      </c>
      <c r="S1247" s="53">
        <v>171300</v>
      </c>
      <c r="T1247" s="53">
        <v>362.84800000000001</v>
      </c>
      <c r="U1247" s="53">
        <v>54427.199999999997</v>
      </c>
      <c r="V1247" s="76">
        <f t="shared" si="227"/>
        <v>3744</v>
      </c>
      <c r="W1247" s="53">
        <v>1872</v>
      </c>
      <c r="AM1247" s="53">
        <v>14905000</v>
      </c>
      <c r="AO1247" s="53">
        <f t="shared" si="229"/>
        <v>18686672</v>
      </c>
      <c r="AP1247" s="53">
        <f t="shared" si="229"/>
        <v>362848</v>
      </c>
      <c r="AQ1247" s="53">
        <f t="shared" si="229"/>
        <v>54427200</v>
      </c>
      <c r="AR1247" s="53">
        <f t="shared" si="228"/>
        <v>624000.00000000012</v>
      </c>
      <c r="AS1247" s="53">
        <f t="shared" si="228"/>
        <v>0</v>
      </c>
      <c r="AT1247" s="53">
        <f t="shared" si="228"/>
        <v>0</v>
      </c>
      <c r="AU1247" s="53">
        <f t="shared" si="228"/>
        <v>0</v>
      </c>
      <c r="AV1247" s="53">
        <f t="shared" si="228"/>
        <v>0</v>
      </c>
      <c r="AW1247" s="53">
        <f t="shared" si="228"/>
        <v>0</v>
      </c>
      <c r="AX1247" s="53">
        <f t="shared" si="225"/>
        <v>4535600000</v>
      </c>
      <c r="AY1247" s="41" t="s">
        <v>557</v>
      </c>
    </row>
    <row r="1248" spans="1:51" x14ac:dyDescent="0.2">
      <c r="A1248" s="41" t="s">
        <v>641</v>
      </c>
      <c r="B1248" s="41">
        <v>2007</v>
      </c>
      <c r="C1248" s="41" t="s">
        <v>87</v>
      </c>
      <c r="D1248" s="41" t="s">
        <v>88</v>
      </c>
      <c r="E1248" s="41">
        <v>100</v>
      </c>
      <c r="F1248" s="41" t="s">
        <v>563</v>
      </c>
      <c r="G1248" s="53">
        <v>42593000</v>
      </c>
      <c r="H1248" s="41">
        <v>0.37</v>
      </c>
      <c r="I1248" s="46">
        <v>8.0000000000000002E-3</v>
      </c>
      <c r="J1248" s="47">
        <v>1.2</v>
      </c>
      <c r="K1248" s="42">
        <v>1.4446818334781146E-2</v>
      </c>
      <c r="R1248" s="76">
        <f t="shared" si="226"/>
        <v>558000</v>
      </c>
      <c r="S1248" s="53">
        <v>139500</v>
      </c>
      <c r="T1248" s="53">
        <v>340.74400000000003</v>
      </c>
      <c r="U1248" s="53">
        <v>51111.6</v>
      </c>
      <c r="V1248" s="76">
        <f t="shared" si="227"/>
        <v>3692</v>
      </c>
      <c r="W1248" s="53">
        <v>1846</v>
      </c>
      <c r="AM1248" s="53">
        <v>27901000</v>
      </c>
      <c r="AO1248" s="53">
        <f t="shared" si="229"/>
        <v>15759410</v>
      </c>
      <c r="AP1248" s="53">
        <f t="shared" si="229"/>
        <v>340744</v>
      </c>
      <c r="AQ1248" s="53">
        <f t="shared" si="229"/>
        <v>51111600</v>
      </c>
      <c r="AR1248" s="53">
        <f t="shared" si="228"/>
        <v>615333.33333333337</v>
      </c>
      <c r="AS1248" s="53">
        <f t="shared" si="228"/>
        <v>0</v>
      </c>
      <c r="AT1248" s="53">
        <f t="shared" si="228"/>
        <v>0</v>
      </c>
      <c r="AU1248" s="53">
        <f t="shared" si="228"/>
        <v>0</v>
      </c>
      <c r="AV1248" s="53">
        <f t="shared" si="228"/>
        <v>0</v>
      </c>
      <c r="AW1248" s="53">
        <f t="shared" si="228"/>
        <v>0</v>
      </c>
      <c r="AX1248" s="53">
        <f t="shared" si="225"/>
        <v>4259300000</v>
      </c>
      <c r="AY1248" s="41" t="s">
        <v>557</v>
      </c>
    </row>
    <row r="1249" spans="1:51" x14ac:dyDescent="0.2">
      <c r="A1249" s="41" t="s">
        <v>641</v>
      </c>
      <c r="B1249" s="41">
        <v>2008</v>
      </c>
      <c r="C1249" s="41" t="s">
        <v>87</v>
      </c>
      <c r="D1249" s="41" t="s">
        <v>88</v>
      </c>
      <c r="E1249" s="41">
        <v>100</v>
      </c>
      <c r="F1249" s="41" t="s">
        <v>563</v>
      </c>
      <c r="G1249" s="53">
        <v>44888000</v>
      </c>
      <c r="H1249" s="41">
        <v>0.32</v>
      </c>
      <c r="I1249" s="46">
        <v>8.0000000000000002E-3</v>
      </c>
      <c r="J1249" s="47">
        <v>1.2</v>
      </c>
      <c r="K1249" s="42">
        <v>1.4324541080021388E-2</v>
      </c>
      <c r="R1249" s="76">
        <f t="shared" si="226"/>
        <v>477200</v>
      </c>
      <c r="S1249" s="53">
        <v>119300</v>
      </c>
      <c r="T1249" s="53">
        <v>359.10399999999998</v>
      </c>
      <c r="U1249" s="53">
        <v>53865.599999999999</v>
      </c>
      <c r="V1249" s="76">
        <f t="shared" si="227"/>
        <v>3858</v>
      </c>
      <c r="W1249" s="53">
        <v>1929</v>
      </c>
      <c r="AM1249" s="53">
        <v>33666000</v>
      </c>
      <c r="AO1249" s="53">
        <f t="shared" si="229"/>
        <v>14364160</v>
      </c>
      <c r="AP1249" s="53">
        <f t="shared" si="229"/>
        <v>359104</v>
      </c>
      <c r="AQ1249" s="53">
        <f t="shared" si="229"/>
        <v>53865600</v>
      </c>
      <c r="AR1249" s="53">
        <f t="shared" si="228"/>
        <v>643000.00000000012</v>
      </c>
      <c r="AS1249" s="53">
        <f t="shared" si="228"/>
        <v>0</v>
      </c>
      <c r="AT1249" s="53">
        <f t="shared" si="228"/>
        <v>0</v>
      </c>
      <c r="AU1249" s="53">
        <f t="shared" si="228"/>
        <v>0</v>
      </c>
      <c r="AV1249" s="53">
        <f t="shared" si="228"/>
        <v>0</v>
      </c>
      <c r="AW1249" s="53">
        <f t="shared" si="228"/>
        <v>0</v>
      </c>
      <c r="AX1249" s="53">
        <f t="shared" si="225"/>
        <v>4488800000</v>
      </c>
      <c r="AY1249" s="41" t="s">
        <v>557</v>
      </c>
    </row>
    <row r="1250" spans="1:51" x14ac:dyDescent="0.2">
      <c r="A1250" s="41" t="s">
        <v>641</v>
      </c>
      <c r="B1250" s="41">
        <v>2009</v>
      </c>
      <c r="C1250" s="41" t="s">
        <v>87</v>
      </c>
      <c r="D1250" s="41" t="s">
        <v>88</v>
      </c>
      <c r="E1250" s="41">
        <v>100</v>
      </c>
      <c r="F1250" s="41" t="s">
        <v>563</v>
      </c>
      <c r="G1250" s="53">
        <v>42888000</v>
      </c>
      <c r="H1250" s="41">
        <v>0.32</v>
      </c>
      <c r="I1250" s="46">
        <v>8.0000000000000002E-3</v>
      </c>
      <c r="J1250" s="47">
        <v>1.2</v>
      </c>
      <c r="K1250" s="42">
        <v>2.3316545420630479E-2</v>
      </c>
      <c r="R1250" s="76">
        <f t="shared" si="226"/>
        <v>472800</v>
      </c>
      <c r="S1250" s="53">
        <v>118200</v>
      </c>
      <c r="T1250" s="53">
        <v>343.10399999999998</v>
      </c>
      <c r="U1250" s="53">
        <v>51465.599999999999</v>
      </c>
      <c r="V1250" s="76">
        <f t="shared" si="227"/>
        <v>6000</v>
      </c>
      <c r="W1250" s="53">
        <v>3000</v>
      </c>
      <c r="AM1250" s="53">
        <v>32166000</v>
      </c>
      <c r="AO1250" s="53">
        <f t="shared" si="229"/>
        <v>13724160</v>
      </c>
      <c r="AP1250" s="53">
        <f t="shared" si="229"/>
        <v>343104</v>
      </c>
      <c r="AQ1250" s="53">
        <f t="shared" si="229"/>
        <v>51465600</v>
      </c>
      <c r="AR1250" s="53">
        <f t="shared" si="228"/>
        <v>1000000</v>
      </c>
      <c r="AS1250" s="53">
        <f t="shared" si="228"/>
        <v>0</v>
      </c>
      <c r="AT1250" s="53">
        <f t="shared" si="228"/>
        <v>0</v>
      </c>
      <c r="AU1250" s="53">
        <f t="shared" si="228"/>
        <v>0</v>
      </c>
      <c r="AV1250" s="53">
        <f t="shared" si="228"/>
        <v>0</v>
      </c>
      <c r="AW1250" s="53">
        <f t="shared" si="228"/>
        <v>0</v>
      </c>
      <c r="AX1250" s="53">
        <f t="shared" si="225"/>
        <v>4288800000</v>
      </c>
      <c r="AY1250" s="41" t="s">
        <v>557</v>
      </c>
    </row>
    <row r="1251" spans="1:51" x14ac:dyDescent="0.2">
      <c r="A1251" s="41" t="s">
        <v>641</v>
      </c>
      <c r="B1251" s="41">
        <v>2010</v>
      </c>
      <c r="C1251" s="41" t="s">
        <v>87</v>
      </c>
      <c r="D1251" s="41" t="s">
        <v>88</v>
      </c>
      <c r="E1251" s="41">
        <v>100</v>
      </c>
      <c r="F1251" s="41" t="s">
        <v>563</v>
      </c>
      <c r="G1251" s="53">
        <v>42488000</v>
      </c>
      <c r="H1251" s="41">
        <v>0.27</v>
      </c>
      <c r="I1251" s="46">
        <v>8.0000000000000002E-3</v>
      </c>
      <c r="J1251" s="47">
        <v>1.2</v>
      </c>
      <c r="K1251" s="42">
        <v>2.4554536719264164E-2</v>
      </c>
      <c r="R1251" s="76">
        <f t="shared" si="226"/>
        <v>394000</v>
      </c>
      <c r="S1251" s="53">
        <v>98500</v>
      </c>
      <c r="T1251" s="53">
        <v>339.904</v>
      </c>
      <c r="U1251" s="53">
        <v>50985.599999999999</v>
      </c>
      <c r="V1251" s="76">
        <f t="shared" si="227"/>
        <v>6259.6389367685751</v>
      </c>
      <c r="W1251" s="53">
        <v>3129.8194683842876</v>
      </c>
      <c r="AM1251" s="53">
        <v>31866000</v>
      </c>
      <c r="AO1251" s="53">
        <f t="shared" si="229"/>
        <v>11471760</v>
      </c>
      <c r="AP1251" s="53">
        <f t="shared" si="229"/>
        <v>339904</v>
      </c>
      <c r="AQ1251" s="53">
        <f t="shared" si="229"/>
        <v>50985600</v>
      </c>
      <c r="AR1251" s="53">
        <f t="shared" si="228"/>
        <v>1043273.1561280958</v>
      </c>
      <c r="AS1251" s="53">
        <f t="shared" si="228"/>
        <v>0</v>
      </c>
      <c r="AT1251" s="53">
        <f t="shared" si="228"/>
        <v>0</v>
      </c>
      <c r="AU1251" s="53">
        <f t="shared" si="228"/>
        <v>0</v>
      </c>
      <c r="AV1251" s="53">
        <f t="shared" si="228"/>
        <v>0</v>
      </c>
      <c r="AW1251" s="53">
        <f t="shared" si="228"/>
        <v>0</v>
      </c>
      <c r="AX1251" s="53">
        <f t="shared" si="225"/>
        <v>4248800000</v>
      </c>
      <c r="AY1251" s="41" t="s">
        <v>557</v>
      </c>
    </row>
    <row r="1252" spans="1:51" x14ac:dyDescent="0.2">
      <c r="A1252" s="41" t="s">
        <v>641</v>
      </c>
      <c r="B1252" s="41">
        <v>2011</v>
      </c>
      <c r="C1252" s="41" t="s">
        <v>87</v>
      </c>
      <c r="D1252" s="41" t="s">
        <v>88</v>
      </c>
      <c r="E1252" s="41">
        <v>100</v>
      </c>
      <c r="F1252" s="41" t="s">
        <v>563</v>
      </c>
      <c r="G1252" s="53">
        <v>42284000</v>
      </c>
      <c r="H1252" s="41">
        <v>0.26</v>
      </c>
      <c r="I1252" s="46">
        <v>8.0000000000000002E-3</v>
      </c>
      <c r="J1252" s="47">
        <v>1.2</v>
      </c>
      <c r="K1252" s="42">
        <v>2.2348879008608456E-2</v>
      </c>
      <c r="R1252" s="76">
        <f t="shared" si="226"/>
        <v>389200</v>
      </c>
      <c r="S1252" s="53">
        <v>97300</v>
      </c>
      <c r="T1252" s="53">
        <v>338.27199999999999</v>
      </c>
      <c r="U1252" s="53">
        <v>50740.800000000003</v>
      </c>
      <c r="V1252" s="76">
        <f t="shared" si="227"/>
        <v>5670</v>
      </c>
      <c r="W1252" s="53">
        <v>2835</v>
      </c>
      <c r="AM1252" s="53">
        <v>31713000</v>
      </c>
      <c r="AO1252" s="53">
        <f t="shared" si="229"/>
        <v>10993840</v>
      </c>
      <c r="AP1252" s="53">
        <f t="shared" si="229"/>
        <v>338272</v>
      </c>
      <c r="AQ1252" s="53">
        <f t="shared" si="229"/>
        <v>50740800</v>
      </c>
      <c r="AR1252" s="53">
        <f t="shared" si="228"/>
        <v>945000</v>
      </c>
      <c r="AS1252" s="53">
        <f t="shared" si="228"/>
        <v>0</v>
      </c>
      <c r="AT1252" s="53">
        <f t="shared" si="228"/>
        <v>0</v>
      </c>
      <c r="AU1252" s="53">
        <f t="shared" si="228"/>
        <v>0</v>
      </c>
      <c r="AV1252" s="53">
        <f t="shared" si="228"/>
        <v>0</v>
      </c>
      <c r="AW1252" s="53">
        <f t="shared" si="228"/>
        <v>0</v>
      </c>
      <c r="AX1252" s="53">
        <f t="shared" si="225"/>
        <v>4228400000</v>
      </c>
      <c r="AY1252" s="41" t="s">
        <v>557</v>
      </c>
    </row>
    <row r="1253" spans="1:51" x14ac:dyDescent="0.2">
      <c r="A1253" s="41" t="s">
        <v>641</v>
      </c>
      <c r="B1253" s="41">
        <v>2012</v>
      </c>
      <c r="C1253" s="41" t="s">
        <v>87</v>
      </c>
      <c r="D1253" s="41" t="s">
        <v>88</v>
      </c>
      <c r="E1253" s="41">
        <v>100</v>
      </c>
      <c r="F1253" s="41" t="s">
        <v>563</v>
      </c>
      <c r="G1253" s="53">
        <v>45383000</v>
      </c>
      <c r="H1253" s="41">
        <v>0.3</v>
      </c>
      <c r="I1253" s="46">
        <v>8.0000000000000002E-3</v>
      </c>
      <c r="J1253" s="47">
        <v>1.2</v>
      </c>
      <c r="K1253" s="42">
        <v>3.3345819653467897E-2</v>
      </c>
      <c r="R1253" s="76">
        <f t="shared" si="226"/>
        <v>465200</v>
      </c>
      <c r="S1253" s="53">
        <v>116300</v>
      </c>
      <c r="T1253" s="53">
        <v>363.06400000000002</v>
      </c>
      <c r="U1253" s="53">
        <v>54459.6</v>
      </c>
      <c r="V1253" s="76">
        <f t="shared" si="227"/>
        <v>9080</v>
      </c>
      <c r="W1253" s="53">
        <v>4540</v>
      </c>
      <c r="AM1253" s="53">
        <v>34037250</v>
      </c>
      <c r="AO1253" s="53">
        <f t="shared" si="229"/>
        <v>13614900</v>
      </c>
      <c r="AP1253" s="53">
        <f t="shared" si="229"/>
        <v>363064</v>
      </c>
      <c r="AQ1253" s="53">
        <f t="shared" si="229"/>
        <v>54459600</v>
      </c>
      <c r="AR1253" s="53">
        <f t="shared" si="228"/>
        <v>1513333.3333333335</v>
      </c>
      <c r="AS1253" s="53">
        <f t="shared" si="228"/>
        <v>0</v>
      </c>
      <c r="AT1253" s="53">
        <f t="shared" si="228"/>
        <v>0</v>
      </c>
      <c r="AU1253" s="53">
        <f t="shared" si="228"/>
        <v>0</v>
      </c>
      <c r="AV1253" s="53">
        <f t="shared" si="228"/>
        <v>0</v>
      </c>
      <c r="AW1253" s="53">
        <f t="shared" si="228"/>
        <v>0</v>
      </c>
      <c r="AX1253" s="53">
        <f t="shared" si="225"/>
        <v>4538300000</v>
      </c>
      <c r="AY1253" s="41" t="s">
        <v>557</v>
      </c>
    </row>
    <row r="1254" spans="1:51" x14ac:dyDescent="0.2">
      <c r="A1254" s="41" t="s">
        <v>641</v>
      </c>
      <c r="B1254" s="41">
        <v>2013</v>
      </c>
      <c r="C1254" s="41" t="s">
        <v>87</v>
      </c>
      <c r="D1254" s="41" t="s">
        <v>88</v>
      </c>
      <c r="E1254" s="41">
        <v>100</v>
      </c>
      <c r="F1254" s="41" t="s">
        <v>563</v>
      </c>
      <c r="G1254" s="53">
        <v>44861000</v>
      </c>
      <c r="H1254" s="41">
        <v>0.28999999999999998</v>
      </c>
      <c r="I1254" s="46">
        <v>8.0000000000000002E-3</v>
      </c>
      <c r="J1254" s="47">
        <v>1.2</v>
      </c>
      <c r="K1254" s="42">
        <v>2.0582094320976647E-2</v>
      </c>
      <c r="R1254" s="76">
        <f t="shared" si="226"/>
        <v>452800</v>
      </c>
      <c r="S1254" s="53">
        <v>113200</v>
      </c>
      <c r="T1254" s="53">
        <v>358.88799999999998</v>
      </c>
      <c r="U1254" s="53">
        <v>53833.2</v>
      </c>
      <c r="V1254" s="76">
        <f t="shared" si="227"/>
        <v>5540</v>
      </c>
      <c r="W1254" s="53">
        <v>2770</v>
      </c>
      <c r="AM1254" s="53">
        <v>65671000</v>
      </c>
      <c r="AO1254" s="53">
        <f t="shared" si="229"/>
        <v>13009690</v>
      </c>
      <c r="AP1254" s="53">
        <f t="shared" si="229"/>
        <v>358888</v>
      </c>
      <c r="AQ1254" s="53">
        <f t="shared" si="229"/>
        <v>53833200</v>
      </c>
      <c r="AR1254" s="53">
        <f t="shared" si="228"/>
        <v>923333.33333333337</v>
      </c>
      <c r="AS1254" s="53">
        <f t="shared" si="228"/>
        <v>0</v>
      </c>
      <c r="AT1254" s="53">
        <f t="shared" si="228"/>
        <v>0</v>
      </c>
      <c r="AU1254" s="53">
        <f t="shared" si="228"/>
        <v>0</v>
      </c>
      <c r="AV1254" s="53">
        <f t="shared" si="228"/>
        <v>0</v>
      </c>
      <c r="AW1254" s="53">
        <f t="shared" si="228"/>
        <v>0</v>
      </c>
      <c r="AX1254" s="53">
        <f t="shared" si="225"/>
        <v>4486100000</v>
      </c>
      <c r="AY1254" s="41" t="s">
        <v>557</v>
      </c>
    </row>
    <row r="1255" spans="1:51" x14ac:dyDescent="0.2">
      <c r="A1255" s="41" t="s">
        <v>641</v>
      </c>
      <c r="B1255" s="41">
        <v>2014</v>
      </c>
      <c r="C1255" s="41" t="s">
        <v>87</v>
      </c>
      <c r="D1255" s="41" t="s">
        <v>88</v>
      </c>
      <c r="E1255" s="41">
        <v>100</v>
      </c>
      <c r="F1255" s="41" t="s">
        <v>563</v>
      </c>
      <c r="G1255" s="53">
        <v>49932000</v>
      </c>
      <c r="H1255" s="41">
        <v>0.28999999999999998</v>
      </c>
      <c r="I1255" s="46">
        <v>8.0000000000000002E-3</v>
      </c>
      <c r="J1255" s="47">
        <v>1.2</v>
      </c>
      <c r="K1255" s="42">
        <v>1.5754759806670404E-2</v>
      </c>
      <c r="R1255" s="76">
        <f t="shared" si="226"/>
        <v>486000</v>
      </c>
      <c r="S1255" s="53">
        <v>121500</v>
      </c>
      <c r="T1255" s="53">
        <v>399.45600000000002</v>
      </c>
      <c r="U1255" s="53">
        <v>59918.400000000001</v>
      </c>
      <c r="V1255" s="76">
        <f t="shared" si="227"/>
        <v>4720</v>
      </c>
      <c r="W1255" s="53">
        <v>2360</v>
      </c>
      <c r="AM1255" s="53">
        <v>74285000</v>
      </c>
      <c r="AO1255" s="53">
        <f t="shared" si="229"/>
        <v>14480279.999999998</v>
      </c>
      <c r="AP1255" s="53">
        <f t="shared" si="229"/>
        <v>399456</v>
      </c>
      <c r="AQ1255" s="53">
        <f t="shared" si="229"/>
        <v>59918400</v>
      </c>
      <c r="AR1255" s="53">
        <f t="shared" si="228"/>
        <v>786666.66666666663</v>
      </c>
      <c r="AS1255" s="53">
        <f t="shared" si="228"/>
        <v>0</v>
      </c>
      <c r="AT1255" s="53">
        <f t="shared" si="228"/>
        <v>0</v>
      </c>
      <c r="AU1255" s="53">
        <f t="shared" si="228"/>
        <v>0</v>
      </c>
      <c r="AV1255" s="53">
        <f t="shared" si="228"/>
        <v>0</v>
      </c>
      <c r="AW1255" s="53">
        <f t="shared" si="228"/>
        <v>0</v>
      </c>
      <c r="AX1255" s="53">
        <f t="shared" si="225"/>
        <v>4993200000</v>
      </c>
      <c r="AY1255" s="41" t="s">
        <v>557</v>
      </c>
    </row>
    <row r="1256" spans="1:51" x14ac:dyDescent="0.2">
      <c r="A1256" s="41" t="s">
        <v>641</v>
      </c>
      <c r="B1256" s="41">
        <v>2015</v>
      </c>
      <c r="C1256" s="41" t="s">
        <v>87</v>
      </c>
      <c r="D1256" s="41" t="s">
        <v>88</v>
      </c>
      <c r="E1256" s="41">
        <v>100</v>
      </c>
      <c r="F1256" s="41" t="s">
        <v>563</v>
      </c>
      <c r="G1256" s="53">
        <v>47257000</v>
      </c>
      <c r="H1256" s="41">
        <v>0.37</v>
      </c>
      <c r="I1256" s="46">
        <v>8.0000000000000002E-3</v>
      </c>
      <c r="J1256" s="47">
        <v>1.2</v>
      </c>
      <c r="K1256" s="42">
        <v>1.0862588258529602E-2</v>
      </c>
      <c r="R1256" s="76">
        <f t="shared" si="226"/>
        <v>605600</v>
      </c>
      <c r="S1256" s="53">
        <v>151400</v>
      </c>
      <c r="T1256" s="53">
        <v>378.05599999999998</v>
      </c>
      <c r="U1256" s="53">
        <v>56708.4</v>
      </c>
      <c r="V1256" s="76">
        <f t="shared" si="227"/>
        <v>3080</v>
      </c>
      <c r="W1256" s="53">
        <v>1540</v>
      </c>
      <c r="AM1256" s="53">
        <v>68974000</v>
      </c>
      <c r="AO1256" s="53">
        <f t="shared" si="229"/>
        <v>17485090</v>
      </c>
      <c r="AP1256" s="53">
        <f t="shared" si="229"/>
        <v>378056</v>
      </c>
      <c r="AQ1256" s="53">
        <f t="shared" si="229"/>
        <v>56708400</v>
      </c>
      <c r="AR1256" s="53">
        <f t="shared" si="228"/>
        <v>513333.33333333337</v>
      </c>
      <c r="AS1256" s="53">
        <f t="shared" si="228"/>
        <v>0</v>
      </c>
      <c r="AT1256" s="53">
        <f t="shared" si="228"/>
        <v>0</v>
      </c>
      <c r="AU1256" s="53">
        <f t="shared" si="228"/>
        <v>0</v>
      </c>
      <c r="AV1256" s="53">
        <f t="shared" si="228"/>
        <v>0</v>
      </c>
      <c r="AW1256" s="53">
        <f t="shared" si="228"/>
        <v>0</v>
      </c>
      <c r="AX1256" s="53">
        <f t="shared" si="225"/>
        <v>4725700000</v>
      </c>
      <c r="AY1256" s="41" t="s">
        <v>557</v>
      </c>
    </row>
    <row r="1257" spans="1:51" x14ac:dyDescent="0.2">
      <c r="A1257" s="41" t="s">
        <v>641</v>
      </c>
      <c r="B1257" s="41">
        <v>2016</v>
      </c>
      <c r="C1257" s="41" t="s">
        <v>87</v>
      </c>
      <c r="D1257" s="41" t="s">
        <v>88</v>
      </c>
      <c r="E1257" s="41">
        <v>100</v>
      </c>
      <c r="F1257" s="41" t="s">
        <v>563</v>
      </c>
      <c r="G1257" s="53">
        <v>49499000</v>
      </c>
      <c r="H1257" s="41">
        <v>0.28999999999999998</v>
      </c>
      <c r="I1257" s="46">
        <v>8.0000000000000002E-3</v>
      </c>
      <c r="J1257" s="47">
        <v>1.2</v>
      </c>
      <c r="K1257" s="42">
        <v>1.6494770478723528E-2</v>
      </c>
      <c r="R1257" s="76">
        <f t="shared" si="226"/>
        <v>477200</v>
      </c>
      <c r="S1257" s="53">
        <v>119300</v>
      </c>
      <c r="T1257" s="53">
        <v>395.99200000000002</v>
      </c>
      <c r="U1257" s="53">
        <v>59398.8</v>
      </c>
      <c r="V1257" s="76">
        <f t="shared" si="227"/>
        <v>4898.847863558015</v>
      </c>
      <c r="W1257" s="53">
        <v>2449.4239317790075</v>
      </c>
      <c r="AM1257" s="53">
        <v>65870000</v>
      </c>
      <c r="AO1257" s="53">
        <f t="shared" si="229"/>
        <v>14354709.999999998</v>
      </c>
      <c r="AP1257" s="53">
        <f t="shared" si="229"/>
        <v>395992</v>
      </c>
      <c r="AQ1257" s="53">
        <f t="shared" si="229"/>
        <v>59398800</v>
      </c>
      <c r="AR1257" s="53">
        <f t="shared" si="228"/>
        <v>816474.64392633596</v>
      </c>
      <c r="AS1257" s="53">
        <f t="shared" si="228"/>
        <v>0</v>
      </c>
      <c r="AT1257" s="53">
        <f t="shared" si="228"/>
        <v>0</v>
      </c>
      <c r="AU1257" s="53">
        <f t="shared" si="228"/>
        <v>0</v>
      </c>
      <c r="AV1257" s="53">
        <f t="shared" si="228"/>
        <v>0</v>
      </c>
      <c r="AW1257" s="53">
        <f t="shared" si="228"/>
        <v>0</v>
      </c>
      <c r="AX1257" s="53">
        <f t="shared" si="225"/>
        <v>4949900000</v>
      </c>
      <c r="AY1257" s="41" t="s">
        <v>557</v>
      </c>
    </row>
    <row r="1258" spans="1:51" x14ac:dyDescent="0.2">
      <c r="A1258" s="41" t="s">
        <v>641</v>
      </c>
      <c r="B1258" s="60" t="s">
        <v>559</v>
      </c>
      <c r="C1258" s="60" t="s">
        <v>87</v>
      </c>
      <c r="D1258" s="60" t="s">
        <v>88</v>
      </c>
      <c r="E1258" s="60">
        <v>100</v>
      </c>
      <c r="F1258" s="60" t="s">
        <v>563</v>
      </c>
      <c r="G1258" s="79">
        <f>SUM(G1201:G1257)</f>
        <v>1769408412.2017598</v>
      </c>
      <c r="H1258" s="80">
        <f>AO1258/$G1258</f>
        <v>0.43270874638779844</v>
      </c>
      <c r="I1258" s="80">
        <f>AP1258/$G1258</f>
        <v>0.92935212138011969</v>
      </c>
      <c r="J1258" s="80">
        <f>AQ1258/$G1258</f>
        <v>7.9910286520452649</v>
      </c>
      <c r="K1258" s="89">
        <f>AR1258/$G1258</f>
        <v>1.6013745273654865E-2</v>
      </c>
      <c r="R1258" s="79">
        <f t="shared" ref="R1258:W1258" si="230">SUM(R1201:R1257)</f>
        <v>23940082.737586029</v>
      </c>
      <c r="S1258" s="79">
        <f t="shared" si="230"/>
        <v>5985020.6843965072</v>
      </c>
      <c r="T1258" s="79">
        <f t="shared" si="230"/>
        <v>13344.484766599908</v>
      </c>
      <c r="U1258" s="79">
        <f t="shared" si="230"/>
        <v>2077217.0978544955</v>
      </c>
      <c r="V1258" s="79">
        <f t="shared" si="230"/>
        <v>219718.58907429921</v>
      </c>
      <c r="W1258" s="79">
        <f t="shared" si="230"/>
        <v>109859.2945371496</v>
      </c>
      <c r="AH1258" s="79">
        <f>SUM(AH1201:AH1257)</f>
        <v>0</v>
      </c>
      <c r="AM1258" s="79">
        <f>SUM(AM1201:AM1257)</f>
        <v>1605980839.2017598</v>
      </c>
      <c r="AO1258" s="79">
        <f t="shared" ref="AO1258:AX1258" si="231">SUM(AO1131:AO1257)</f>
        <v>765638495.89184844</v>
      </c>
      <c r="AP1258" s="79">
        <f t="shared" si="231"/>
        <v>1644403461.4675348</v>
      </c>
      <c r="AQ1258" s="79">
        <f t="shared" si="231"/>
        <v>14139393319.074181</v>
      </c>
      <c r="AR1258" s="79">
        <f t="shared" si="231"/>
        <v>28334855.598061092</v>
      </c>
      <c r="AS1258" s="79">
        <f t="shared" si="231"/>
        <v>73042123.251489431</v>
      </c>
      <c r="AT1258" s="79">
        <f t="shared" si="231"/>
        <v>197702736.29291296</v>
      </c>
      <c r="AU1258" s="79">
        <f t="shared" si="231"/>
        <v>0</v>
      </c>
      <c r="AV1258" s="79">
        <f t="shared" si="231"/>
        <v>0</v>
      </c>
      <c r="AW1258" s="79">
        <f t="shared" si="231"/>
        <v>0</v>
      </c>
      <c r="AX1258" s="79">
        <f t="shared" si="231"/>
        <v>193334909183.16946</v>
      </c>
      <c r="AY1258" s="41" t="s">
        <v>557</v>
      </c>
    </row>
    <row r="1259" spans="1:51" x14ac:dyDescent="0.2">
      <c r="A1259" s="41" t="s">
        <v>641</v>
      </c>
      <c r="B1259" s="43" t="s">
        <v>560</v>
      </c>
      <c r="G1259" s="53">
        <f>STDEV(G1201:G1257)</f>
        <v>17823680.700799312</v>
      </c>
      <c r="H1259" s="46">
        <f>STDEV(H1201:H1257)</f>
        <v>5.234720813910581</v>
      </c>
      <c r="I1259" s="46">
        <f>STDEV(I1201:I1257)</f>
        <v>1.6614395915102937</v>
      </c>
      <c r="J1259" s="46">
        <f>STDEV(J1201:J1257)</f>
        <v>141.5517234916056</v>
      </c>
      <c r="K1259" s="42">
        <f>STDEV(K1201:K1257)</f>
        <v>6.2455478364675451E-3</v>
      </c>
      <c r="R1259" s="53">
        <f t="shared" ref="R1259:W1259" si="232">STDEV(R1201:R1257)</f>
        <v>237157.76494885658</v>
      </c>
      <c r="S1259" s="53">
        <f t="shared" si="232"/>
        <v>59289.441237214145</v>
      </c>
      <c r="T1259" s="53">
        <f t="shared" si="232"/>
        <v>172.4575928160294</v>
      </c>
      <c r="U1259" s="53">
        <f t="shared" si="232"/>
        <v>23631.513296070247</v>
      </c>
      <c r="V1259" s="53">
        <f t="shared" si="232"/>
        <v>2744.4667949883706</v>
      </c>
      <c r="W1259" s="53">
        <f t="shared" si="232"/>
        <v>1372.2333974941853</v>
      </c>
      <c r="AH1259" s="53" t="e">
        <f>STDEV(AH1201:AH1257)</f>
        <v>#DIV/0!</v>
      </c>
      <c r="AM1259" s="53">
        <f>STDEV(AM1201:AM1257)</f>
        <v>18407005.063084371</v>
      </c>
      <c r="AY1259" s="41" t="s">
        <v>557</v>
      </c>
    </row>
    <row r="1260" spans="1:51" x14ac:dyDescent="0.2">
      <c r="A1260" s="41" t="s">
        <v>641</v>
      </c>
      <c r="B1260" s="81" t="s">
        <v>249</v>
      </c>
      <c r="G1260" s="41">
        <f>COUNT(G1201:G1257)</f>
        <v>57</v>
      </c>
      <c r="H1260" s="41">
        <f>COUNT(H1201:H1257)</f>
        <v>57</v>
      </c>
      <c r="I1260" s="41">
        <f>COUNT(I1201:I1257)</f>
        <v>57</v>
      </c>
      <c r="J1260" s="41">
        <f>COUNT(J1201:J1257)</f>
        <v>56</v>
      </c>
      <c r="K1260" s="41">
        <f>COUNT(K1201:K1257)</f>
        <v>48</v>
      </c>
      <c r="R1260" s="41">
        <f t="shared" ref="R1260:W1260" si="233">COUNT(R1201:R1257)</f>
        <v>57</v>
      </c>
      <c r="S1260" s="41">
        <f t="shared" si="233"/>
        <v>57</v>
      </c>
      <c r="T1260" s="41">
        <f t="shared" si="233"/>
        <v>57</v>
      </c>
      <c r="U1260" s="41">
        <f t="shared" si="233"/>
        <v>56</v>
      </c>
      <c r="V1260" s="41">
        <f t="shared" si="233"/>
        <v>55</v>
      </c>
      <c r="W1260" s="41">
        <f t="shared" si="233"/>
        <v>55</v>
      </c>
      <c r="AH1260" s="41">
        <f>COUNT(AH1201:AH1257)</f>
        <v>0</v>
      </c>
      <c r="AM1260" s="41">
        <f>COUNT(AM1201:AM1257)</f>
        <v>55</v>
      </c>
      <c r="AY1260" s="41" t="s">
        <v>557</v>
      </c>
    </row>
    <row r="1261" spans="1:51" x14ac:dyDescent="0.2">
      <c r="A1261" s="82"/>
      <c r="B1261" s="82"/>
      <c r="C1261" s="82"/>
      <c r="D1261" s="82"/>
      <c r="E1261" s="82"/>
      <c r="F1261" s="82"/>
      <c r="G1261" s="82"/>
      <c r="H1261" s="82"/>
      <c r="I1261" s="82"/>
      <c r="J1261" s="82"/>
      <c r="K1261" s="82"/>
      <c r="L1261" s="82"/>
      <c r="M1261" s="82"/>
      <c r="N1261" s="82"/>
      <c r="O1261" s="82"/>
      <c r="P1261" s="82"/>
      <c r="Q1261" s="82"/>
      <c r="R1261" s="82"/>
      <c r="S1261" s="82"/>
      <c r="T1261" s="82"/>
      <c r="U1261" s="82"/>
      <c r="V1261" s="82"/>
      <c r="W1261" s="82"/>
      <c r="X1261" s="82"/>
      <c r="Y1261" s="82"/>
      <c r="Z1261" s="82"/>
      <c r="AA1261" s="82"/>
      <c r="AB1261" s="82"/>
      <c r="AC1261" s="82"/>
      <c r="AD1261" s="82"/>
      <c r="AE1261" s="82"/>
      <c r="AF1261" s="82"/>
      <c r="AG1261" s="82"/>
      <c r="AH1261" s="82"/>
      <c r="AI1261" s="82"/>
      <c r="AJ1261" s="82"/>
      <c r="AK1261" s="82"/>
      <c r="AL1261" s="82"/>
      <c r="AM1261" s="82"/>
      <c r="AN1261" s="82"/>
      <c r="AO1261" s="82"/>
      <c r="AP1261" s="82"/>
      <c r="AQ1261" s="82"/>
      <c r="AR1261" s="82"/>
      <c r="AS1261" s="82"/>
      <c r="AT1261" s="82"/>
      <c r="AU1261" s="82"/>
      <c r="AV1261" s="82"/>
      <c r="AW1261" s="82"/>
      <c r="AX1261" s="82"/>
      <c r="AY1261" s="41" t="s">
        <v>557</v>
      </c>
    </row>
    <row r="1262" spans="1:51" x14ac:dyDescent="0.2">
      <c r="A1262" s="41" t="s">
        <v>642</v>
      </c>
      <c r="B1262" s="41">
        <v>1988</v>
      </c>
      <c r="C1262" s="41" t="s">
        <v>91</v>
      </c>
      <c r="D1262" s="41" t="s">
        <v>401</v>
      </c>
      <c r="E1262" s="41">
        <v>0</v>
      </c>
      <c r="F1262" s="41" t="s">
        <v>390</v>
      </c>
      <c r="G1262" s="53">
        <v>219526</v>
      </c>
      <c r="I1262" s="56">
        <f>1000*T1262/G1262/0.945</f>
        <v>3.5968901153890638</v>
      </c>
      <c r="T1262" s="53">
        <f>23993*31.1/1000</f>
        <v>746.18230000000005</v>
      </c>
      <c r="AO1262" s="53">
        <f t="shared" ref="AO1262:AW1290" si="234">$G1262*H1262</f>
        <v>0</v>
      </c>
      <c r="AP1262" s="53">
        <f t="shared" si="234"/>
        <v>789610.8994708996</v>
      </c>
      <c r="AQ1262" s="53">
        <f t="shared" si="234"/>
        <v>0</v>
      </c>
      <c r="AR1262" s="53">
        <f t="shared" si="234"/>
        <v>0</v>
      </c>
      <c r="AS1262" s="53">
        <f t="shared" si="234"/>
        <v>0</v>
      </c>
      <c r="AT1262" s="53">
        <f t="shared" si="234"/>
        <v>0</v>
      </c>
      <c r="AU1262" s="53">
        <f t="shared" si="234"/>
        <v>0</v>
      </c>
      <c r="AV1262" s="53">
        <f t="shared" si="234"/>
        <v>0</v>
      </c>
      <c r="AW1262" s="53">
        <f t="shared" si="234"/>
        <v>0</v>
      </c>
      <c r="AX1262" s="53">
        <f t="shared" ref="AX1262:AX1290" si="235">$G1262*E1262</f>
        <v>0</v>
      </c>
      <c r="AY1262" s="41" t="s">
        <v>557</v>
      </c>
    </row>
    <row r="1263" spans="1:51" x14ac:dyDescent="0.2">
      <c r="A1263" s="41" t="s">
        <v>642</v>
      </c>
      <c r="B1263" s="41">
        <v>1989</v>
      </c>
      <c r="C1263" s="41" t="s">
        <v>91</v>
      </c>
      <c r="D1263" s="41" t="s">
        <v>401</v>
      </c>
      <c r="E1263" s="41">
        <v>0</v>
      </c>
      <c r="F1263" s="41" t="s">
        <v>390</v>
      </c>
      <c r="G1263" s="53">
        <v>507148</v>
      </c>
      <c r="I1263" s="56">
        <f t="shared" ref="I1263:I1290" si="236">1000*T1263/G1263/0.945</f>
        <v>4.1111933637981268</v>
      </c>
      <c r="T1263" s="53">
        <f>63354*31.1/1000</f>
        <v>1970.3094000000001</v>
      </c>
      <c r="AO1263" s="53">
        <f t="shared" si="234"/>
        <v>0</v>
      </c>
      <c r="AP1263" s="53">
        <f t="shared" si="234"/>
        <v>2084983.4920634925</v>
      </c>
      <c r="AQ1263" s="53">
        <f t="shared" si="234"/>
        <v>0</v>
      </c>
      <c r="AR1263" s="53">
        <f t="shared" si="234"/>
        <v>0</v>
      </c>
      <c r="AS1263" s="53">
        <f t="shared" si="234"/>
        <v>0</v>
      </c>
      <c r="AT1263" s="53">
        <f t="shared" si="234"/>
        <v>0</v>
      </c>
      <c r="AU1263" s="53">
        <f t="shared" si="234"/>
        <v>0</v>
      </c>
      <c r="AV1263" s="53">
        <f t="shared" si="234"/>
        <v>0</v>
      </c>
      <c r="AW1263" s="53">
        <f t="shared" si="234"/>
        <v>0</v>
      </c>
      <c r="AX1263" s="53">
        <f t="shared" si="235"/>
        <v>0</v>
      </c>
      <c r="AY1263" s="41" t="s">
        <v>557</v>
      </c>
    </row>
    <row r="1264" spans="1:51" x14ac:dyDescent="0.2">
      <c r="A1264" s="41" t="s">
        <v>642</v>
      </c>
      <c r="B1264" s="41">
        <v>1990</v>
      </c>
      <c r="C1264" s="41" t="s">
        <v>91</v>
      </c>
      <c r="D1264" s="41" t="s">
        <v>401</v>
      </c>
      <c r="E1264" s="41">
        <v>0</v>
      </c>
      <c r="F1264" s="41" t="s">
        <v>390</v>
      </c>
      <c r="G1264" s="53">
        <v>466708</v>
      </c>
      <c r="I1264" s="56">
        <f t="shared" si="236"/>
        <v>4.1719669908601755</v>
      </c>
      <c r="T1264" s="53">
        <f>59164*31.1/1000</f>
        <v>1840.0004000000001</v>
      </c>
      <c r="AO1264" s="53">
        <f t="shared" si="234"/>
        <v>0</v>
      </c>
      <c r="AP1264" s="53">
        <f t="shared" si="234"/>
        <v>1947090.3703703708</v>
      </c>
      <c r="AQ1264" s="53">
        <f t="shared" si="234"/>
        <v>0</v>
      </c>
      <c r="AR1264" s="53">
        <f t="shared" si="234"/>
        <v>0</v>
      </c>
      <c r="AS1264" s="53">
        <f t="shared" si="234"/>
        <v>0</v>
      </c>
      <c r="AT1264" s="53">
        <f t="shared" si="234"/>
        <v>0</v>
      </c>
      <c r="AU1264" s="53">
        <f t="shared" si="234"/>
        <v>0</v>
      </c>
      <c r="AV1264" s="53">
        <f t="shared" si="234"/>
        <v>0</v>
      </c>
      <c r="AW1264" s="53">
        <f t="shared" si="234"/>
        <v>0</v>
      </c>
      <c r="AX1264" s="53">
        <f t="shared" si="235"/>
        <v>0</v>
      </c>
      <c r="AY1264" s="41" t="s">
        <v>557</v>
      </c>
    </row>
    <row r="1265" spans="1:51" x14ac:dyDescent="0.2">
      <c r="A1265" s="41" t="s">
        <v>642</v>
      </c>
      <c r="B1265" s="41">
        <v>1991</v>
      </c>
      <c r="C1265" s="41" t="s">
        <v>91</v>
      </c>
      <c r="D1265" s="41" t="s">
        <v>401</v>
      </c>
      <c r="E1265" s="41">
        <v>0</v>
      </c>
      <c r="F1265" s="41" t="s">
        <v>390</v>
      </c>
      <c r="G1265" s="53">
        <v>594572</v>
      </c>
      <c r="I1265" s="56">
        <f t="shared" si="236"/>
        <v>3.361289773263429</v>
      </c>
      <c r="T1265" s="53">
        <f>60727*31.1/1000</f>
        <v>1888.6097000000002</v>
      </c>
      <c r="AO1265" s="53">
        <f t="shared" si="234"/>
        <v>0</v>
      </c>
      <c r="AP1265" s="53">
        <f t="shared" si="234"/>
        <v>1998528.7830687836</v>
      </c>
      <c r="AQ1265" s="53">
        <f t="shared" si="234"/>
        <v>0</v>
      </c>
      <c r="AR1265" s="53">
        <f t="shared" si="234"/>
        <v>0</v>
      </c>
      <c r="AS1265" s="53">
        <f t="shared" si="234"/>
        <v>0</v>
      </c>
      <c r="AT1265" s="53">
        <f t="shared" si="234"/>
        <v>0</v>
      </c>
      <c r="AU1265" s="53">
        <f t="shared" si="234"/>
        <v>0</v>
      </c>
      <c r="AV1265" s="53">
        <f t="shared" si="234"/>
        <v>0</v>
      </c>
      <c r="AW1265" s="53">
        <f t="shared" si="234"/>
        <v>0</v>
      </c>
      <c r="AX1265" s="53">
        <f t="shared" si="235"/>
        <v>0</v>
      </c>
      <c r="AY1265" s="41" t="s">
        <v>557</v>
      </c>
    </row>
    <row r="1266" spans="1:51" x14ac:dyDescent="0.2">
      <c r="A1266" s="41" t="s">
        <v>642</v>
      </c>
      <c r="B1266" s="41">
        <v>1992</v>
      </c>
      <c r="C1266" s="41" t="s">
        <v>91</v>
      </c>
      <c r="D1266" s="41" t="s">
        <v>401</v>
      </c>
      <c r="E1266" s="41">
        <v>0</v>
      </c>
      <c r="F1266" s="41" t="s">
        <v>390</v>
      </c>
      <c r="G1266" s="53">
        <v>418999</v>
      </c>
      <c r="I1266" s="56">
        <f t="shared" si="236"/>
        <v>3.7293698128688191</v>
      </c>
      <c r="T1266" s="53">
        <f>47481*31.1/1000</f>
        <v>1476.6591000000001</v>
      </c>
      <c r="AO1266" s="53">
        <f t="shared" si="234"/>
        <v>0</v>
      </c>
      <c r="AP1266" s="53">
        <f t="shared" si="234"/>
        <v>1562602.2222222222</v>
      </c>
      <c r="AQ1266" s="53">
        <f t="shared" si="234"/>
        <v>0</v>
      </c>
      <c r="AR1266" s="53">
        <f t="shared" si="234"/>
        <v>0</v>
      </c>
      <c r="AS1266" s="53">
        <f t="shared" si="234"/>
        <v>0</v>
      </c>
      <c r="AT1266" s="53">
        <f t="shared" si="234"/>
        <v>0</v>
      </c>
      <c r="AU1266" s="53">
        <f t="shared" si="234"/>
        <v>0</v>
      </c>
      <c r="AV1266" s="53">
        <f t="shared" si="234"/>
        <v>0</v>
      </c>
      <c r="AW1266" s="53">
        <f t="shared" si="234"/>
        <v>0</v>
      </c>
      <c r="AX1266" s="53">
        <f t="shared" si="235"/>
        <v>0</v>
      </c>
      <c r="AY1266" s="41" t="s">
        <v>557</v>
      </c>
    </row>
    <row r="1267" spans="1:51" x14ac:dyDescent="0.2">
      <c r="A1267" s="41" t="s">
        <v>642</v>
      </c>
      <c r="B1267" s="41">
        <v>1993</v>
      </c>
      <c r="C1267" s="41" t="s">
        <v>91</v>
      </c>
      <c r="D1267" s="41" t="s">
        <v>401</v>
      </c>
      <c r="E1267" s="41">
        <v>0</v>
      </c>
      <c r="F1267" s="41" t="s">
        <v>390</v>
      </c>
      <c r="G1267" s="53">
        <v>388116</v>
      </c>
      <c r="I1267" s="56">
        <f t="shared" si="236"/>
        <v>5.445409846104484</v>
      </c>
      <c r="T1267" s="53">
        <f>64219*31.1/1000</f>
        <v>1997.2109</v>
      </c>
      <c r="AO1267" s="53">
        <f t="shared" si="234"/>
        <v>0</v>
      </c>
      <c r="AP1267" s="53">
        <f t="shared" si="234"/>
        <v>2113450.687830688</v>
      </c>
      <c r="AQ1267" s="53">
        <f t="shared" si="234"/>
        <v>0</v>
      </c>
      <c r="AR1267" s="53">
        <f t="shared" si="234"/>
        <v>0</v>
      </c>
      <c r="AS1267" s="53">
        <f t="shared" si="234"/>
        <v>0</v>
      </c>
      <c r="AT1267" s="53">
        <f t="shared" si="234"/>
        <v>0</v>
      </c>
      <c r="AU1267" s="53">
        <f t="shared" si="234"/>
        <v>0</v>
      </c>
      <c r="AV1267" s="53">
        <f t="shared" si="234"/>
        <v>0</v>
      </c>
      <c r="AW1267" s="53">
        <f t="shared" si="234"/>
        <v>0</v>
      </c>
      <c r="AX1267" s="53">
        <f t="shared" si="235"/>
        <v>0</v>
      </c>
      <c r="AY1267" s="41" t="s">
        <v>557</v>
      </c>
    </row>
    <row r="1268" spans="1:51" x14ac:dyDescent="0.2">
      <c r="A1268" s="41" t="s">
        <v>642</v>
      </c>
      <c r="B1268" s="41">
        <v>1994</v>
      </c>
      <c r="C1268" s="41" t="s">
        <v>91</v>
      </c>
      <c r="D1268" s="41" t="s">
        <v>401</v>
      </c>
      <c r="E1268" s="41">
        <v>0</v>
      </c>
      <c r="F1268" s="41" t="s">
        <v>390</v>
      </c>
      <c r="G1268" s="53">
        <f>367699+8556</f>
        <v>376255</v>
      </c>
      <c r="I1268" s="56">
        <f t="shared" si="236"/>
        <v>5.3981390955517554</v>
      </c>
      <c r="T1268" s="53">
        <f>(59872+1844)*31.1/1000</f>
        <v>1919.3676</v>
      </c>
      <c r="AO1268" s="53">
        <f t="shared" si="234"/>
        <v>0</v>
      </c>
      <c r="AP1268" s="53">
        <f t="shared" si="234"/>
        <v>2031076.8253968258</v>
      </c>
      <c r="AQ1268" s="53">
        <f t="shared" si="234"/>
        <v>0</v>
      </c>
      <c r="AR1268" s="53">
        <f t="shared" si="234"/>
        <v>0</v>
      </c>
      <c r="AS1268" s="53">
        <f t="shared" si="234"/>
        <v>0</v>
      </c>
      <c r="AT1268" s="53">
        <f t="shared" si="234"/>
        <v>0</v>
      </c>
      <c r="AU1268" s="53">
        <f t="shared" si="234"/>
        <v>0</v>
      </c>
      <c r="AV1268" s="53">
        <f t="shared" si="234"/>
        <v>0</v>
      </c>
      <c r="AW1268" s="53">
        <f t="shared" si="234"/>
        <v>0</v>
      </c>
      <c r="AX1268" s="53">
        <f t="shared" si="235"/>
        <v>0</v>
      </c>
      <c r="AY1268" s="41" t="s">
        <v>557</v>
      </c>
    </row>
    <row r="1269" spans="1:51" x14ac:dyDescent="0.2">
      <c r="A1269" s="41" t="s">
        <v>642</v>
      </c>
      <c r="B1269" s="41">
        <v>1995</v>
      </c>
      <c r="C1269" s="41" t="s">
        <v>91</v>
      </c>
      <c r="D1269" s="41" t="s">
        <v>401</v>
      </c>
      <c r="E1269" s="41">
        <v>0</v>
      </c>
      <c r="F1269" s="41" t="s">
        <v>390</v>
      </c>
      <c r="G1269" s="53">
        <f>382470+79701</f>
        <v>462171</v>
      </c>
      <c r="I1269" s="56">
        <f t="shared" si="236"/>
        <v>5.4928772498243541</v>
      </c>
      <c r="T1269" s="53">
        <f>(66389+10750)*31.1/1000</f>
        <v>2399.0228999999999</v>
      </c>
      <c r="AO1269" s="53">
        <f t="shared" si="234"/>
        <v>0</v>
      </c>
      <c r="AP1269" s="53">
        <f t="shared" si="234"/>
        <v>2538648.5714285714</v>
      </c>
      <c r="AQ1269" s="53">
        <f t="shared" si="234"/>
        <v>0</v>
      </c>
      <c r="AR1269" s="53">
        <f t="shared" si="234"/>
        <v>0</v>
      </c>
      <c r="AS1269" s="53">
        <f t="shared" si="234"/>
        <v>0</v>
      </c>
      <c r="AT1269" s="53">
        <f t="shared" si="234"/>
        <v>0</v>
      </c>
      <c r="AU1269" s="53">
        <f t="shared" si="234"/>
        <v>0</v>
      </c>
      <c r="AV1269" s="53">
        <f t="shared" si="234"/>
        <v>0</v>
      </c>
      <c r="AW1269" s="53">
        <f t="shared" si="234"/>
        <v>0</v>
      </c>
      <c r="AX1269" s="53">
        <f t="shared" si="235"/>
        <v>0</v>
      </c>
      <c r="AY1269" s="41" t="s">
        <v>557</v>
      </c>
    </row>
    <row r="1270" spans="1:51" x14ac:dyDescent="0.2">
      <c r="A1270" s="41" t="s">
        <v>642</v>
      </c>
      <c r="B1270" s="41">
        <v>1996</v>
      </c>
      <c r="C1270" s="41" t="s">
        <v>91</v>
      </c>
      <c r="D1270" s="41" t="s">
        <v>401</v>
      </c>
      <c r="E1270" s="41">
        <v>0</v>
      </c>
      <c r="F1270" s="41" t="s">
        <v>390</v>
      </c>
      <c r="G1270" s="53">
        <f>438894+190075</f>
        <v>628969</v>
      </c>
      <c r="I1270" s="56">
        <f t="shared" si="236"/>
        <v>8.0981556943011324</v>
      </c>
      <c r="T1270" s="53">
        <f>(117621+37149)*31.1/1000</f>
        <v>4813.3469999999998</v>
      </c>
      <c r="AO1270" s="53">
        <f t="shared" si="234"/>
        <v>0</v>
      </c>
      <c r="AP1270" s="53">
        <f t="shared" si="234"/>
        <v>5093488.888888889</v>
      </c>
      <c r="AQ1270" s="53">
        <f t="shared" si="234"/>
        <v>0</v>
      </c>
      <c r="AR1270" s="53">
        <f t="shared" si="234"/>
        <v>0</v>
      </c>
      <c r="AS1270" s="53">
        <f t="shared" si="234"/>
        <v>0</v>
      </c>
      <c r="AT1270" s="53">
        <f t="shared" si="234"/>
        <v>0</v>
      </c>
      <c r="AU1270" s="53">
        <f t="shared" si="234"/>
        <v>0</v>
      </c>
      <c r="AV1270" s="53">
        <f t="shared" si="234"/>
        <v>0</v>
      </c>
      <c r="AW1270" s="53">
        <f t="shared" si="234"/>
        <v>0</v>
      </c>
      <c r="AX1270" s="53">
        <f t="shared" si="235"/>
        <v>0</v>
      </c>
      <c r="AY1270" s="41" t="s">
        <v>557</v>
      </c>
    </row>
    <row r="1271" spans="1:51" x14ac:dyDescent="0.2">
      <c r="A1271" s="41" t="s">
        <v>642</v>
      </c>
      <c r="B1271" s="41">
        <v>1997</v>
      </c>
      <c r="C1271" s="41" t="s">
        <v>91</v>
      </c>
      <c r="D1271" s="41" t="s">
        <v>401</v>
      </c>
      <c r="E1271" s="41">
        <v>0</v>
      </c>
      <c r="F1271" s="41" t="s">
        <v>390</v>
      </c>
      <c r="G1271" s="53">
        <f>418795+381459</f>
        <v>800254</v>
      </c>
      <c r="I1271" s="56">
        <f t="shared" si="236"/>
        <v>7.3679081759266305</v>
      </c>
      <c r="T1271" s="53">
        <f>(116368+62793)*31.1/1000</f>
        <v>5571.9071000000004</v>
      </c>
      <c r="AO1271" s="53">
        <f t="shared" si="234"/>
        <v>0</v>
      </c>
      <c r="AP1271" s="53">
        <f t="shared" si="234"/>
        <v>5896197.9894179897</v>
      </c>
      <c r="AQ1271" s="53">
        <f t="shared" si="234"/>
        <v>0</v>
      </c>
      <c r="AR1271" s="53">
        <f t="shared" si="234"/>
        <v>0</v>
      </c>
      <c r="AS1271" s="53">
        <f t="shared" si="234"/>
        <v>0</v>
      </c>
      <c r="AT1271" s="53">
        <f t="shared" si="234"/>
        <v>0</v>
      </c>
      <c r="AU1271" s="53">
        <f t="shared" si="234"/>
        <v>0</v>
      </c>
      <c r="AV1271" s="53">
        <f t="shared" si="234"/>
        <v>0</v>
      </c>
      <c r="AW1271" s="53">
        <f t="shared" si="234"/>
        <v>0</v>
      </c>
      <c r="AX1271" s="53">
        <f t="shared" si="235"/>
        <v>0</v>
      </c>
      <c r="AY1271" s="41" t="s">
        <v>557</v>
      </c>
    </row>
    <row r="1272" spans="1:51" x14ac:dyDescent="0.2">
      <c r="A1272" s="41" t="s">
        <v>642</v>
      </c>
      <c r="B1272" s="41">
        <v>1998</v>
      </c>
      <c r="C1272" s="41" t="s">
        <v>91</v>
      </c>
      <c r="D1272" s="41" t="s">
        <v>401</v>
      </c>
      <c r="E1272" s="41">
        <v>0</v>
      </c>
      <c r="F1272" s="41" t="s">
        <v>390</v>
      </c>
      <c r="G1272" s="53">
        <f>497122+467134</f>
        <v>964256</v>
      </c>
      <c r="I1272" s="56">
        <f t="shared" si="236"/>
        <v>7.8212297614614021</v>
      </c>
      <c r="T1272" s="53">
        <f>(134379+94781)*31.1/1000</f>
        <v>7126.8760000000002</v>
      </c>
      <c r="AO1272" s="53">
        <f t="shared" si="234"/>
        <v>0</v>
      </c>
      <c r="AP1272" s="53">
        <f t="shared" si="234"/>
        <v>7541667.7248677257</v>
      </c>
      <c r="AQ1272" s="53">
        <f t="shared" si="234"/>
        <v>0</v>
      </c>
      <c r="AR1272" s="53">
        <f t="shared" si="234"/>
        <v>0</v>
      </c>
      <c r="AS1272" s="53">
        <f t="shared" si="234"/>
        <v>0</v>
      </c>
      <c r="AT1272" s="53">
        <f t="shared" si="234"/>
        <v>0</v>
      </c>
      <c r="AU1272" s="53">
        <f t="shared" si="234"/>
        <v>0</v>
      </c>
      <c r="AV1272" s="53">
        <f t="shared" si="234"/>
        <v>0</v>
      </c>
      <c r="AW1272" s="53">
        <f t="shared" si="234"/>
        <v>0</v>
      </c>
      <c r="AX1272" s="53">
        <f t="shared" si="235"/>
        <v>0</v>
      </c>
      <c r="AY1272" s="41" t="s">
        <v>557</v>
      </c>
    </row>
    <row r="1273" spans="1:51" x14ac:dyDescent="0.2">
      <c r="A1273" s="41" t="s">
        <v>642</v>
      </c>
      <c r="B1273" s="41">
        <v>1999</v>
      </c>
      <c r="C1273" s="41" t="s">
        <v>91</v>
      </c>
      <c r="D1273" s="41" t="s">
        <v>401</v>
      </c>
      <c r="E1273" s="41">
        <v>0</v>
      </c>
      <c r="F1273" s="41" t="s">
        <v>390</v>
      </c>
      <c r="G1273" s="53">
        <f>501794+487317</f>
        <v>989111</v>
      </c>
      <c r="I1273" s="56">
        <f t="shared" si="236"/>
        <v>7.1362880993144948</v>
      </c>
      <c r="T1273" s="53">
        <f>(106701+107780)*31.1/1000</f>
        <v>6670.3591000000006</v>
      </c>
      <c r="AO1273" s="53">
        <f t="shared" si="234"/>
        <v>0</v>
      </c>
      <c r="AP1273" s="53">
        <f t="shared" si="234"/>
        <v>7058581.0582010597</v>
      </c>
      <c r="AQ1273" s="53">
        <f t="shared" si="234"/>
        <v>0</v>
      </c>
      <c r="AR1273" s="53">
        <f t="shared" si="234"/>
        <v>0</v>
      </c>
      <c r="AS1273" s="53">
        <f t="shared" si="234"/>
        <v>0</v>
      </c>
      <c r="AT1273" s="53">
        <f t="shared" si="234"/>
        <v>0</v>
      </c>
      <c r="AU1273" s="53">
        <f t="shared" si="234"/>
        <v>0</v>
      </c>
      <c r="AV1273" s="53">
        <f t="shared" si="234"/>
        <v>0</v>
      </c>
      <c r="AW1273" s="53">
        <f t="shared" si="234"/>
        <v>0</v>
      </c>
      <c r="AX1273" s="53">
        <f t="shared" si="235"/>
        <v>0</v>
      </c>
      <c r="AY1273" s="41" t="s">
        <v>557</v>
      </c>
    </row>
    <row r="1274" spans="1:51" x14ac:dyDescent="0.2">
      <c r="A1274" s="41" t="s">
        <v>642</v>
      </c>
      <c r="B1274" s="41">
        <v>2000</v>
      </c>
      <c r="C1274" s="41" t="s">
        <v>91</v>
      </c>
      <c r="D1274" s="41" t="s">
        <v>401</v>
      </c>
      <c r="E1274" s="41">
        <v>0</v>
      </c>
      <c r="F1274" s="41" t="s">
        <v>390</v>
      </c>
      <c r="G1274" s="53">
        <f>487127+530865</f>
        <v>1017992</v>
      </c>
      <c r="I1274" s="56">
        <f t="shared" si="236"/>
        <v>6.5105518859182947</v>
      </c>
      <c r="T1274" s="53">
        <f>(91470+109918)*31.1/1000</f>
        <v>6263.1668000000009</v>
      </c>
      <c r="AO1274" s="53">
        <f t="shared" si="234"/>
        <v>0</v>
      </c>
      <c r="AP1274" s="53">
        <f t="shared" si="234"/>
        <v>6627689.7354497369</v>
      </c>
      <c r="AQ1274" s="53">
        <f t="shared" si="234"/>
        <v>0</v>
      </c>
      <c r="AR1274" s="53">
        <f t="shared" si="234"/>
        <v>0</v>
      </c>
      <c r="AS1274" s="53">
        <f t="shared" si="234"/>
        <v>0</v>
      </c>
      <c r="AT1274" s="53">
        <f t="shared" si="234"/>
        <v>0</v>
      </c>
      <c r="AU1274" s="53">
        <f t="shared" si="234"/>
        <v>0</v>
      </c>
      <c r="AV1274" s="53">
        <f t="shared" si="234"/>
        <v>0</v>
      </c>
      <c r="AW1274" s="53">
        <f t="shared" si="234"/>
        <v>0</v>
      </c>
      <c r="AX1274" s="53">
        <f t="shared" si="235"/>
        <v>0</v>
      </c>
      <c r="AY1274" s="41" t="s">
        <v>557</v>
      </c>
    </row>
    <row r="1275" spans="1:51" x14ac:dyDescent="0.2">
      <c r="A1275" s="41" t="s">
        <v>642</v>
      </c>
      <c r="B1275" s="41">
        <v>2001</v>
      </c>
      <c r="C1275" s="41" t="s">
        <v>91</v>
      </c>
      <c r="D1275" s="41" t="s">
        <v>401</v>
      </c>
      <c r="E1275" s="41">
        <v>0</v>
      </c>
      <c r="F1275" s="41" t="s">
        <v>390</v>
      </c>
      <c r="G1275" s="53">
        <f>449793+551963</f>
        <v>1001756</v>
      </c>
      <c r="I1275" s="56">
        <f t="shared" si="236"/>
        <v>6.1946089333796523</v>
      </c>
      <c r="T1275" s="53">
        <f>(83142+105417)*31.1/1000</f>
        <v>5864.1849000000002</v>
      </c>
      <c r="AO1275" s="53">
        <f t="shared" si="234"/>
        <v>0</v>
      </c>
      <c r="AP1275" s="53">
        <f t="shared" si="234"/>
        <v>6205486.666666667</v>
      </c>
      <c r="AQ1275" s="53">
        <f t="shared" si="234"/>
        <v>0</v>
      </c>
      <c r="AR1275" s="53">
        <f t="shared" si="234"/>
        <v>0</v>
      </c>
      <c r="AS1275" s="53">
        <f t="shared" si="234"/>
        <v>0</v>
      </c>
      <c r="AT1275" s="53">
        <f t="shared" si="234"/>
        <v>0</v>
      </c>
      <c r="AU1275" s="53">
        <f t="shared" si="234"/>
        <v>0</v>
      </c>
      <c r="AV1275" s="53">
        <f t="shared" si="234"/>
        <v>0</v>
      </c>
      <c r="AW1275" s="53">
        <f t="shared" si="234"/>
        <v>0</v>
      </c>
      <c r="AX1275" s="53">
        <f t="shared" si="235"/>
        <v>0</v>
      </c>
      <c r="AY1275" s="41" t="s">
        <v>557</v>
      </c>
    </row>
    <row r="1276" spans="1:51" x14ac:dyDescent="0.2">
      <c r="A1276" s="41" t="s">
        <v>642</v>
      </c>
      <c r="B1276" s="41">
        <v>2002</v>
      </c>
      <c r="C1276" s="41" t="s">
        <v>91</v>
      </c>
      <c r="D1276" s="41" t="s">
        <v>401</v>
      </c>
      <c r="E1276" s="41">
        <v>0</v>
      </c>
      <c r="F1276" s="41" t="s">
        <v>390</v>
      </c>
      <c r="G1276" s="53">
        <f>471427+552064</f>
        <v>1023491</v>
      </c>
      <c r="I1276" s="56">
        <f t="shared" si="236"/>
        <v>6.0315798818628839</v>
      </c>
      <c r="T1276" s="53">
        <f>(83947+103633)*31.1/1000</f>
        <v>5833.7380000000003</v>
      </c>
      <c r="AO1276" s="53">
        <f t="shared" si="234"/>
        <v>0</v>
      </c>
      <c r="AP1276" s="53">
        <f t="shared" si="234"/>
        <v>6173267.7248677248</v>
      </c>
      <c r="AQ1276" s="53">
        <f t="shared" si="234"/>
        <v>0</v>
      </c>
      <c r="AR1276" s="53">
        <f t="shared" si="234"/>
        <v>0</v>
      </c>
      <c r="AS1276" s="53">
        <f t="shared" si="234"/>
        <v>0</v>
      </c>
      <c r="AT1276" s="53">
        <f t="shared" si="234"/>
        <v>0</v>
      </c>
      <c r="AU1276" s="53">
        <f t="shared" si="234"/>
        <v>0</v>
      </c>
      <c r="AV1276" s="53">
        <f t="shared" si="234"/>
        <v>0</v>
      </c>
      <c r="AW1276" s="53">
        <f t="shared" si="234"/>
        <v>0</v>
      </c>
      <c r="AX1276" s="53">
        <f t="shared" si="235"/>
        <v>0</v>
      </c>
      <c r="AY1276" s="41" t="s">
        <v>557</v>
      </c>
    </row>
    <row r="1277" spans="1:51" x14ac:dyDescent="0.2">
      <c r="A1277" s="41" t="s">
        <v>642</v>
      </c>
      <c r="B1277" s="41">
        <v>2003</v>
      </c>
      <c r="C1277" s="41" t="s">
        <v>91</v>
      </c>
      <c r="D1277" s="41" t="s">
        <v>401</v>
      </c>
      <c r="E1277" s="41">
        <v>0</v>
      </c>
      <c r="F1277" s="41" t="s">
        <v>390</v>
      </c>
      <c r="G1277" s="53">
        <f>506905+506633</f>
        <v>1013538</v>
      </c>
      <c r="I1277" s="56">
        <f t="shared" si="236"/>
        <v>5.4796836616363862</v>
      </c>
      <c r="T1277" s="53">
        <f>(89514+79245)*31.1/1000</f>
        <v>5248.4049000000005</v>
      </c>
      <c r="AO1277" s="53">
        <f t="shared" si="234"/>
        <v>0</v>
      </c>
      <c r="AP1277" s="53">
        <f t="shared" si="234"/>
        <v>5553867.6190476194</v>
      </c>
      <c r="AQ1277" s="53">
        <f t="shared" si="234"/>
        <v>0</v>
      </c>
      <c r="AR1277" s="53">
        <f t="shared" si="234"/>
        <v>0</v>
      </c>
      <c r="AS1277" s="53">
        <f t="shared" si="234"/>
        <v>0</v>
      </c>
      <c r="AT1277" s="53">
        <f t="shared" si="234"/>
        <v>0</v>
      </c>
      <c r="AU1277" s="53">
        <f t="shared" si="234"/>
        <v>0</v>
      </c>
      <c r="AV1277" s="53">
        <f t="shared" si="234"/>
        <v>0</v>
      </c>
      <c r="AW1277" s="53">
        <f t="shared" si="234"/>
        <v>0</v>
      </c>
      <c r="AX1277" s="53">
        <f t="shared" si="235"/>
        <v>0</v>
      </c>
      <c r="AY1277" s="41" t="s">
        <v>557</v>
      </c>
    </row>
    <row r="1278" spans="1:51" x14ac:dyDescent="0.2">
      <c r="A1278" s="41" t="s">
        <v>642</v>
      </c>
      <c r="B1278" s="41">
        <v>2004</v>
      </c>
      <c r="C1278" s="41" t="s">
        <v>91</v>
      </c>
      <c r="D1278" s="41" t="s">
        <v>401</v>
      </c>
      <c r="E1278" s="41">
        <v>0</v>
      </c>
      <c r="F1278" s="41" t="s">
        <v>390</v>
      </c>
      <c r="G1278" s="53">
        <f>357521+516134</f>
        <v>873655</v>
      </c>
      <c r="I1278" s="56">
        <f t="shared" si="236"/>
        <v>5.084614569594339</v>
      </c>
      <c r="T1278" s="53">
        <f>(55014+79966)*31.1/1000</f>
        <v>4197.8779999999997</v>
      </c>
      <c r="AO1278" s="53">
        <f t="shared" si="234"/>
        <v>0</v>
      </c>
      <c r="AP1278" s="53">
        <f t="shared" si="234"/>
        <v>4442198.9417989422</v>
      </c>
      <c r="AQ1278" s="53">
        <f t="shared" si="234"/>
        <v>0</v>
      </c>
      <c r="AR1278" s="53">
        <f t="shared" si="234"/>
        <v>0</v>
      </c>
      <c r="AS1278" s="53">
        <f t="shared" si="234"/>
        <v>0</v>
      </c>
      <c r="AT1278" s="53">
        <f t="shared" si="234"/>
        <v>0</v>
      </c>
      <c r="AU1278" s="53">
        <f t="shared" si="234"/>
        <v>0</v>
      </c>
      <c r="AV1278" s="53">
        <f t="shared" si="234"/>
        <v>0</v>
      </c>
      <c r="AW1278" s="53">
        <f t="shared" si="234"/>
        <v>0</v>
      </c>
      <c r="AX1278" s="53">
        <f t="shared" si="235"/>
        <v>0</v>
      </c>
      <c r="AY1278" s="41" t="s">
        <v>557</v>
      </c>
    </row>
    <row r="1279" spans="1:51" x14ac:dyDescent="0.2">
      <c r="A1279" s="41" t="s">
        <v>642</v>
      </c>
      <c r="B1279" s="41">
        <v>2005</v>
      </c>
      <c r="C1279" s="41" t="s">
        <v>91</v>
      </c>
      <c r="D1279" s="41" t="s">
        <v>401</v>
      </c>
      <c r="E1279" s="41">
        <v>0</v>
      </c>
      <c r="F1279" s="41" t="s">
        <v>390</v>
      </c>
      <c r="G1279" s="53">
        <v>531012</v>
      </c>
      <c r="I1279" s="56">
        <f t="shared" si="236"/>
        <v>4.446599259786157</v>
      </c>
      <c r="T1279" s="53">
        <f>71747*31.1/1000</f>
        <v>2231.3317000000002</v>
      </c>
      <c r="AO1279" s="53">
        <f t="shared" si="234"/>
        <v>0</v>
      </c>
      <c r="AP1279" s="53">
        <f t="shared" si="234"/>
        <v>2361197.5661375667</v>
      </c>
      <c r="AQ1279" s="53">
        <f t="shared" si="234"/>
        <v>0</v>
      </c>
      <c r="AR1279" s="53">
        <f t="shared" si="234"/>
        <v>0</v>
      </c>
      <c r="AS1279" s="53">
        <f t="shared" si="234"/>
        <v>0</v>
      </c>
      <c r="AT1279" s="53">
        <f t="shared" si="234"/>
        <v>0</v>
      </c>
      <c r="AU1279" s="53">
        <f t="shared" si="234"/>
        <v>0</v>
      </c>
      <c r="AV1279" s="53">
        <f t="shared" si="234"/>
        <v>0</v>
      </c>
      <c r="AW1279" s="53">
        <f t="shared" si="234"/>
        <v>0</v>
      </c>
      <c r="AX1279" s="53">
        <f t="shared" si="235"/>
        <v>0</v>
      </c>
      <c r="AY1279" s="41" t="s">
        <v>557</v>
      </c>
    </row>
    <row r="1280" spans="1:51" x14ac:dyDescent="0.2">
      <c r="A1280" s="41" t="s">
        <v>642</v>
      </c>
      <c r="B1280" s="41">
        <v>2006</v>
      </c>
      <c r="C1280" s="41" t="s">
        <v>91</v>
      </c>
      <c r="D1280" s="41" t="s">
        <v>401</v>
      </c>
      <c r="E1280" s="41">
        <v>0</v>
      </c>
      <c r="F1280" s="41" t="s">
        <v>390</v>
      </c>
      <c r="G1280" s="53">
        <v>136151</v>
      </c>
      <c r="I1280" s="56">
        <f t="shared" si="236"/>
        <v>5.0151506619692681</v>
      </c>
      <c r="T1280" s="53">
        <f>20748*31.1/1000</f>
        <v>645.26280000000008</v>
      </c>
      <c r="AO1280" s="53">
        <f t="shared" si="234"/>
        <v>0</v>
      </c>
      <c r="AP1280" s="53">
        <f t="shared" si="234"/>
        <v>682817.77777777787</v>
      </c>
      <c r="AQ1280" s="53">
        <f t="shared" si="234"/>
        <v>0</v>
      </c>
      <c r="AR1280" s="53">
        <f t="shared" si="234"/>
        <v>0</v>
      </c>
      <c r="AS1280" s="53">
        <f t="shared" si="234"/>
        <v>0</v>
      </c>
      <c r="AT1280" s="53">
        <f t="shared" si="234"/>
        <v>0</v>
      </c>
      <c r="AU1280" s="53">
        <f t="shared" si="234"/>
        <v>0</v>
      </c>
      <c r="AV1280" s="53">
        <f t="shared" si="234"/>
        <v>0</v>
      </c>
      <c r="AW1280" s="53">
        <f t="shared" si="234"/>
        <v>0</v>
      </c>
      <c r="AX1280" s="53">
        <f t="shared" si="235"/>
        <v>0</v>
      </c>
      <c r="AY1280" s="41" t="s">
        <v>557</v>
      </c>
    </row>
    <row r="1281" spans="1:51" x14ac:dyDescent="0.2">
      <c r="A1281" s="41" t="s">
        <v>642</v>
      </c>
      <c r="B1281" s="41">
        <v>2007</v>
      </c>
      <c r="C1281" s="41" t="s">
        <v>91</v>
      </c>
      <c r="D1281" s="41" t="s">
        <v>401</v>
      </c>
      <c r="E1281" s="41">
        <v>0</v>
      </c>
      <c r="F1281" s="41" t="s">
        <v>390</v>
      </c>
      <c r="G1281" s="53">
        <v>153163</v>
      </c>
      <c r="I1281" s="56">
        <f t="shared" si="236"/>
        <v>3.1093761264886153</v>
      </c>
      <c r="T1281" s="53">
        <f>14471*31.1/1000</f>
        <v>450.04810000000003</v>
      </c>
      <c r="AO1281" s="53">
        <f t="shared" si="234"/>
        <v>0</v>
      </c>
      <c r="AP1281" s="53">
        <f t="shared" si="234"/>
        <v>476241.37566137576</v>
      </c>
      <c r="AQ1281" s="53">
        <f t="shared" si="234"/>
        <v>0</v>
      </c>
      <c r="AR1281" s="53">
        <f t="shared" si="234"/>
        <v>0</v>
      </c>
      <c r="AS1281" s="53">
        <f t="shared" si="234"/>
        <v>0</v>
      </c>
      <c r="AT1281" s="53">
        <f t="shared" si="234"/>
        <v>0</v>
      </c>
      <c r="AU1281" s="53">
        <f t="shared" si="234"/>
        <v>0</v>
      </c>
      <c r="AV1281" s="53">
        <f t="shared" si="234"/>
        <v>0</v>
      </c>
      <c r="AW1281" s="53">
        <f t="shared" si="234"/>
        <v>0</v>
      </c>
      <c r="AX1281" s="53">
        <f t="shared" si="235"/>
        <v>0</v>
      </c>
      <c r="AY1281" s="41" t="s">
        <v>557</v>
      </c>
    </row>
    <row r="1282" spans="1:51" x14ac:dyDescent="0.2">
      <c r="A1282" s="41" t="s">
        <v>642</v>
      </c>
      <c r="B1282" s="41">
        <v>2008</v>
      </c>
      <c r="C1282" s="41" t="s">
        <v>91</v>
      </c>
      <c r="D1282" s="41" t="s">
        <v>401</v>
      </c>
      <c r="E1282" s="41">
        <v>0</v>
      </c>
      <c r="F1282" s="41" t="s">
        <v>390</v>
      </c>
      <c r="G1282" s="53">
        <f>3485+4966</f>
        <v>8451</v>
      </c>
      <c r="I1282" s="56">
        <f t="shared" si="236"/>
        <v>3.9253737230308055</v>
      </c>
      <c r="T1282" s="53">
        <f>(416+592)*31.1/1000</f>
        <v>31.348800000000004</v>
      </c>
      <c r="AO1282" s="53">
        <f t="shared" si="234"/>
        <v>0</v>
      </c>
      <c r="AP1282" s="53">
        <f t="shared" si="234"/>
        <v>33173.333333333336</v>
      </c>
      <c r="AQ1282" s="53">
        <f t="shared" si="234"/>
        <v>0</v>
      </c>
      <c r="AR1282" s="53">
        <f t="shared" si="234"/>
        <v>0</v>
      </c>
      <c r="AS1282" s="53">
        <f t="shared" si="234"/>
        <v>0</v>
      </c>
      <c r="AT1282" s="53">
        <f t="shared" si="234"/>
        <v>0</v>
      </c>
      <c r="AU1282" s="53">
        <f t="shared" si="234"/>
        <v>0</v>
      </c>
      <c r="AV1282" s="53">
        <f t="shared" si="234"/>
        <v>0</v>
      </c>
      <c r="AW1282" s="53">
        <f t="shared" si="234"/>
        <v>0</v>
      </c>
      <c r="AX1282" s="53">
        <f t="shared" si="235"/>
        <v>0</v>
      </c>
      <c r="AY1282" s="41" t="s">
        <v>557</v>
      </c>
    </row>
    <row r="1283" spans="1:51" x14ac:dyDescent="0.2">
      <c r="A1283" s="41" t="s">
        <v>642</v>
      </c>
      <c r="B1283" s="41">
        <v>2009</v>
      </c>
      <c r="C1283" s="41" t="s">
        <v>91</v>
      </c>
      <c r="D1283" s="41" t="s">
        <v>401</v>
      </c>
      <c r="E1283" s="41">
        <v>0</v>
      </c>
      <c r="F1283" s="41" t="s">
        <v>390</v>
      </c>
      <c r="G1283" s="53">
        <v>101941</v>
      </c>
      <c r="I1283" s="56">
        <f t="shared" si="236"/>
        <v>6.0408757031313227</v>
      </c>
      <c r="T1283" s="53">
        <f>18712*31.1/1000</f>
        <v>581.94320000000005</v>
      </c>
      <c r="AO1283" s="53">
        <f t="shared" si="234"/>
        <v>0</v>
      </c>
      <c r="AP1283" s="53">
        <f t="shared" si="234"/>
        <v>615812.91005291021</v>
      </c>
      <c r="AQ1283" s="53">
        <f t="shared" si="234"/>
        <v>0</v>
      </c>
      <c r="AR1283" s="53">
        <f t="shared" si="234"/>
        <v>0</v>
      </c>
      <c r="AS1283" s="53">
        <f t="shared" si="234"/>
        <v>0</v>
      </c>
      <c r="AT1283" s="53">
        <f t="shared" si="234"/>
        <v>0</v>
      </c>
      <c r="AU1283" s="53">
        <f t="shared" si="234"/>
        <v>0</v>
      </c>
      <c r="AV1283" s="53">
        <f t="shared" si="234"/>
        <v>0</v>
      </c>
      <c r="AW1283" s="53">
        <f t="shared" si="234"/>
        <v>0</v>
      </c>
      <c r="AX1283" s="53">
        <f t="shared" si="235"/>
        <v>0</v>
      </c>
      <c r="AY1283" s="41" t="s">
        <v>557</v>
      </c>
    </row>
    <row r="1284" spans="1:51" x14ac:dyDescent="0.2">
      <c r="A1284" s="41" t="s">
        <v>642</v>
      </c>
      <c r="B1284" s="41">
        <v>2010</v>
      </c>
      <c r="C1284" s="41" t="s">
        <v>91</v>
      </c>
      <c r="D1284" s="41" t="s">
        <v>401</v>
      </c>
      <c r="E1284" s="41">
        <v>0</v>
      </c>
      <c r="F1284" s="41" t="s">
        <v>390</v>
      </c>
      <c r="G1284" s="53">
        <f>23257+340594</f>
        <v>363851</v>
      </c>
      <c r="I1284" s="56">
        <f t="shared" si="236"/>
        <v>5.3800123048799025</v>
      </c>
      <c r="T1284" s="53">
        <f>(2022+57459)*31.1/1000</f>
        <v>1849.8591000000001</v>
      </c>
      <c r="AO1284" s="53">
        <f t="shared" si="234"/>
        <v>0</v>
      </c>
      <c r="AP1284" s="53">
        <f t="shared" si="234"/>
        <v>1957522.8571428573</v>
      </c>
      <c r="AQ1284" s="53">
        <f t="shared" si="234"/>
        <v>0</v>
      </c>
      <c r="AR1284" s="53">
        <f t="shared" si="234"/>
        <v>0</v>
      </c>
      <c r="AS1284" s="53">
        <f t="shared" si="234"/>
        <v>0</v>
      </c>
      <c r="AT1284" s="53">
        <f t="shared" si="234"/>
        <v>0</v>
      </c>
      <c r="AU1284" s="53">
        <f t="shared" si="234"/>
        <v>0</v>
      </c>
      <c r="AV1284" s="53">
        <f t="shared" si="234"/>
        <v>0</v>
      </c>
      <c r="AW1284" s="53">
        <f t="shared" si="234"/>
        <v>0</v>
      </c>
      <c r="AX1284" s="53">
        <f t="shared" si="235"/>
        <v>0</v>
      </c>
      <c r="AY1284" s="41" t="s">
        <v>557</v>
      </c>
    </row>
    <row r="1285" spans="1:51" x14ac:dyDescent="0.2">
      <c r="A1285" s="41" t="s">
        <v>642</v>
      </c>
      <c r="B1285" s="41">
        <v>2011</v>
      </c>
      <c r="C1285" s="41" t="s">
        <v>91</v>
      </c>
      <c r="D1285" s="41" t="s">
        <v>401</v>
      </c>
      <c r="E1285" s="41">
        <v>0</v>
      </c>
      <c r="F1285" s="41" t="s">
        <v>390</v>
      </c>
      <c r="G1285" s="53">
        <f>232330+204258</f>
        <v>436588</v>
      </c>
      <c r="I1285" s="56">
        <f t="shared" si="236"/>
        <v>4.0582391603033496</v>
      </c>
      <c r="T1285" s="53">
        <f>(32376+21461)*31.1/1000</f>
        <v>1674.3307000000002</v>
      </c>
      <c r="AO1285" s="53">
        <f t="shared" si="234"/>
        <v>0</v>
      </c>
      <c r="AP1285" s="53">
        <f t="shared" si="234"/>
        <v>1771778.5185185189</v>
      </c>
      <c r="AQ1285" s="53">
        <f t="shared" si="234"/>
        <v>0</v>
      </c>
      <c r="AR1285" s="53">
        <f t="shared" si="234"/>
        <v>0</v>
      </c>
      <c r="AS1285" s="53">
        <f t="shared" si="234"/>
        <v>0</v>
      </c>
      <c r="AT1285" s="53">
        <f t="shared" si="234"/>
        <v>0</v>
      </c>
      <c r="AU1285" s="53">
        <f t="shared" si="234"/>
        <v>0</v>
      </c>
      <c r="AV1285" s="53">
        <f t="shared" si="234"/>
        <v>0</v>
      </c>
      <c r="AW1285" s="53">
        <f t="shared" si="234"/>
        <v>0</v>
      </c>
      <c r="AX1285" s="53">
        <f t="shared" si="235"/>
        <v>0</v>
      </c>
      <c r="AY1285" s="41" t="s">
        <v>557</v>
      </c>
    </row>
    <row r="1286" spans="1:51" x14ac:dyDescent="0.2">
      <c r="A1286" s="41" t="s">
        <v>642</v>
      </c>
      <c r="B1286" s="41">
        <v>2012</v>
      </c>
      <c r="C1286" s="41" t="s">
        <v>91</v>
      </c>
      <c r="D1286" s="41" t="s">
        <v>401</v>
      </c>
      <c r="E1286" s="41">
        <v>0</v>
      </c>
      <c r="F1286" s="41" t="s">
        <v>390</v>
      </c>
      <c r="G1286" s="53">
        <f>316487+191471</f>
        <v>507958</v>
      </c>
      <c r="I1286" s="56">
        <f t="shared" si="236"/>
        <v>4.6695322120849436</v>
      </c>
      <c r="T1286" s="53">
        <f>(50444+21629)*31.1/1000</f>
        <v>2241.4703000000004</v>
      </c>
      <c r="AO1286" s="53">
        <f t="shared" si="234"/>
        <v>0</v>
      </c>
      <c r="AP1286" s="53">
        <f t="shared" si="234"/>
        <v>2371926.2433862439</v>
      </c>
      <c r="AQ1286" s="53">
        <f t="shared" si="234"/>
        <v>0</v>
      </c>
      <c r="AR1286" s="53">
        <f t="shared" si="234"/>
        <v>0</v>
      </c>
      <c r="AS1286" s="53">
        <f t="shared" si="234"/>
        <v>0</v>
      </c>
      <c r="AT1286" s="53">
        <f t="shared" si="234"/>
        <v>0</v>
      </c>
      <c r="AU1286" s="53">
        <f t="shared" si="234"/>
        <v>0</v>
      </c>
      <c r="AV1286" s="53">
        <f t="shared" si="234"/>
        <v>0</v>
      </c>
      <c r="AW1286" s="53">
        <f t="shared" si="234"/>
        <v>0</v>
      </c>
      <c r="AX1286" s="53">
        <f t="shared" si="235"/>
        <v>0</v>
      </c>
      <c r="AY1286" s="41" t="s">
        <v>557</v>
      </c>
    </row>
    <row r="1287" spans="1:51" x14ac:dyDescent="0.2">
      <c r="A1287" s="41" t="s">
        <v>642</v>
      </c>
      <c r="B1287" s="41">
        <v>2013</v>
      </c>
      <c r="C1287" s="41" t="s">
        <v>91</v>
      </c>
      <c r="D1287" s="41" t="s">
        <v>401</v>
      </c>
      <c r="E1287" s="41">
        <v>0</v>
      </c>
      <c r="F1287" s="41" t="s">
        <v>390</v>
      </c>
      <c r="G1287" s="53">
        <f>369657+177005</f>
        <v>546662</v>
      </c>
      <c r="I1287" s="56">
        <f t="shared" si="236"/>
        <v>4.8298724346446713</v>
      </c>
      <c r="T1287" s="53">
        <f>(58898+21330)*31.1/1000</f>
        <v>2495.0908000000004</v>
      </c>
      <c r="AO1287" s="53">
        <f t="shared" si="234"/>
        <v>0</v>
      </c>
      <c r="AP1287" s="53">
        <f t="shared" si="234"/>
        <v>2640307.7248677253</v>
      </c>
      <c r="AQ1287" s="53">
        <f t="shared" si="234"/>
        <v>0</v>
      </c>
      <c r="AR1287" s="53">
        <f t="shared" si="234"/>
        <v>0</v>
      </c>
      <c r="AS1287" s="53">
        <f t="shared" si="234"/>
        <v>0</v>
      </c>
      <c r="AT1287" s="53">
        <f t="shared" si="234"/>
        <v>0</v>
      </c>
      <c r="AU1287" s="53">
        <f t="shared" si="234"/>
        <v>0</v>
      </c>
      <c r="AV1287" s="53">
        <f t="shared" si="234"/>
        <v>0</v>
      </c>
      <c r="AW1287" s="53">
        <f t="shared" si="234"/>
        <v>0</v>
      </c>
      <c r="AX1287" s="53">
        <f t="shared" si="235"/>
        <v>0</v>
      </c>
      <c r="AY1287" s="41" t="s">
        <v>557</v>
      </c>
    </row>
    <row r="1288" spans="1:51" x14ac:dyDescent="0.2">
      <c r="A1288" s="41" t="s">
        <v>642</v>
      </c>
      <c r="B1288" s="41">
        <v>2014</v>
      </c>
      <c r="C1288" s="41" t="s">
        <v>91</v>
      </c>
      <c r="D1288" s="41" t="s">
        <v>401</v>
      </c>
      <c r="E1288" s="41">
        <v>0</v>
      </c>
      <c r="F1288" s="41" t="s">
        <v>390</v>
      </c>
      <c r="G1288" s="53">
        <f>442108+186238</f>
        <v>628346</v>
      </c>
      <c r="I1288" s="56">
        <f t="shared" si="236"/>
        <v>4.5259401700916415</v>
      </c>
      <c r="T1288" s="53">
        <f>(62633+23780)*31.1/1000</f>
        <v>2687.4443000000001</v>
      </c>
      <c r="AO1288" s="53">
        <f t="shared" si="234"/>
        <v>0</v>
      </c>
      <c r="AP1288" s="53">
        <f t="shared" si="234"/>
        <v>2843856.4021164025</v>
      </c>
      <c r="AQ1288" s="53">
        <f t="shared" si="234"/>
        <v>0</v>
      </c>
      <c r="AR1288" s="53">
        <f t="shared" si="234"/>
        <v>0</v>
      </c>
      <c r="AS1288" s="53">
        <f t="shared" si="234"/>
        <v>0</v>
      </c>
      <c r="AT1288" s="53">
        <f t="shared" si="234"/>
        <v>0</v>
      </c>
      <c r="AU1288" s="53">
        <f t="shared" si="234"/>
        <v>0</v>
      </c>
      <c r="AV1288" s="53">
        <f t="shared" si="234"/>
        <v>0</v>
      </c>
      <c r="AW1288" s="53">
        <f t="shared" si="234"/>
        <v>0</v>
      </c>
      <c r="AX1288" s="53">
        <f t="shared" si="235"/>
        <v>0</v>
      </c>
      <c r="AY1288" s="41" t="s">
        <v>557</v>
      </c>
    </row>
    <row r="1289" spans="1:51" x14ac:dyDescent="0.2">
      <c r="A1289" s="41" t="s">
        <v>642</v>
      </c>
      <c r="B1289" s="41">
        <v>2015</v>
      </c>
      <c r="C1289" s="41" t="s">
        <v>91</v>
      </c>
      <c r="D1289" s="41" t="s">
        <v>401</v>
      </c>
      <c r="E1289" s="41">
        <v>0</v>
      </c>
      <c r="F1289" s="41" t="s">
        <v>390</v>
      </c>
      <c r="G1289" s="53">
        <f>426614+180210</f>
        <v>606824</v>
      </c>
      <c r="I1289" s="56">
        <f t="shared" si="236"/>
        <v>4.9768791864687874</v>
      </c>
      <c r="T1289" s="53">
        <f>(63048+28720)*31.1/1000</f>
        <v>2853.9848000000002</v>
      </c>
      <c r="AO1289" s="53">
        <f t="shared" si="234"/>
        <v>0</v>
      </c>
      <c r="AP1289" s="53">
        <f t="shared" si="234"/>
        <v>3020089.7354497355</v>
      </c>
      <c r="AQ1289" s="53">
        <f t="shared" si="234"/>
        <v>0</v>
      </c>
      <c r="AR1289" s="53">
        <f t="shared" si="234"/>
        <v>0</v>
      </c>
      <c r="AS1289" s="53">
        <f t="shared" si="234"/>
        <v>0</v>
      </c>
      <c r="AT1289" s="53">
        <f t="shared" si="234"/>
        <v>0</v>
      </c>
      <c r="AU1289" s="53">
        <f t="shared" si="234"/>
        <v>0</v>
      </c>
      <c r="AV1289" s="53">
        <f t="shared" si="234"/>
        <v>0</v>
      </c>
      <c r="AW1289" s="53">
        <f t="shared" si="234"/>
        <v>0</v>
      </c>
      <c r="AX1289" s="53">
        <f t="shared" si="235"/>
        <v>0</v>
      </c>
      <c r="AY1289" s="41" t="s">
        <v>557</v>
      </c>
    </row>
    <row r="1290" spans="1:51" x14ac:dyDescent="0.2">
      <c r="A1290" s="41" t="s">
        <v>642</v>
      </c>
      <c r="B1290" s="41">
        <v>2016</v>
      </c>
      <c r="C1290" s="41" t="s">
        <v>91</v>
      </c>
      <c r="D1290" s="41" t="s">
        <v>401</v>
      </c>
      <c r="E1290" s="41">
        <v>0</v>
      </c>
      <c r="F1290" s="41" t="s">
        <v>390</v>
      </c>
      <c r="G1290" s="53">
        <f>416048+203130</f>
        <v>619178</v>
      </c>
      <c r="I1290" s="56">
        <f t="shared" si="236"/>
        <v>4.5295983046032307</v>
      </c>
      <c r="T1290" s="53">
        <f>(57086+28135)*31.1/1000</f>
        <v>2650.3731000000002</v>
      </c>
      <c r="AO1290" s="53">
        <f t="shared" si="234"/>
        <v>0</v>
      </c>
      <c r="AP1290" s="53">
        <f t="shared" si="234"/>
        <v>2804627.6190476189</v>
      </c>
      <c r="AQ1290" s="53">
        <f t="shared" si="234"/>
        <v>0</v>
      </c>
      <c r="AR1290" s="53">
        <f t="shared" ref="AR1290:AW1290" si="237">$G1290*K1290</f>
        <v>0</v>
      </c>
      <c r="AS1290" s="53">
        <f t="shared" si="237"/>
        <v>0</v>
      </c>
      <c r="AT1290" s="53">
        <f t="shared" si="237"/>
        <v>0</v>
      </c>
      <c r="AU1290" s="53">
        <f t="shared" si="237"/>
        <v>0</v>
      </c>
      <c r="AV1290" s="53">
        <f t="shared" si="237"/>
        <v>0</v>
      </c>
      <c r="AW1290" s="53">
        <f t="shared" si="237"/>
        <v>0</v>
      </c>
      <c r="AX1290" s="53">
        <f t="shared" si="235"/>
        <v>0</v>
      </c>
      <c r="AY1290" s="41" t="s">
        <v>557</v>
      </c>
    </row>
    <row r="1291" spans="1:51" x14ac:dyDescent="0.2">
      <c r="A1291" s="41" t="s">
        <v>642</v>
      </c>
      <c r="B1291" s="60" t="s">
        <v>559</v>
      </c>
      <c r="C1291" s="60" t="s">
        <v>91</v>
      </c>
      <c r="D1291" s="60" t="s">
        <v>401</v>
      </c>
      <c r="E1291" s="60">
        <v>0</v>
      </c>
      <c r="F1291" s="60" t="s">
        <v>390</v>
      </c>
      <c r="G1291" s="79">
        <f>SUM(G1262:G1290)</f>
        <v>16386642</v>
      </c>
      <c r="I1291" s="80">
        <f>AP1291/SUM($G1262:$G1290)</f>
        <v>5.5678149473546963</v>
      </c>
      <c r="T1291" s="79">
        <f>SUM(T1262:T1290)</f>
        <v>86219.711800000005</v>
      </c>
      <c r="AO1291" s="79">
        <f t="shared" ref="AO1291:AX1291" si="238">SUM(AO1262:AO1290)</f>
        <v>0</v>
      </c>
      <c r="AP1291" s="79">
        <f t="shared" si="238"/>
        <v>91237790.264550254</v>
      </c>
      <c r="AQ1291" s="79">
        <f t="shared" si="238"/>
        <v>0</v>
      </c>
      <c r="AR1291" s="79">
        <f t="shared" si="238"/>
        <v>0</v>
      </c>
      <c r="AS1291" s="79">
        <f t="shared" si="238"/>
        <v>0</v>
      </c>
      <c r="AT1291" s="79">
        <f t="shared" si="238"/>
        <v>0</v>
      </c>
      <c r="AU1291" s="79">
        <f t="shared" si="238"/>
        <v>0</v>
      </c>
      <c r="AV1291" s="79">
        <f t="shared" si="238"/>
        <v>0</v>
      </c>
      <c r="AW1291" s="79">
        <f t="shared" si="238"/>
        <v>0</v>
      </c>
      <c r="AX1291" s="79">
        <f t="shared" si="238"/>
        <v>0</v>
      </c>
      <c r="AY1291" s="41" t="s">
        <v>557</v>
      </c>
    </row>
    <row r="1292" spans="1:51" x14ac:dyDescent="0.2">
      <c r="A1292" s="41" t="s">
        <v>642</v>
      </c>
      <c r="B1292" s="43" t="s">
        <v>560</v>
      </c>
      <c r="G1292" s="53">
        <f>STDEV(G1262:G1290)</f>
        <v>297697.11351045739</v>
      </c>
      <c r="I1292" s="46">
        <f>STDEV(I1262:I1290)</f>
        <v>1.3060314440094916</v>
      </c>
      <c r="T1292" s="53">
        <f>STDEV(T1262:T1290)</f>
        <v>2059.6644468775571</v>
      </c>
      <c r="AY1292" s="41" t="s">
        <v>557</v>
      </c>
    </row>
    <row r="1293" spans="1:51" x14ac:dyDescent="0.2">
      <c r="A1293" s="41" t="s">
        <v>642</v>
      </c>
      <c r="B1293" s="81" t="s">
        <v>249</v>
      </c>
      <c r="G1293" s="41">
        <f>COUNT(G1262:G1290)</f>
        <v>29</v>
      </c>
      <c r="I1293" s="41">
        <f>COUNT(I1262:I1290)</f>
        <v>29</v>
      </c>
      <c r="T1293" s="41">
        <f>COUNT(T1262:T1290)</f>
        <v>29</v>
      </c>
      <c r="AY1293" s="41" t="s">
        <v>557</v>
      </c>
    </row>
    <row r="1294" spans="1:51" x14ac:dyDescent="0.2">
      <c r="A1294" s="82"/>
      <c r="B1294" s="82"/>
      <c r="C1294" s="82"/>
      <c r="D1294" s="82"/>
      <c r="E1294" s="82"/>
      <c r="F1294" s="82"/>
      <c r="G1294" s="82"/>
      <c r="H1294" s="82"/>
      <c r="I1294" s="82"/>
      <c r="J1294" s="82"/>
      <c r="K1294" s="82"/>
      <c r="L1294" s="82"/>
      <c r="M1294" s="82"/>
      <c r="N1294" s="82"/>
      <c r="O1294" s="82"/>
      <c r="P1294" s="82"/>
      <c r="Q1294" s="82"/>
      <c r="R1294" s="82"/>
      <c r="S1294" s="82"/>
      <c r="T1294" s="82"/>
      <c r="U1294" s="82"/>
      <c r="V1294" s="82"/>
      <c r="W1294" s="82"/>
      <c r="X1294" s="82"/>
      <c r="Y1294" s="82"/>
      <c r="Z1294" s="82"/>
      <c r="AA1294" s="82"/>
      <c r="AB1294" s="82"/>
      <c r="AC1294" s="82"/>
      <c r="AD1294" s="82"/>
      <c r="AE1294" s="82"/>
      <c r="AF1294" s="82"/>
      <c r="AG1294" s="82"/>
      <c r="AH1294" s="82"/>
      <c r="AI1294" s="82"/>
      <c r="AJ1294" s="82"/>
      <c r="AK1294" s="82"/>
      <c r="AL1294" s="82"/>
      <c r="AM1294" s="82"/>
      <c r="AN1294" s="82"/>
      <c r="AO1294" s="82"/>
      <c r="AP1294" s="82"/>
      <c r="AQ1294" s="82"/>
      <c r="AR1294" s="82"/>
      <c r="AS1294" s="82"/>
      <c r="AT1294" s="82"/>
      <c r="AU1294" s="82"/>
      <c r="AV1294" s="82"/>
      <c r="AW1294" s="82"/>
      <c r="AX1294" s="82"/>
      <c r="AY1294" s="41" t="s">
        <v>557</v>
      </c>
    </row>
    <row r="1295" spans="1:51" x14ac:dyDescent="0.2">
      <c r="A1295" s="41" t="s">
        <v>131</v>
      </c>
      <c r="B1295" s="41">
        <v>1997</v>
      </c>
      <c r="C1295" s="41" t="s">
        <v>87</v>
      </c>
      <c r="D1295" s="41" t="s">
        <v>88</v>
      </c>
      <c r="E1295" s="41">
        <v>100</v>
      </c>
      <c r="F1295" s="41" t="s">
        <v>643</v>
      </c>
      <c r="G1295" s="53">
        <v>1249602</v>
      </c>
      <c r="H1295" s="41">
        <v>0.65200000000000002</v>
      </c>
      <c r="I1295" s="118">
        <v>0.05</v>
      </c>
      <c r="J1295" s="118">
        <v>1.5</v>
      </c>
      <c r="K1295" s="41">
        <v>1.4999999999999999E-2</v>
      </c>
      <c r="R1295" s="76">
        <f t="shared" ref="R1295:R1314" si="239">S1295*4</f>
        <v>25218.180168738094</v>
      </c>
      <c r="S1295" s="53">
        <f>13899000/2204.6</f>
        <v>6304.5450421845235</v>
      </c>
      <c r="T1295" s="91">
        <f>0.5*G1295*I1295/1000</f>
        <v>31.240050000000004</v>
      </c>
      <c r="U1295" s="91">
        <f>0.75*G1295*J1295/1000</f>
        <v>1405.80225</v>
      </c>
      <c r="AH1295" s="53">
        <f t="shared" ref="AH1295:AH1314" si="240">G1295-R1295</f>
        <v>1224383.8198312619</v>
      </c>
      <c r="AM1295" s="76">
        <f>1.25*G1295</f>
        <v>1562002.5</v>
      </c>
      <c r="AO1295" s="53">
        <f t="shared" ref="AO1295:AW1314" si="241">$G1295*H1295</f>
        <v>814740.50400000007</v>
      </c>
      <c r="AP1295" s="53">
        <f t="shared" si="241"/>
        <v>62480.100000000006</v>
      </c>
      <c r="AQ1295" s="53">
        <f t="shared" si="241"/>
        <v>1874403</v>
      </c>
      <c r="AR1295" s="53">
        <f t="shared" si="241"/>
        <v>18744.03</v>
      </c>
      <c r="AS1295" s="53">
        <f t="shared" si="241"/>
        <v>0</v>
      </c>
      <c r="AT1295" s="53">
        <f t="shared" si="241"/>
        <v>0</v>
      </c>
      <c r="AU1295" s="53">
        <f t="shared" si="241"/>
        <v>0</v>
      </c>
      <c r="AV1295" s="53">
        <f t="shared" si="241"/>
        <v>0</v>
      </c>
      <c r="AW1295" s="53">
        <f t="shared" si="241"/>
        <v>0</v>
      </c>
      <c r="AX1295" s="53">
        <f t="shared" ref="AX1295:AX1314" si="242">$G1295*E1295</f>
        <v>124960200</v>
      </c>
      <c r="AY1295" s="41" t="s">
        <v>557</v>
      </c>
    </row>
    <row r="1296" spans="1:51" x14ac:dyDescent="0.2">
      <c r="A1296" s="41" t="s">
        <v>131</v>
      </c>
      <c r="B1296" s="41">
        <v>1998</v>
      </c>
      <c r="C1296" s="41" t="s">
        <v>87</v>
      </c>
      <c r="D1296" s="41" t="s">
        <v>88</v>
      </c>
      <c r="E1296" s="41">
        <v>100</v>
      </c>
      <c r="F1296" s="41" t="s">
        <v>643</v>
      </c>
      <c r="G1296" s="53">
        <v>6549997</v>
      </c>
      <c r="H1296" s="41">
        <v>0.629</v>
      </c>
      <c r="I1296" s="118">
        <v>0.05</v>
      </c>
      <c r="J1296" s="118">
        <v>1.5</v>
      </c>
      <c r="K1296" s="41">
        <v>1.7000000000000001E-2</v>
      </c>
      <c r="R1296" s="76">
        <f t="shared" si="239"/>
        <v>147469.83579787717</v>
      </c>
      <c r="S1296" s="53">
        <f>81278000/2204.6</f>
        <v>36867.458949469292</v>
      </c>
      <c r="T1296" s="91">
        <f t="shared" ref="T1296:T1302" si="243">0.5*G1296*I1296/1000</f>
        <v>163.74992500000002</v>
      </c>
      <c r="U1296" s="91">
        <f t="shared" ref="U1296:U1302" si="244">0.75*G1296*J1296/1000</f>
        <v>7368.7466249999998</v>
      </c>
      <c r="V1296" s="76">
        <f>W1296*2</f>
        <v>498.95672684387193</v>
      </c>
      <c r="W1296" s="52">
        <f>550000/2204.6</f>
        <v>249.47836342193597</v>
      </c>
      <c r="AH1296" s="53">
        <f t="shared" si="240"/>
        <v>6402527.1642021229</v>
      </c>
      <c r="AM1296" s="76">
        <f>1*G1296</f>
        <v>6549997</v>
      </c>
      <c r="AO1296" s="53">
        <f t="shared" si="241"/>
        <v>4119948.1129999999</v>
      </c>
      <c r="AP1296" s="53">
        <f t="shared" si="241"/>
        <v>327499.85000000003</v>
      </c>
      <c r="AQ1296" s="53">
        <f t="shared" si="241"/>
        <v>9824995.5</v>
      </c>
      <c r="AR1296" s="53">
        <f t="shared" si="241"/>
        <v>111349.94900000001</v>
      </c>
      <c r="AS1296" s="53">
        <f t="shared" si="241"/>
        <v>0</v>
      </c>
      <c r="AT1296" s="53">
        <f t="shared" si="241"/>
        <v>0</v>
      </c>
      <c r="AU1296" s="53">
        <f t="shared" si="241"/>
        <v>0</v>
      </c>
      <c r="AV1296" s="53">
        <f t="shared" si="241"/>
        <v>0</v>
      </c>
      <c r="AW1296" s="53">
        <f t="shared" si="241"/>
        <v>0</v>
      </c>
      <c r="AX1296" s="53">
        <f t="shared" si="242"/>
        <v>654999700</v>
      </c>
      <c r="AY1296" s="41" t="s">
        <v>557</v>
      </c>
    </row>
    <row r="1297" spans="1:51" x14ac:dyDescent="0.2">
      <c r="A1297" s="41" t="s">
        <v>131</v>
      </c>
      <c r="B1297" s="41">
        <v>1999</v>
      </c>
      <c r="C1297" s="41" t="s">
        <v>87</v>
      </c>
      <c r="D1297" s="41" t="s">
        <v>88</v>
      </c>
      <c r="E1297" s="41">
        <v>100</v>
      </c>
      <c r="F1297" s="41" t="s">
        <v>643</v>
      </c>
      <c r="G1297" s="53">
        <v>6958700</v>
      </c>
      <c r="H1297" s="41">
        <v>0.58599999999999997</v>
      </c>
      <c r="I1297" s="118">
        <v>0.05</v>
      </c>
      <c r="J1297" s="118">
        <v>1.5</v>
      </c>
      <c r="K1297" s="41">
        <v>1.7000000000000001E-2</v>
      </c>
      <c r="R1297" s="76">
        <f t="shared" si="239"/>
        <v>148157.48888687292</v>
      </c>
      <c r="S1297" s="53">
        <f>81657000/2204.6</f>
        <v>37039.372221718229</v>
      </c>
      <c r="T1297" s="91">
        <f t="shared" si="243"/>
        <v>173.9675</v>
      </c>
      <c r="U1297" s="91">
        <f t="shared" si="244"/>
        <v>7828.5375000000004</v>
      </c>
      <c r="V1297" s="76">
        <f t="shared" ref="V1297:V1310" si="245">W1297*2</f>
        <v>886.05642746983585</v>
      </c>
      <c r="W1297" s="52">
        <f>976700/2204.6</f>
        <v>443.02821373491793</v>
      </c>
      <c r="AH1297" s="53">
        <f t="shared" si="240"/>
        <v>6810542.5111131268</v>
      </c>
      <c r="AM1297" s="76">
        <f t="shared" ref="AM1297:AM1314" si="246">1*G1297</f>
        <v>6958700</v>
      </c>
      <c r="AO1297" s="53">
        <f t="shared" si="241"/>
        <v>4077798.1999999997</v>
      </c>
      <c r="AP1297" s="53">
        <f t="shared" si="241"/>
        <v>347935</v>
      </c>
      <c r="AQ1297" s="53">
        <f t="shared" si="241"/>
        <v>10438050</v>
      </c>
      <c r="AR1297" s="53">
        <f t="shared" si="241"/>
        <v>118297.90000000001</v>
      </c>
      <c r="AS1297" s="53">
        <f t="shared" si="241"/>
        <v>0</v>
      </c>
      <c r="AT1297" s="53">
        <f t="shared" si="241"/>
        <v>0</v>
      </c>
      <c r="AU1297" s="53">
        <f t="shared" si="241"/>
        <v>0</v>
      </c>
      <c r="AV1297" s="53">
        <f t="shared" si="241"/>
        <v>0</v>
      </c>
      <c r="AW1297" s="53">
        <f t="shared" si="241"/>
        <v>0</v>
      </c>
      <c r="AX1297" s="53">
        <f t="shared" si="242"/>
        <v>695870000</v>
      </c>
      <c r="AY1297" s="41" t="s">
        <v>557</v>
      </c>
    </row>
    <row r="1298" spans="1:51" x14ac:dyDescent="0.2">
      <c r="A1298" s="41" t="s">
        <v>131</v>
      </c>
      <c r="B1298" s="41">
        <v>2000</v>
      </c>
      <c r="C1298" s="41" t="s">
        <v>87</v>
      </c>
      <c r="D1298" s="41" t="s">
        <v>88</v>
      </c>
      <c r="E1298" s="41">
        <v>100</v>
      </c>
      <c r="F1298" s="41" t="s">
        <v>643</v>
      </c>
      <c r="G1298" s="53">
        <v>7145600</v>
      </c>
      <c r="H1298" s="41">
        <v>0.502</v>
      </c>
      <c r="I1298" s="118">
        <v>0.05</v>
      </c>
      <c r="J1298" s="118">
        <v>1.5</v>
      </c>
      <c r="K1298" s="41">
        <v>1.2999999999999999E-2</v>
      </c>
      <c r="R1298" s="76">
        <f t="shared" si="239"/>
        <v>133958.08763494511</v>
      </c>
      <c r="S1298" s="53">
        <f>73831000/2204.6</f>
        <v>33489.521908736278</v>
      </c>
      <c r="T1298" s="91">
        <f t="shared" si="243"/>
        <v>178.64</v>
      </c>
      <c r="U1298" s="91">
        <f t="shared" si="244"/>
        <v>8038.8</v>
      </c>
      <c r="V1298" s="76">
        <f t="shared" si="245"/>
        <v>1192.6535425927607</v>
      </c>
      <c r="W1298" s="52">
        <f>1314662/2204.6</f>
        <v>596.32677129638034</v>
      </c>
      <c r="AH1298" s="53">
        <f t="shared" si="240"/>
        <v>7011641.9123650547</v>
      </c>
      <c r="AM1298" s="76">
        <f t="shared" si="246"/>
        <v>7145600</v>
      </c>
      <c r="AO1298" s="53">
        <f t="shared" si="241"/>
        <v>3587091.2</v>
      </c>
      <c r="AP1298" s="53">
        <f t="shared" si="241"/>
        <v>357280</v>
      </c>
      <c r="AQ1298" s="53">
        <f t="shared" si="241"/>
        <v>10718400</v>
      </c>
      <c r="AR1298" s="53">
        <f t="shared" si="241"/>
        <v>92892.800000000003</v>
      </c>
      <c r="AS1298" s="53">
        <f t="shared" si="241"/>
        <v>0</v>
      </c>
      <c r="AT1298" s="53">
        <f t="shared" si="241"/>
        <v>0</v>
      </c>
      <c r="AU1298" s="53">
        <f t="shared" si="241"/>
        <v>0</v>
      </c>
      <c r="AV1298" s="53">
        <f t="shared" si="241"/>
        <v>0</v>
      </c>
      <c r="AW1298" s="53">
        <f t="shared" si="241"/>
        <v>0</v>
      </c>
      <c r="AX1298" s="53">
        <f t="shared" si="242"/>
        <v>714560000</v>
      </c>
      <c r="AY1298" s="41" t="s">
        <v>557</v>
      </c>
    </row>
    <row r="1299" spans="1:51" x14ac:dyDescent="0.2">
      <c r="A1299" s="41" t="s">
        <v>131</v>
      </c>
      <c r="B1299" s="41">
        <v>2001</v>
      </c>
      <c r="C1299" s="41" t="s">
        <v>87</v>
      </c>
      <c r="D1299" s="41" t="s">
        <v>88</v>
      </c>
      <c r="E1299" s="41">
        <v>100</v>
      </c>
      <c r="F1299" s="41" t="s">
        <v>643</v>
      </c>
      <c r="G1299" s="53">
        <v>7421715</v>
      </c>
      <c r="H1299" s="41">
        <v>0.53400000000000003</v>
      </c>
      <c r="I1299" s="118">
        <v>0.05</v>
      </c>
      <c r="J1299" s="118">
        <v>1.5</v>
      </c>
      <c r="K1299" s="41">
        <v>1.6E-2</v>
      </c>
      <c r="R1299" s="76">
        <f t="shared" si="239"/>
        <v>145592.52834981403</v>
      </c>
      <c r="S1299" s="53">
        <f>80243322/2204.6</f>
        <v>36398.132087453509</v>
      </c>
      <c r="T1299" s="91">
        <f t="shared" si="243"/>
        <v>185.54287500000001</v>
      </c>
      <c r="U1299" s="91">
        <f t="shared" si="244"/>
        <v>8349.4293749999997</v>
      </c>
      <c r="V1299" s="76">
        <f t="shared" si="245"/>
        <v>1776.779461126735</v>
      </c>
      <c r="W1299" s="52">
        <f>1958544/2204.6</f>
        <v>888.38973056336749</v>
      </c>
      <c r="AH1299" s="53">
        <f t="shared" si="240"/>
        <v>7276122.471650186</v>
      </c>
      <c r="AM1299" s="76">
        <f t="shared" si="246"/>
        <v>7421715</v>
      </c>
      <c r="AO1299" s="53">
        <f t="shared" si="241"/>
        <v>3963195.81</v>
      </c>
      <c r="AP1299" s="53">
        <f t="shared" si="241"/>
        <v>371085.75</v>
      </c>
      <c r="AQ1299" s="53">
        <f t="shared" si="241"/>
        <v>11132572.5</v>
      </c>
      <c r="AR1299" s="53">
        <f t="shared" si="241"/>
        <v>118747.44</v>
      </c>
      <c r="AS1299" s="53">
        <f t="shared" si="241"/>
        <v>0</v>
      </c>
      <c r="AT1299" s="53">
        <f t="shared" si="241"/>
        <v>0</v>
      </c>
      <c r="AU1299" s="53">
        <f t="shared" si="241"/>
        <v>0</v>
      </c>
      <c r="AV1299" s="53">
        <f t="shared" si="241"/>
        <v>0</v>
      </c>
      <c r="AW1299" s="53">
        <f t="shared" si="241"/>
        <v>0</v>
      </c>
      <c r="AX1299" s="53">
        <f t="shared" si="242"/>
        <v>742171500</v>
      </c>
      <c r="AY1299" s="41" t="s">
        <v>557</v>
      </c>
    </row>
    <row r="1300" spans="1:51" x14ac:dyDescent="0.2">
      <c r="A1300" s="41" t="s">
        <v>131</v>
      </c>
      <c r="B1300" s="41">
        <v>2002</v>
      </c>
      <c r="C1300" s="41" t="s">
        <v>87</v>
      </c>
      <c r="D1300" s="41" t="s">
        <v>88</v>
      </c>
      <c r="E1300" s="41">
        <v>100</v>
      </c>
      <c r="F1300" s="41" t="s">
        <v>643</v>
      </c>
      <c r="G1300" s="53">
        <v>7415866</v>
      </c>
      <c r="H1300" s="41">
        <v>0.52200000000000002</v>
      </c>
      <c r="I1300" s="118">
        <v>0.05</v>
      </c>
      <c r="J1300" s="118">
        <v>1.5</v>
      </c>
      <c r="K1300" s="41">
        <v>1.4E-2</v>
      </c>
      <c r="R1300" s="76">
        <f t="shared" si="239"/>
        <v>140132.07838156584</v>
      </c>
      <c r="S1300" s="53">
        <f>77233795/2204.6</f>
        <v>35033.019595391459</v>
      </c>
      <c r="T1300" s="91">
        <f t="shared" si="243"/>
        <v>185.39665000000002</v>
      </c>
      <c r="U1300" s="91">
        <f t="shared" si="244"/>
        <v>8342.8492499999993</v>
      </c>
      <c r="V1300" s="76">
        <f t="shared" si="245"/>
        <v>1014.8743536242403</v>
      </c>
      <c r="W1300" s="52">
        <f>1118696/2204.6</f>
        <v>507.43717681212013</v>
      </c>
      <c r="AH1300" s="53">
        <f t="shared" si="240"/>
        <v>7275733.9216184346</v>
      </c>
      <c r="AM1300" s="76">
        <f t="shared" si="246"/>
        <v>7415866</v>
      </c>
      <c r="AO1300" s="53">
        <f t="shared" si="241"/>
        <v>3871082.0520000001</v>
      </c>
      <c r="AP1300" s="53">
        <f t="shared" si="241"/>
        <v>370793.30000000005</v>
      </c>
      <c r="AQ1300" s="53">
        <f t="shared" si="241"/>
        <v>11123799</v>
      </c>
      <c r="AR1300" s="53">
        <f t="shared" si="241"/>
        <v>103822.124</v>
      </c>
      <c r="AS1300" s="53">
        <f t="shared" si="241"/>
        <v>0</v>
      </c>
      <c r="AT1300" s="53">
        <f t="shared" si="241"/>
        <v>0</v>
      </c>
      <c r="AU1300" s="53">
        <f t="shared" si="241"/>
        <v>0</v>
      </c>
      <c r="AV1300" s="53">
        <f t="shared" si="241"/>
        <v>0</v>
      </c>
      <c r="AW1300" s="53">
        <f t="shared" si="241"/>
        <v>0</v>
      </c>
      <c r="AX1300" s="53">
        <f t="shared" si="242"/>
        <v>741586600</v>
      </c>
      <c r="AY1300" s="41" t="s">
        <v>557</v>
      </c>
    </row>
    <row r="1301" spans="1:51" x14ac:dyDescent="0.2">
      <c r="A1301" s="41" t="s">
        <v>131</v>
      </c>
      <c r="B1301" s="41">
        <v>2003</v>
      </c>
      <c r="C1301" s="41" t="s">
        <v>87</v>
      </c>
      <c r="D1301" s="41" t="s">
        <v>88</v>
      </c>
      <c r="E1301" s="41">
        <v>100</v>
      </c>
      <c r="F1301" s="41" t="s">
        <v>643</v>
      </c>
      <c r="G1301" s="53">
        <v>6999077</v>
      </c>
      <c r="H1301" s="41">
        <v>0.54200000000000004</v>
      </c>
      <c r="I1301" s="118">
        <v>0.05</v>
      </c>
      <c r="J1301" s="118">
        <v>1.5</v>
      </c>
      <c r="K1301" s="41">
        <v>1.2E-2</v>
      </c>
      <c r="R1301" s="76">
        <f t="shared" si="239"/>
        <v>131124</v>
      </c>
      <c r="S1301" s="53">
        <v>32781</v>
      </c>
      <c r="T1301" s="91">
        <f t="shared" si="243"/>
        <v>174.97692500000002</v>
      </c>
      <c r="U1301" s="91">
        <f t="shared" si="244"/>
        <v>7873.9616249999999</v>
      </c>
      <c r="V1301" s="76">
        <f t="shared" si="245"/>
        <v>287.48072212646287</v>
      </c>
      <c r="W1301" s="52">
        <f>316890/2204.6</f>
        <v>143.74036106323143</v>
      </c>
      <c r="AH1301" s="53">
        <f t="shared" si="240"/>
        <v>6867953</v>
      </c>
      <c r="AM1301" s="76">
        <f t="shared" si="246"/>
        <v>6999077</v>
      </c>
      <c r="AO1301" s="53">
        <f t="shared" si="241"/>
        <v>3793499.7340000002</v>
      </c>
      <c r="AP1301" s="53">
        <f t="shared" si="241"/>
        <v>349953.85000000003</v>
      </c>
      <c r="AQ1301" s="53">
        <f t="shared" si="241"/>
        <v>10498615.5</v>
      </c>
      <c r="AR1301" s="53">
        <f t="shared" si="241"/>
        <v>83988.923999999999</v>
      </c>
      <c r="AS1301" s="53">
        <f t="shared" si="241"/>
        <v>0</v>
      </c>
      <c r="AT1301" s="53">
        <f t="shared" si="241"/>
        <v>0</v>
      </c>
      <c r="AU1301" s="53">
        <f t="shared" si="241"/>
        <v>0</v>
      </c>
      <c r="AV1301" s="53">
        <f t="shared" si="241"/>
        <v>0</v>
      </c>
      <c r="AW1301" s="53">
        <f t="shared" si="241"/>
        <v>0</v>
      </c>
      <c r="AX1301" s="53">
        <f t="shared" si="242"/>
        <v>699907700</v>
      </c>
      <c r="AY1301" s="41" t="s">
        <v>557</v>
      </c>
    </row>
    <row r="1302" spans="1:51" x14ac:dyDescent="0.2">
      <c r="A1302" s="41" t="s">
        <v>131</v>
      </c>
      <c r="B1302" s="41">
        <v>2004</v>
      </c>
      <c r="C1302" s="41" t="s">
        <v>87</v>
      </c>
      <c r="D1302" s="41" t="s">
        <v>88</v>
      </c>
      <c r="E1302" s="41">
        <v>100</v>
      </c>
      <c r="F1302" s="41" t="s">
        <v>643</v>
      </c>
      <c r="G1302" s="53">
        <v>6867153</v>
      </c>
      <c r="H1302" s="41">
        <v>0.45400000000000001</v>
      </c>
      <c r="I1302" s="118">
        <v>0.05</v>
      </c>
      <c r="J1302" s="118">
        <v>1.5</v>
      </c>
      <c r="K1302" s="41">
        <v>1.4E-2</v>
      </c>
      <c r="R1302" s="76">
        <f t="shared" si="239"/>
        <v>114168</v>
      </c>
      <c r="S1302" s="53">
        <v>28542</v>
      </c>
      <c r="T1302" s="91">
        <f t="shared" si="243"/>
        <v>171.67882500000002</v>
      </c>
      <c r="U1302" s="91">
        <f t="shared" si="244"/>
        <v>7725.5471250000001</v>
      </c>
      <c r="V1302" s="76">
        <f t="shared" si="245"/>
        <v>387.06159847591402</v>
      </c>
      <c r="W1302" s="52">
        <f>426658/2204.6</f>
        <v>193.53079923795701</v>
      </c>
      <c r="AH1302" s="53">
        <f t="shared" si="240"/>
        <v>6752985</v>
      </c>
      <c r="AM1302" s="76">
        <f t="shared" si="246"/>
        <v>6867153</v>
      </c>
      <c r="AO1302" s="53">
        <f t="shared" si="241"/>
        <v>3117687.4620000003</v>
      </c>
      <c r="AP1302" s="53">
        <f t="shared" si="241"/>
        <v>343357.65</v>
      </c>
      <c r="AQ1302" s="53">
        <f t="shared" si="241"/>
        <v>10300729.5</v>
      </c>
      <c r="AR1302" s="53">
        <f t="shared" si="241"/>
        <v>96140.142000000007</v>
      </c>
      <c r="AS1302" s="53">
        <f t="shared" si="241"/>
        <v>0</v>
      </c>
      <c r="AT1302" s="53">
        <f t="shared" si="241"/>
        <v>0</v>
      </c>
      <c r="AU1302" s="53">
        <f t="shared" si="241"/>
        <v>0</v>
      </c>
      <c r="AV1302" s="53">
        <f t="shared" si="241"/>
        <v>0</v>
      </c>
      <c r="AW1302" s="53">
        <f t="shared" si="241"/>
        <v>0</v>
      </c>
      <c r="AX1302" s="53">
        <f t="shared" si="242"/>
        <v>686715300</v>
      </c>
      <c r="AY1302" s="41" t="s">
        <v>557</v>
      </c>
    </row>
    <row r="1303" spans="1:51" x14ac:dyDescent="0.2">
      <c r="A1303" s="41" t="s">
        <v>131</v>
      </c>
      <c r="B1303" s="41">
        <v>2005</v>
      </c>
      <c r="C1303" s="41" t="s">
        <v>87</v>
      </c>
      <c r="D1303" s="41" t="s">
        <v>88</v>
      </c>
      <c r="E1303" s="41">
        <v>100</v>
      </c>
      <c r="F1303" s="41" t="s">
        <v>643</v>
      </c>
      <c r="G1303" s="53">
        <v>6951000</v>
      </c>
      <c r="H1303" s="41">
        <v>0.55200000000000005</v>
      </c>
      <c r="I1303" s="56">
        <f t="shared" ref="I1303:I1314" si="247">1000*M1303/G1303/0.5</f>
        <v>0</v>
      </c>
      <c r="J1303" s="56">
        <f t="shared" ref="J1303:J1314" si="248">1000*N1303/G1303/0.75</f>
        <v>0</v>
      </c>
      <c r="K1303" s="41">
        <v>1.4E-2</v>
      </c>
      <c r="R1303" s="76">
        <f t="shared" si="239"/>
        <v>134076</v>
      </c>
      <c r="S1303" s="53">
        <v>33519</v>
      </c>
      <c r="T1303" s="53">
        <f>10401*31.1/1000</f>
        <v>323.47110000000004</v>
      </c>
      <c r="U1303" s="53">
        <f>265741*31.1/1000</f>
        <v>8264.5451000000012</v>
      </c>
      <c r="V1303" s="76">
        <f t="shared" si="245"/>
        <v>489.83851945931235</v>
      </c>
      <c r="W1303" s="52">
        <f>539949/2204.6</f>
        <v>244.91925972965618</v>
      </c>
      <c r="AH1303" s="53">
        <f t="shared" si="240"/>
        <v>6816924</v>
      </c>
      <c r="AM1303" s="76">
        <f t="shared" si="246"/>
        <v>6951000</v>
      </c>
      <c r="AO1303" s="53">
        <f t="shared" si="241"/>
        <v>3836952.0000000005</v>
      </c>
      <c r="AP1303" s="53">
        <f t="shared" si="241"/>
        <v>0</v>
      </c>
      <c r="AQ1303" s="53">
        <f t="shared" si="241"/>
        <v>0</v>
      </c>
      <c r="AR1303" s="53">
        <f t="shared" si="241"/>
        <v>97314</v>
      </c>
      <c r="AS1303" s="53">
        <f t="shared" si="241"/>
        <v>0</v>
      </c>
      <c r="AT1303" s="53">
        <f t="shared" si="241"/>
        <v>0</v>
      </c>
      <c r="AU1303" s="53">
        <f t="shared" si="241"/>
        <v>0</v>
      </c>
      <c r="AV1303" s="53">
        <f t="shared" si="241"/>
        <v>0</v>
      </c>
      <c r="AW1303" s="53">
        <f t="shared" si="241"/>
        <v>0</v>
      </c>
      <c r="AX1303" s="53">
        <f t="shared" si="242"/>
        <v>695100000</v>
      </c>
      <c r="AY1303" s="41" t="s">
        <v>557</v>
      </c>
    </row>
    <row r="1304" spans="1:51" x14ac:dyDescent="0.2">
      <c r="A1304" s="41" t="s">
        <v>131</v>
      </c>
      <c r="B1304" s="41">
        <v>2006</v>
      </c>
      <c r="C1304" s="41" t="s">
        <v>87</v>
      </c>
      <c r="D1304" s="41" t="s">
        <v>88</v>
      </c>
      <c r="E1304" s="41">
        <v>100</v>
      </c>
      <c r="F1304" s="41" t="s">
        <v>643</v>
      </c>
      <c r="G1304" s="53">
        <v>6646200</v>
      </c>
      <c r="H1304" s="41">
        <v>0.55600000000000005</v>
      </c>
      <c r="I1304" s="56">
        <f t="shared" si="247"/>
        <v>0</v>
      </c>
      <c r="J1304" s="56">
        <f t="shared" si="248"/>
        <v>0</v>
      </c>
      <c r="K1304" s="41">
        <v>1.4999999999999999E-2</v>
      </c>
      <c r="R1304" s="76">
        <f t="shared" si="239"/>
        <v>128456</v>
      </c>
      <c r="S1304" s="53">
        <v>32114</v>
      </c>
      <c r="T1304" s="53">
        <f>9255*31.1/1000</f>
        <v>287.83049999999997</v>
      </c>
      <c r="U1304" s="53">
        <f>246353*31.1/1000</f>
        <v>7661.578300000001</v>
      </c>
      <c r="V1304" s="76">
        <f t="shared" si="245"/>
        <v>277.82817744715595</v>
      </c>
      <c r="W1304" s="52">
        <f>306250/2204.6</f>
        <v>138.91408872357798</v>
      </c>
      <c r="AH1304" s="53">
        <f t="shared" si="240"/>
        <v>6517744</v>
      </c>
      <c r="AM1304" s="76">
        <f t="shared" si="246"/>
        <v>6646200</v>
      </c>
      <c r="AO1304" s="53">
        <f t="shared" si="241"/>
        <v>3695287.2</v>
      </c>
      <c r="AP1304" s="53">
        <f t="shared" si="241"/>
        <v>0</v>
      </c>
      <c r="AQ1304" s="53">
        <f t="shared" si="241"/>
        <v>0</v>
      </c>
      <c r="AR1304" s="53">
        <f t="shared" si="241"/>
        <v>99693</v>
      </c>
      <c r="AS1304" s="53">
        <f t="shared" si="241"/>
        <v>0</v>
      </c>
      <c r="AT1304" s="53">
        <f t="shared" si="241"/>
        <v>0</v>
      </c>
      <c r="AU1304" s="53">
        <f t="shared" si="241"/>
        <v>0</v>
      </c>
      <c r="AV1304" s="53">
        <f t="shared" si="241"/>
        <v>0</v>
      </c>
      <c r="AW1304" s="53">
        <f t="shared" si="241"/>
        <v>0</v>
      </c>
      <c r="AX1304" s="53">
        <f t="shared" si="242"/>
        <v>664620000</v>
      </c>
      <c r="AY1304" s="41" t="s">
        <v>557</v>
      </c>
    </row>
    <row r="1305" spans="1:51" x14ac:dyDescent="0.2">
      <c r="A1305" s="41" t="s">
        <v>131</v>
      </c>
      <c r="B1305" s="41">
        <v>2007</v>
      </c>
      <c r="C1305" s="41" t="s">
        <v>87</v>
      </c>
      <c r="D1305" s="41" t="s">
        <v>88</v>
      </c>
      <c r="E1305" s="41">
        <v>100</v>
      </c>
      <c r="F1305" s="41" t="s">
        <v>643</v>
      </c>
      <c r="G1305" s="53">
        <v>6477600</v>
      </c>
      <c r="H1305" s="41">
        <v>0.442</v>
      </c>
      <c r="I1305" s="56">
        <f t="shared" si="247"/>
        <v>0</v>
      </c>
      <c r="J1305" s="56">
        <f t="shared" si="248"/>
        <v>0</v>
      </c>
      <c r="K1305" s="41">
        <v>1.2999999999999999E-2</v>
      </c>
      <c r="R1305" s="76">
        <f t="shared" si="239"/>
        <v>100036</v>
      </c>
      <c r="S1305" s="53">
        <v>25009</v>
      </c>
      <c r="T1305" s="53">
        <f>5847*31.1/1000</f>
        <v>181.8417</v>
      </c>
      <c r="U1305" s="53">
        <f>212735*31.1/1000</f>
        <v>6616.0585000000001</v>
      </c>
      <c r="V1305" s="76">
        <f t="shared" si="245"/>
        <v>275.99020230427288</v>
      </c>
      <c r="W1305" s="52">
        <f>304224/2204.6</f>
        <v>137.99510115213644</v>
      </c>
      <c r="AH1305" s="53">
        <f t="shared" si="240"/>
        <v>6377564</v>
      </c>
      <c r="AM1305" s="76">
        <f t="shared" si="246"/>
        <v>6477600</v>
      </c>
      <c r="AO1305" s="53">
        <f t="shared" si="241"/>
        <v>2863099.2</v>
      </c>
      <c r="AP1305" s="53">
        <f t="shared" si="241"/>
        <v>0</v>
      </c>
      <c r="AQ1305" s="53">
        <f t="shared" si="241"/>
        <v>0</v>
      </c>
      <c r="AR1305" s="53">
        <f t="shared" si="241"/>
        <v>84208.8</v>
      </c>
      <c r="AS1305" s="53">
        <f t="shared" si="241"/>
        <v>0</v>
      </c>
      <c r="AT1305" s="53">
        <f t="shared" si="241"/>
        <v>0</v>
      </c>
      <c r="AU1305" s="53">
        <f t="shared" si="241"/>
        <v>0</v>
      </c>
      <c r="AV1305" s="53">
        <f t="shared" si="241"/>
        <v>0</v>
      </c>
      <c r="AW1305" s="53">
        <f t="shared" si="241"/>
        <v>0</v>
      </c>
      <c r="AX1305" s="53">
        <f t="shared" si="242"/>
        <v>647760000</v>
      </c>
      <c r="AY1305" s="41" t="s">
        <v>557</v>
      </c>
    </row>
    <row r="1306" spans="1:51" x14ac:dyDescent="0.2">
      <c r="A1306" s="41" t="s">
        <v>131</v>
      </c>
      <c r="B1306" s="41">
        <v>2008</v>
      </c>
      <c r="C1306" s="41" t="s">
        <v>87</v>
      </c>
      <c r="D1306" s="41" t="s">
        <v>88</v>
      </c>
      <c r="E1306" s="41">
        <v>100</v>
      </c>
      <c r="F1306" s="41" t="s">
        <v>643</v>
      </c>
      <c r="G1306" s="53">
        <v>6031300</v>
      </c>
      <c r="H1306" s="41">
        <v>0.316</v>
      </c>
      <c r="I1306" s="56">
        <f t="shared" si="247"/>
        <v>0</v>
      </c>
      <c r="J1306" s="56">
        <f t="shared" si="248"/>
        <v>0</v>
      </c>
      <c r="K1306" s="41">
        <v>6.0000000000000001E-3</v>
      </c>
      <c r="R1306" s="76">
        <f t="shared" si="239"/>
        <v>67516</v>
      </c>
      <c r="S1306" s="53">
        <v>16879</v>
      </c>
      <c r="T1306" s="53">
        <f>3058*31.1/1000</f>
        <v>95.103800000000007</v>
      </c>
      <c r="U1306" s="53">
        <f>245781*31.1/1000</f>
        <v>7643.7891000000009</v>
      </c>
      <c r="V1306" s="76">
        <f t="shared" si="245"/>
        <v>168.5548398802504</v>
      </c>
      <c r="W1306" s="52">
        <f>185798/2204.6</f>
        <v>84.277419940125199</v>
      </c>
      <c r="AH1306" s="53">
        <f t="shared" si="240"/>
        <v>5963784</v>
      </c>
      <c r="AM1306" s="76">
        <f t="shared" si="246"/>
        <v>6031300</v>
      </c>
      <c r="AO1306" s="53">
        <f t="shared" si="241"/>
        <v>1905890.8</v>
      </c>
      <c r="AP1306" s="53">
        <f t="shared" si="241"/>
        <v>0</v>
      </c>
      <c r="AQ1306" s="53">
        <f t="shared" si="241"/>
        <v>0</v>
      </c>
      <c r="AR1306" s="53">
        <f t="shared" si="241"/>
        <v>36187.800000000003</v>
      </c>
      <c r="AS1306" s="53">
        <f t="shared" si="241"/>
        <v>0</v>
      </c>
      <c r="AT1306" s="53">
        <f t="shared" si="241"/>
        <v>0</v>
      </c>
      <c r="AU1306" s="53">
        <f t="shared" si="241"/>
        <v>0</v>
      </c>
      <c r="AV1306" s="53">
        <f t="shared" si="241"/>
        <v>0</v>
      </c>
      <c r="AW1306" s="53">
        <f t="shared" si="241"/>
        <v>0</v>
      </c>
      <c r="AX1306" s="53">
        <f t="shared" si="242"/>
        <v>603130000</v>
      </c>
      <c r="AY1306" s="41" t="s">
        <v>557</v>
      </c>
    </row>
    <row r="1307" spans="1:51" x14ac:dyDescent="0.2">
      <c r="A1307" s="41" t="s">
        <v>131</v>
      </c>
      <c r="B1307" s="41">
        <v>2009</v>
      </c>
      <c r="C1307" s="41" t="s">
        <v>87</v>
      </c>
      <c r="D1307" s="41" t="s">
        <v>88</v>
      </c>
      <c r="E1307" s="41">
        <v>100</v>
      </c>
      <c r="F1307" s="41" t="s">
        <v>643</v>
      </c>
      <c r="G1307" s="53">
        <v>6133700</v>
      </c>
      <c r="H1307" s="41">
        <v>0.377</v>
      </c>
      <c r="I1307" s="56">
        <f t="shared" si="247"/>
        <v>0</v>
      </c>
      <c r="J1307" s="56">
        <f t="shared" si="248"/>
        <v>0</v>
      </c>
      <c r="K1307" s="41">
        <v>6.0000000000000001E-3</v>
      </c>
      <c r="R1307" s="76">
        <f t="shared" si="239"/>
        <v>83337.624965980227</v>
      </c>
      <c r="S1307" s="53">
        <f>45931532/2204.6</f>
        <v>20834.406241495057</v>
      </c>
      <c r="T1307" s="53">
        <f>3482*31.1/1000</f>
        <v>108.29020000000001</v>
      </c>
      <c r="U1307" s="53">
        <f>266940*31.1/1000</f>
        <v>8301.8340000000007</v>
      </c>
      <c r="V1307" s="76">
        <f t="shared" si="245"/>
        <v>13.124376304091445</v>
      </c>
      <c r="W1307" s="52">
        <f>14467/2204.6</f>
        <v>6.5621881520457226</v>
      </c>
      <c r="AH1307" s="53">
        <f t="shared" si="240"/>
        <v>6050362.3750340194</v>
      </c>
      <c r="AM1307" s="76">
        <f t="shared" si="246"/>
        <v>6133700</v>
      </c>
      <c r="AO1307" s="53">
        <f t="shared" si="241"/>
        <v>2312404.9</v>
      </c>
      <c r="AP1307" s="53">
        <f t="shared" si="241"/>
        <v>0</v>
      </c>
      <c r="AQ1307" s="53">
        <f t="shared" si="241"/>
        <v>0</v>
      </c>
      <c r="AR1307" s="53">
        <f t="shared" si="241"/>
        <v>36802.200000000004</v>
      </c>
      <c r="AS1307" s="53">
        <f t="shared" si="241"/>
        <v>0</v>
      </c>
      <c r="AT1307" s="53">
        <f t="shared" si="241"/>
        <v>0</v>
      </c>
      <c r="AU1307" s="53">
        <f t="shared" si="241"/>
        <v>0</v>
      </c>
      <c r="AV1307" s="53">
        <f t="shared" si="241"/>
        <v>0</v>
      </c>
      <c r="AW1307" s="53">
        <f t="shared" si="241"/>
        <v>0</v>
      </c>
      <c r="AX1307" s="53">
        <f t="shared" si="242"/>
        <v>613370000</v>
      </c>
      <c r="AY1307" s="41" t="s">
        <v>557</v>
      </c>
    </row>
    <row r="1308" spans="1:51" x14ac:dyDescent="0.2">
      <c r="A1308" s="41" t="s">
        <v>131</v>
      </c>
      <c r="B1308" s="41">
        <v>2010</v>
      </c>
      <c r="C1308" s="41" t="s">
        <v>87</v>
      </c>
      <c r="D1308" s="41" t="s">
        <v>88</v>
      </c>
      <c r="E1308" s="41">
        <v>100</v>
      </c>
      <c r="F1308" s="41" t="s">
        <v>643</v>
      </c>
      <c r="G1308" s="53">
        <v>5684300</v>
      </c>
      <c r="H1308" s="41">
        <v>0.39600000000000002</v>
      </c>
      <c r="I1308" s="56">
        <f t="shared" si="247"/>
        <v>0</v>
      </c>
      <c r="J1308" s="56">
        <f t="shared" si="248"/>
        <v>0</v>
      </c>
      <c r="K1308" s="41">
        <v>7.0000000000000001E-3</v>
      </c>
      <c r="R1308" s="76">
        <f t="shared" si="239"/>
        <v>82572.80232241677</v>
      </c>
      <c r="S1308" s="53">
        <f>45510000/2204.6</f>
        <v>20643.200580604193</v>
      </c>
      <c r="T1308" s="53">
        <f>3195*31.1/1000</f>
        <v>99.364500000000007</v>
      </c>
      <c r="U1308" s="53">
        <f>223557*31.1/1000</f>
        <v>6952.6226999999999</v>
      </c>
      <c r="V1308" s="76">
        <f t="shared" si="245"/>
        <v>76.228794339109143</v>
      </c>
      <c r="W1308" s="52">
        <f>84027/2204.6</f>
        <v>38.114397169554572</v>
      </c>
      <c r="AH1308" s="53">
        <f t="shared" si="240"/>
        <v>5601727.1976775834</v>
      </c>
      <c r="AM1308" s="76">
        <f t="shared" si="246"/>
        <v>5684300</v>
      </c>
      <c r="AO1308" s="53">
        <f t="shared" si="241"/>
        <v>2250982.8000000003</v>
      </c>
      <c r="AP1308" s="53">
        <f t="shared" si="241"/>
        <v>0</v>
      </c>
      <c r="AQ1308" s="53">
        <f t="shared" si="241"/>
        <v>0</v>
      </c>
      <c r="AR1308" s="53">
        <f t="shared" si="241"/>
        <v>39790.1</v>
      </c>
      <c r="AS1308" s="53">
        <f t="shared" si="241"/>
        <v>0</v>
      </c>
      <c r="AT1308" s="53">
        <f t="shared" si="241"/>
        <v>0</v>
      </c>
      <c r="AU1308" s="53">
        <f t="shared" si="241"/>
        <v>0</v>
      </c>
      <c r="AV1308" s="53">
        <f t="shared" si="241"/>
        <v>0</v>
      </c>
      <c r="AW1308" s="53">
        <f t="shared" si="241"/>
        <v>0</v>
      </c>
      <c r="AX1308" s="53">
        <f t="shared" si="242"/>
        <v>568430000</v>
      </c>
      <c r="AY1308" s="41" t="s">
        <v>557</v>
      </c>
    </row>
    <row r="1309" spans="1:51" x14ac:dyDescent="0.2">
      <c r="A1309" s="41" t="s">
        <v>131</v>
      </c>
      <c r="B1309" s="41">
        <v>2011</v>
      </c>
      <c r="C1309" s="41" t="s">
        <v>87</v>
      </c>
      <c r="D1309" s="41" t="s">
        <v>88</v>
      </c>
      <c r="E1309" s="41">
        <v>100</v>
      </c>
      <c r="F1309" s="41" t="s">
        <v>643</v>
      </c>
      <c r="G1309" s="53">
        <v>5929700</v>
      </c>
      <c r="H1309" s="41">
        <v>0.36499999999999999</v>
      </c>
      <c r="I1309" s="56">
        <f t="shared" si="247"/>
        <v>0</v>
      </c>
      <c r="J1309" s="56">
        <f t="shared" si="248"/>
        <v>0</v>
      </c>
      <c r="K1309" s="41">
        <v>7.0000000000000001E-3</v>
      </c>
      <c r="R1309" s="76">
        <f t="shared" si="239"/>
        <v>77710.242220811037</v>
      </c>
      <c r="S1309" s="53">
        <f>42830000/2204.6</f>
        <v>19427.560555202759</v>
      </c>
      <c r="T1309" s="53">
        <f>3520*31.1/1000</f>
        <v>109.47199999999999</v>
      </c>
      <c r="U1309" s="53">
        <f>218150*31.1/1000</f>
        <v>6784.4650000000001</v>
      </c>
      <c r="V1309" s="76">
        <f t="shared" si="245"/>
        <v>6.2859475641839788</v>
      </c>
      <c r="W1309" s="52">
        <f>6929/2204.6</f>
        <v>3.1429737820919894</v>
      </c>
      <c r="AH1309" s="53">
        <f t="shared" si="240"/>
        <v>5851989.7577791894</v>
      </c>
      <c r="AM1309" s="76">
        <f t="shared" si="246"/>
        <v>5929700</v>
      </c>
      <c r="AO1309" s="53">
        <f t="shared" si="241"/>
        <v>2164340.5</v>
      </c>
      <c r="AP1309" s="53">
        <f t="shared" si="241"/>
        <v>0</v>
      </c>
      <c r="AQ1309" s="53">
        <f t="shared" si="241"/>
        <v>0</v>
      </c>
      <c r="AR1309" s="53">
        <f t="shared" si="241"/>
        <v>41507.9</v>
      </c>
      <c r="AS1309" s="53">
        <f t="shared" si="241"/>
        <v>0</v>
      </c>
      <c r="AT1309" s="53">
        <f t="shared" si="241"/>
        <v>0</v>
      </c>
      <c r="AU1309" s="53">
        <f t="shared" si="241"/>
        <v>0</v>
      </c>
      <c r="AV1309" s="53">
        <f t="shared" si="241"/>
        <v>0</v>
      </c>
      <c r="AW1309" s="53">
        <f t="shared" si="241"/>
        <v>0</v>
      </c>
      <c r="AX1309" s="53">
        <f t="shared" si="242"/>
        <v>592970000</v>
      </c>
      <c r="AY1309" s="41" t="s">
        <v>557</v>
      </c>
    </row>
    <row r="1310" spans="1:51" x14ac:dyDescent="0.2">
      <c r="A1310" s="41" t="s">
        <v>131</v>
      </c>
      <c r="B1310" s="41">
        <v>2012</v>
      </c>
      <c r="C1310" s="41" t="s">
        <v>87</v>
      </c>
      <c r="D1310" s="41" t="s">
        <v>88</v>
      </c>
      <c r="E1310" s="41">
        <v>100</v>
      </c>
      <c r="F1310" s="41" t="s">
        <v>643</v>
      </c>
      <c r="G1310" s="53">
        <v>5876900</v>
      </c>
      <c r="H1310" s="41">
        <v>0.30099999999999999</v>
      </c>
      <c r="I1310" s="56">
        <f t="shared" si="247"/>
        <v>0</v>
      </c>
      <c r="J1310" s="56">
        <f t="shared" si="248"/>
        <v>0</v>
      </c>
      <c r="K1310" s="41">
        <v>7.0000000000000001E-3</v>
      </c>
      <c r="R1310" s="76">
        <f t="shared" si="239"/>
        <v>63706.794883425566</v>
      </c>
      <c r="S1310" s="53">
        <f>35112000/2204.6</f>
        <v>15926.698720856391</v>
      </c>
      <c r="T1310" s="53">
        <f>2578*31.1/1000</f>
        <v>80.17580000000001</v>
      </c>
      <c r="U1310" s="53">
        <f>191787*31.1/1000</f>
        <v>5964.5757000000003</v>
      </c>
      <c r="V1310" s="76">
        <f t="shared" si="245"/>
        <v>4.1331760863648732</v>
      </c>
      <c r="W1310" s="52">
        <f>4556/2204.6</f>
        <v>2.0665880431824366</v>
      </c>
      <c r="AH1310" s="53">
        <f t="shared" si="240"/>
        <v>5813193.2051165747</v>
      </c>
      <c r="AM1310" s="76">
        <f t="shared" si="246"/>
        <v>5876900</v>
      </c>
      <c r="AO1310" s="53">
        <f t="shared" si="241"/>
        <v>1768946.9</v>
      </c>
      <c r="AP1310" s="53">
        <f t="shared" si="241"/>
        <v>0</v>
      </c>
      <c r="AQ1310" s="53">
        <f t="shared" si="241"/>
        <v>0</v>
      </c>
      <c r="AR1310" s="53">
        <f t="shared" si="241"/>
        <v>41138.300000000003</v>
      </c>
      <c r="AS1310" s="53">
        <f t="shared" si="241"/>
        <v>0</v>
      </c>
      <c r="AT1310" s="53">
        <f t="shared" si="241"/>
        <v>0</v>
      </c>
      <c r="AU1310" s="53">
        <f t="shared" si="241"/>
        <v>0</v>
      </c>
      <c r="AV1310" s="53">
        <f t="shared" si="241"/>
        <v>0</v>
      </c>
      <c r="AW1310" s="53">
        <f t="shared" si="241"/>
        <v>0</v>
      </c>
      <c r="AX1310" s="53">
        <f t="shared" si="242"/>
        <v>587690000</v>
      </c>
      <c r="AY1310" s="41" t="s">
        <v>557</v>
      </c>
    </row>
    <row r="1311" spans="1:51" x14ac:dyDescent="0.2">
      <c r="A1311" s="41" t="s">
        <v>131</v>
      </c>
      <c r="B1311" s="41">
        <v>2013</v>
      </c>
      <c r="C1311" s="41" t="s">
        <v>87</v>
      </c>
      <c r="D1311" s="41" t="s">
        <v>88</v>
      </c>
      <c r="E1311" s="41">
        <v>100</v>
      </c>
      <c r="F1311" s="41" t="s">
        <v>643</v>
      </c>
      <c r="G1311" s="53">
        <v>5895193</v>
      </c>
      <c r="H1311" s="41">
        <v>0.34599999999999997</v>
      </c>
      <c r="I1311" s="56">
        <f t="shared" si="247"/>
        <v>0</v>
      </c>
      <c r="J1311" s="56">
        <f t="shared" si="248"/>
        <v>0</v>
      </c>
      <c r="K1311" s="118">
        <v>5.0000000000000001E-3</v>
      </c>
      <c r="R1311" s="76">
        <f t="shared" si="239"/>
        <v>74776.046448335299</v>
      </c>
      <c r="S1311" s="53">
        <f>41212818/2204.6</f>
        <v>18694.011612083825</v>
      </c>
      <c r="T1311" s="53">
        <f>2983*31.1/1000</f>
        <v>92.771299999999997</v>
      </c>
      <c r="U1311" s="53">
        <f>183221*31.1/1000</f>
        <v>5698.1731000000009</v>
      </c>
      <c r="AH1311" s="53">
        <f t="shared" si="240"/>
        <v>5820416.9535516649</v>
      </c>
      <c r="AM1311" s="76">
        <f t="shared" si="246"/>
        <v>5895193</v>
      </c>
      <c r="AO1311" s="53">
        <f t="shared" si="241"/>
        <v>2039736.7779999999</v>
      </c>
      <c r="AP1311" s="53">
        <f t="shared" si="241"/>
        <v>0</v>
      </c>
      <c r="AQ1311" s="53">
        <f t="shared" si="241"/>
        <v>0</v>
      </c>
      <c r="AR1311" s="53">
        <f t="shared" si="241"/>
        <v>29475.965</v>
      </c>
      <c r="AS1311" s="53">
        <f t="shared" si="241"/>
        <v>0</v>
      </c>
      <c r="AT1311" s="53">
        <f t="shared" si="241"/>
        <v>0</v>
      </c>
      <c r="AU1311" s="53">
        <f t="shared" si="241"/>
        <v>0</v>
      </c>
      <c r="AV1311" s="53">
        <f t="shared" si="241"/>
        <v>0</v>
      </c>
      <c r="AW1311" s="53">
        <f t="shared" si="241"/>
        <v>0</v>
      </c>
      <c r="AX1311" s="53">
        <f t="shared" si="242"/>
        <v>589519300</v>
      </c>
      <c r="AY1311" s="41" t="s">
        <v>557</v>
      </c>
    </row>
    <row r="1312" spans="1:51" x14ac:dyDescent="0.2">
      <c r="A1312" s="41" t="s">
        <v>131</v>
      </c>
      <c r="B1312" s="41">
        <v>2014</v>
      </c>
      <c r="C1312" s="41" t="s">
        <v>87</v>
      </c>
      <c r="D1312" s="41" t="s">
        <v>88</v>
      </c>
      <c r="E1312" s="41">
        <v>100</v>
      </c>
      <c r="F1312" s="41" t="s">
        <v>643</v>
      </c>
      <c r="G1312" s="53">
        <v>5080503</v>
      </c>
      <c r="H1312" s="41">
        <v>0.33800000000000002</v>
      </c>
      <c r="I1312" s="56">
        <f t="shared" si="247"/>
        <v>0</v>
      </c>
      <c r="J1312" s="56">
        <f t="shared" si="248"/>
        <v>0</v>
      </c>
      <c r="K1312" s="118">
        <v>5.0000000000000001E-3</v>
      </c>
      <c r="R1312" s="76">
        <f t="shared" si="239"/>
        <v>61720.656808491338</v>
      </c>
      <c r="S1312" s="53">
        <f>34017340/2204.6</f>
        <v>15430.164202122834</v>
      </c>
      <c r="T1312" s="53">
        <f>2702*31.1/1000</f>
        <v>84.032200000000003</v>
      </c>
      <c r="U1312" s="53">
        <f>238028*31.1/1000</f>
        <v>7402.6708000000008</v>
      </c>
      <c r="AH1312" s="53">
        <f t="shared" si="240"/>
        <v>5018782.3431915082</v>
      </c>
      <c r="AM1312" s="76">
        <f t="shared" si="246"/>
        <v>5080503</v>
      </c>
      <c r="AO1312" s="53">
        <f t="shared" si="241"/>
        <v>1717210.0140000002</v>
      </c>
      <c r="AP1312" s="53">
        <f t="shared" si="241"/>
        <v>0</v>
      </c>
      <c r="AQ1312" s="53">
        <f t="shared" si="241"/>
        <v>0</v>
      </c>
      <c r="AR1312" s="53">
        <f t="shared" si="241"/>
        <v>25402.514999999999</v>
      </c>
      <c r="AS1312" s="53">
        <f t="shared" si="241"/>
        <v>0</v>
      </c>
      <c r="AT1312" s="53">
        <f t="shared" si="241"/>
        <v>0</v>
      </c>
      <c r="AU1312" s="53">
        <f t="shared" si="241"/>
        <v>0</v>
      </c>
      <c r="AV1312" s="53">
        <f t="shared" si="241"/>
        <v>0</v>
      </c>
      <c r="AW1312" s="53">
        <f t="shared" si="241"/>
        <v>0</v>
      </c>
      <c r="AX1312" s="53">
        <f t="shared" si="242"/>
        <v>508050300</v>
      </c>
      <c r="AY1312" s="41" t="s">
        <v>557</v>
      </c>
    </row>
    <row r="1313" spans="1:51" x14ac:dyDescent="0.2">
      <c r="A1313" s="41" t="s">
        <v>131</v>
      </c>
      <c r="B1313" s="41">
        <v>2015</v>
      </c>
      <c r="C1313" s="41" t="s">
        <v>87</v>
      </c>
      <c r="D1313" s="41" t="s">
        <v>88</v>
      </c>
      <c r="E1313" s="41">
        <v>100</v>
      </c>
      <c r="F1313" s="41" t="s">
        <v>643</v>
      </c>
      <c r="G1313" s="53">
        <v>6763061</v>
      </c>
      <c r="H1313" s="41">
        <v>0.32500000000000001</v>
      </c>
      <c r="I1313" s="56">
        <f t="shared" si="247"/>
        <v>0</v>
      </c>
      <c r="J1313" s="56">
        <f t="shared" si="248"/>
        <v>0</v>
      </c>
      <c r="K1313" s="118">
        <v>5.0000000000000001E-3</v>
      </c>
      <c r="R1313" s="76">
        <f t="shared" si="239"/>
        <v>78514.622153678676</v>
      </c>
      <c r="S1313" s="53">
        <f>43273334/2204.6</f>
        <v>19628.655538419669</v>
      </c>
      <c r="T1313" s="53">
        <f>3576*31.1/1000</f>
        <v>111.2136</v>
      </c>
      <c r="U1313" s="53">
        <f>206781*31.1/1000</f>
        <v>6430.8891000000003</v>
      </c>
      <c r="AH1313" s="53">
        <f t="shared" si="240"/>
        <v>6684546.3778463211</v>
      </c>
      <c r="AM1313" s="76">
        <f t="shared" si="246"/>
        <v>6763061</v>
      </c>
      <c r="AO1313" s="53">
        <f t="shared" si="241"/>
        <v>2197994.8250000002</v>
      </c>
      <c r="AP1313" s="53">
        <f t="shared" si="241"/>
        <v>0</v>
      </c>
      <c r="AQ1313" s="53">
        <f t="shared" si="241"/>
        <v>0</v>
      </c>
      <c r="AR1313" s="53">
        <f t="shared" si="241"/>
        <v>33815.305</v>
      </c>
      <c r="AS1313" s="53">
        <f t="shared" si="241"/>
        <v>0</v>
      </c>
      <c r="AT1313" s="53">
        <f t="shared" si="241"/>
        <v>0</v>
      </c>
      <c r="AU1313" s="53">
        <f t="shared" si="241"/>
        <v>0</v>
      </c>
      <c r="AV1313" s="53">
        <f t="shared" si="241"/>
        <v>0</v>
      </c>
      <c r="AW1313" s="53">
        <f t="shared" si="241"/>
        <v>0</v>
      </c>
      <c r="AX1313" s="53">
        <f t="shared" si="242"/>
        <v>676306100</v>
      </c>
      <c r="AY1313" s="41" t="s">
        <v>557</v>
      </c>
    </row>
    <row r="1314" spans="1:51" x14ac:dyDescent="0.2">
      <c r="A1314" s="41" t="s">
        <v>131</v>
      </c>
      <c r="B1314" s="41" t="s">
        <v>644</v>
      </c>
      <c r="C1314" s="41" t="s">
        <v>87</v>
      </c>
      <c r="D1314" s="41" t="s">
        <v>88</v>
      </c>
      <c r="E1314" s="41">
        <v>100</v>
      </c>
      <c r="F1314" s="41" t="s">
        <v>643</v>
      </c>
      <c r="G1314" s="53">
        <v>3538449</v>
      </c>
      <c r="H1314" s="41">
        <v>0.23400000000000001</v>
      </c>
      <c r="I1314" s="56">
        <f t="shared" si="247"/>
        <v>0</v>
      </c>
      <c r="J1314" s="56">
        <f t="shared" si="248"/>
        <v>0</v>
      </c>
      <c r="K1314" s="118">
        <v>5.0000000000000001E-3</v>
      </c>
      <c r="R1314" s="76">
        <f t="shared" si="239"/>
        <v>29008.616780045351</v>
      </c>
      <c r="S1314" s="53">
        <f>15991000/2205</f>
        <v>7252.1541950113378</v>
      </c>
      <c r="T1314" s="53">
        <f>1483*31.1/1000</f>
        <v>46.121300000000005</v>
      </c>
      <c r="U1314" s="53">
        <f>79031*31.1/1000</f>
        <v>2457.8641000000002</v>
      </c>
      <c r="AH1314" s="53">
        <f t="shared" si="240"/>
        <v>3509440.3832199546</v>
      </c>
      <c r="AM1314" s="76">
        <f t="shared" si="246"/>
        <v>3538449</v>
      </c>
      <c r="AO1314" s="53">
        <f t="shared" si="241"/>
        <v>827997.06599999999</v>
      </c>
      <c r="AP1314" s="53">
        <f t="shared" si="241"/>
        <v>0</v>
      </c>
      <c r="AQ1314" s="53">
        <f t="shared" si="241"/>
        <v>0</v>
      </c>
      <c r="AR1314" s="53">
        <f t="shared" si="241"/>
        <v>17692.244999999999</v>
      </c>
      <c r="AS1314" s="53">
        <f t="shared" si="241"/>
        <v>0</v>
      </c>
      <c r="AT1314" s="53">
        <f t="shared" si="241"/>
        <v>0</v>
      </c>
      <c r="AU1314" s="53">
        <f t="shared" si="241"/>
        <v>0</v>
      </c>
      <c r="AV1314" s="53">
        <f t="shared" si="241"/>
        <v>0</v>
      </c>
      <c r="AW1314" s="53">
        <f t="shared" si="241"/>
        <v>0</v>
      </c>
      <c r="AX1314" s="53">
        <f t="shared" si="242"/>
        <v>353844900</v>
      </c>
      <c r="AY1314" s="41" t="s">
        <v>557</v>
      </c>
    </row>
    <row r="1315" spans="1:51" x14ac:dyDescent="0.2">
      <c r="A1315" s="41" t="s">
        <v>131</v>
      </c>
      <c r="B1315" s="60" t="s">
        <v>559</v>
      </c>
      <c r="C1315" s="60" t="s">
        <v>87</v>
      </c>
      <c r="D1315" s="60" t="s">
        <v>88</v>
      </c>
      <c r="E1315" s="107">
        <v>100</v>
      </c>
      <c r="F1315" s="60" t="s">
        <v>643</v>
      </c>
      <c r="G1315" s="79">
        <f>SUM(G1295:G1314)</f>
        <v>121615616</v>
      </c>
      <c r="H1315" s="80">
        <f>AO1315/$G1315</f>
        <v>0.45163514246394149</v>
      </c>
      <c r="I1315" s="80">
        <f>AP1315/$G1315</f>
        <v>2.0806419300626655E-2</v>
      </c>
      <c r="J1315" s="80">
        <f>AQ1315/$G1315</f>
        <v>0.62419257901879965</v>
      </c>
      <c r="K1315" s="89">
        <f>AR1315/$G1315</f>
        <v>1.0911521748983289E-2</v>
      </c>
      <c r="R1315" s="79">
        <f t="shared" ref="R1315:W1315" si="249">SUM(R1295:R1314)</f>
        <v>1967251.6058029975</v>
      </c>
      <c r="S1315" s="79">
        <f t="shared" si="249"/>
        <v>491812.90145074937</v>
      </c>
      <c r="T1315" s="79">
        <f t="shared" si="249"/>
        <v>2884.8807499999998</v>
      </c>
      <c r="U1315" s="79">
        <f t="shared" si="249"/>
        <v>137112.73924999998</v>
      </c>
      <c r="V1315" s="79">
        <f t="shared" si="249"/>
        <v>7355.8468656445611</v>
      </c>
      <c r="W1315" s="79">
        <f t="shared" si="249"/>
        <v>3677.9234328222806</v>
      </c>
      <c r="AH1315" s="79">
        <f>SUM(AH1295:AH1314)</f>
        <v>119648364.394197</v>
      </c>
      <c r="AM1315" s="79">
        <f>SUM(AM1295:AM1314)</f>
        <v>121928016.5</v>
      </c>
      <c r="AO1315" s="79">
        <f t="shared" ref="AO1315:AX1315" si="250">SUM(AO1295:AO1314)</f>
        <v>54925886.057999998</v>
      </c>
      <c r="AP1315" s="79">
        <f t="shared" si="250"/>
        <v>2530385.5</v>
      </c>
      <c r="AQ1315" s="79">
        <f t="shared" si="250"/>
        <v>75911565</v>
      </c>
      <c r="AR1315" s="79">
        <f t="shared" si="250"/>
        <v>1327011.439</v>
      </c>
      <c r="AS1315" s="79">
        <f t="shared" si="250"/>
        <v>0</v>
      </c>
      <c r="AT1315" s="79">
        <f t="shared" si="250"/>
        <v>0</v>
      </c>
      <c r="AU1315" s="79">
        <f t="shared" si="250"/>
        <v>0</v>
      </c>
      <c r="AV1315" s="79">
        <f t="shared" si="250"/>
        <v>0</v>
      </c>
      <c r="AW1315" s="79">
        <f t="shared" si="250"/>
        <v>0</v>
      </c>
      <c r="AX1315" s="79">
        <f t="shared" si="250"/>
        <v>12161561600</v>
      </c>
      <c r="AY1315" s="41" t="s">
        <v>557</v>
      </c>
    </row>
    <row r="1316" spans="1:51" x14ac:dyDescent="0.2">
      <c r="A1316" s="41" t="s">
        <v>131</v>
      </c>
      <c r="B1316" s="43" t="s">
        <v>560</v>
      </c>
      <c r="G1316" s="53">
        <f>STDEV(G1295:G1314)</f>
        <v>1449727.3941483521</v>
      </c>
      <c r="H1316" s="46">
        <f>STDEV(H1295:H1314)</f>
        <v>0.12089337407292852</v>
      </c>
      <c r="I1316" s="46">
        <f>STDEV(I1295:I1314)</f>
        <v>2.5131234497501737E-2</v>
      </c>
      <c r="J1316" s="46">
        <f>STDEV(J1295:J1314)</f>
        <v>0.75393703492505193</v>
      </c>
      <c r="K1316" s="42">
        <f>STDEV(K1295:K1314)</f>
        <v>4.6143369256219022E-3</v>
      </c>
      <c r="R1316" s="53">
        <f t="shared" ref="R1316:W1316" si="251">STDEV(R1295:R1314)</f>
        <v>39167.341118040036</v>
      </c>
      <c r="S1316" s="53">
        <f t="shared" si="251"/>
        <v>9791.8352795100091</v>
      </c>
      <c r="T1316" s="53">
        <f t="shared" si="251"/>
        <v>73.44732824704505</v>
      </c>
      <c r="U1316" s="53">
        <f t="shared" si="251"/>
        <v>1862.6553423565649</v>
      </c>
      <c r="V1316" s="53">
        <f t="shared" si="251"/>
        <v>513.83518749385428</v>
      </c>
      <c r="W1316" s="53">
        <f t="shared" si="251"/>
        <v>256.91759374692714</v>
      </c>
      <c r="AH1316" s="53">
        <f>STDEV(AH1295:AH1314)</f>
        <v>1417611.9456103579</v>
      </c>
      <c r="AM1316" s="53">
        <f>STDEV(AM1295:AM1314)</f>
        <v>1395607.2033140766</v>
      </c>
      <c r="AY1316" s="41" t="s">
        <v>557</v>
      </c>
    </row>
    <row r="1317" spans="1:51" x14ac:dyDescent="0.2">
      <c r="A1317" s="41" t="s">
        <v>131</v>
      </c>
      <c r="B1317" s="81" t="s">
        <v>249</v>
      </c>
      <c r="G1317" s="41">
        <f>COUNT(G1295:G1314)</f>
        <v>20</v>
      </c>
      <c r="H1317" s="41">
        <f>COUNT(H1295:H1314)</f>
        <v>20</v>
      </c>
      <c r="I1317" s="41">
        <f>COUNT(I1295:I1314)</f>
        <v>20</v>
      </c>
      <c r="J1317" s="41">
        <f>COUNT(J1295:J1314)</f>
        <v>20</v>
      </c>
      <c r="K1317" s="41">
        <f>COUNT(K1295:K1314)</f>
        <v>20</v>
      </c>
      <c r="R1317" s="41">
        <f t="shared" ref="R1317:W1317" si="252">COUNT(R1295:R1314)</f>
        <v>20</v>
      </c>
      <c r="S1317" s="41">
        <f t="shared" si="252"/>
        <v>20</v>
      </c>
      <c r="T1317" s="41">
        <f t="shared" si="252"/>
        <v>20</v>
      </c>
      <c r="U1317" s="41">
        <f t="shared" si="252"/>
        <v>20</v>
      </c>
      <c r="V1317" s="41">
        <f t="shared" si="252"/>
        <v>15</v>
      </c>
      <c r="W1317" s="41">
        <f t="shared" si="252"/>
        <v>15</v>
      </c>
      <c r="AH1317" s="41">
        <f>COUNT(AH1295:AH1314)</f>
        <v>20</v>
      </c>
      <c r="AM1317" s="41">
        <f>COUNT(AM1295:AM1314)</f>
        <v>20</v>
      </c>
      <c r="AY1317" s="41" t="s">
        <v>557</v>
      </c>
    </row>
    <row r="1318" spans="1:51" x14ac:dyDescent="0.2">
      <c r="A1318" s="82"/>
      <c r="B1318" s="82"/>
      <c r="C1318" s="82"/>
      <c r="D1318" s="82"/>
      <c r="E1318" s="82"/>
      <c r="F1318" s="82"/>
      <c r="G1318" s="82"/>
      <c r="H1318" s="82"/>
      <c r="I1318" s="82"/>
      <c r="J1318" s="82"/>
      <c r="K1318" s="82"/>
      <c r="L1318" s="82"/>
      <c r="M1318" s="82"/>
      <c r="N1318" s="82"/>
      <c r="O1318" s="82"/>
      <c r="P1318" s="82"/>
      <c r="Q1318" s="82"/>
      <c r="R1318" s="82"/>
      <c r="S1318" s="82"/>
      <c r="T1318" s="82"/>
      <c r="U1318" s="82"/>
      <c r="V1318" s="82"/>
      <c r="W1318" s="82"/>
      <c r="X1318" s="82"/>
      <c r="Y1318" s="82"/>
      <c r="Z1318" s="82"/>
      <c r="AA1318" s="82"/>
      <c r="AB1318" s="82"/>
      <c r="AC1318" s="82"/>
      <c r="AD1318" s="82"/>
      <c r="AE1318" s="82"/>
      <c r="AF1318" s="82"/>
      <c r="AG1318" s="82"/>
      <c r="AH1318" s="82"/>
      <c r="AI1318" s="82"/>
      <c r="AJ1318" s="82"/>
      <c r="AK1318" s="82"/>
      <c r="AL1318" s="82"/>
      <c r="AM1318" s="82"/>
      <c r="AN1318" s="82"/>
      <c r="AO1318" s="82"/>
      <c r="AP1318" s="82"/>
      <c r="AQ1318" s="82"/>
      <c r="AR1318" s="82"/>
      <c r="AS1318" s="82"/>
      <c r="AT1318" s="82"/>
      <c r="AU1318" s="82"/>
      <c r="AV1318" s="82"/>
      <c r="AW1318" s="82"/>
      <c r="AX1318" s="82"/>
      <c r="AY1318" s="41" t="s">
        <v>557</v>
      </c>
    </row>
    <row r="1319" spans="1:51" x14ac:dyDescent="0.2">
      <c r="A1319" s="41" t="s">
        <v>173</v>
      </c>
      <c r="B1319" s="41">
        <v>2007</v>
      </c>
      <c r="C1319" s="41" t="s">
        <v>96</v>
      </c>
      <c r="D1319" s="41" t="s">
        <v>170</v>
      </c>
      <c r="E1319" s="47">
        <v>36.45582910934106</v>
      </c>
      <c r="G1319" s="53">
        <v>155973</v>
      </c>
      <c r="H1319" s="46">
        <v>2.5944230629978278</v>
      </c>
      <c r="O1319" s="46">
        <v>0.46111053584359157</v>
      </c>
      <c r="S1319" s="53">
        <v>478.87323943661977</v>
      </c>
      <c r="AD1319" s="53">
        <v>0</v>
      </c>
      <c r="AM1319" s="53">
        <v>3537872</v>
      </c>
      <c r="AO1319" s="53">
        <f t="shared" ref="AO1319:AW1329" si="253">$G1319*H1319</f>
        <v>404659.94840496022</v>
      </c>
      <c r="AP1319" s="53">
        <f t="shared" si="253"/>
        <v>0</v>
      </c>
      <c r="AQ1319" s="53">
        <f t="shared" si="253"/>
        <v>0</v>
      </c>
      <c r="AR1319" s="53">
        <f t="shared" si="253"/>
        <v>0</v>
      </c>
      <c r="AS1319" s="53">
        <f t="shared" si="253"/>
        <v>0</v>
      </c>
      <c r="AT1319" s="53">
        <f t="shared" si="253"/>
        <v>0</v>
      </c>
      <c r="AU1319" s="53">
        <f t="shared" si="253"/>
        <v>0</v>
      </c>
      <c r="AV1319" s="53">
        <f t="shared" si="253"/>
        <v>71920.793607132509</v>
      </c>
      <c r="AW1319" s="53">
        <f t="shared" si="253"/>
        <v>0</v>
      </c>
      <c r="AX1319" s="53">
        <f t="shared" ref="AX1319:AX1329" si="254">$G1319*E1319</f>
        <v>5686125.0336712534</v>
      </c>
      <c r="AY1319" s="41" t="s">
        <v>557</v>
      </c>
    </row>
    <row r="1320" spans="1:51" x14ac:dyDescent="0.2">
      <c r="A1320" s="41" t="s">
        <v>173</v>
      </c>
      <c r="B1320" s="41">
        <v>2008</v>
      </c>
      <c r="C1320" s="41" t="s">
        <v>96</v>
      </c>
      <c r="D1320" s="41" t="s">
        <v>170</v>
      </c>
      <c r="E1320" s="47">
        <v>46.518009925539054</v>
      </c>
      <c r="G1320" s="53">
        <v>1000587</v>
      </c>
      <c r="H1320" s="46">
        <v>2.8992535474683669</v>
      </c>
      <c r="O1320" s="46">
        <v>0.64512726069866799</v>
      </c>
      <c r="S1320" s="53">
        <v>31311.249192383431</v>
      </c>
      <c r="AD1320" s="53">
        <v>1771.9610000000002</v>
      </c>
      <c r="AM1320" s="53">
        <v>5485206</v>
      </c>
      <c r="AO1320" s="53">
        <f t="shared" si="253"/>
        <v>2900955.409300731</v>
      </c>
      <c r="AP1320" s="53">
        <f t="shared" si="253"/>
        <v>0</v>
      </c>
      <c r="AQ1320" s="53">
        <f t="shared" si="253"/>
        <v>0</v>
      </c>
      <c r="AR1320" s="53">
        <f t="shared" si="253"/>
        <v>0</v>
      </c>
      <c r="AS1320" s="53">
        <f t="shared" si="253"/>
        <v>0</v>
      </c>
      <c r="AT1320" s="53">
        <f t="shared" si="253"/>
        <v>0</v>
      </c>
      <c r="AU1320" s="53">
        <f t="shared" si="253"/>
        <v>0</v>
      </c>
      <c r="AV1320" s="53">
        <f t="shared" si="253"/>
        <v>645505.95040069812</v>
      </c>
      <c r="AW1320" s="53">
        <f t="shared" si="253"/>
        <v>0</v>
      </c>
      <c r="AX1320" s="53">
        <f t="shared" si="254"/>
        <v>46545315.997365348</v>
      </c>
      <c r="AY1320" s="41" t="s">
        <v>557</v>
      </c>
    </row>
    <row r="1321" spans="1:51" x14ac:dyDescent="0.2">
      <c r="A1321" s="41" t="s">
        <v>173</v>
      </c>
      <c r="B1321" s="41">
        <v>2009</v>
      </c>
      <c r="C1321" s="41" t="s">
        <v>96</v>
      </c>
      <c r="D1321" s="41" t="s">
        <v>170</v>
      </c>
      <c r="E1321" s="47">
        <v>60.673542611857521</v>
      </c>
      <c r="G1321" s="53">
        <v>1985220</v>
      </c>
      <c r="H1321" s="46">
        <v>2.3081284951543202</v>
      </c>
      <c r="O1321" s="46">
        <v>0.70816680840785229</v>
      </c>
      <c r="S1321" s="53">
        <v>62571.877012279881</v>
      </c>
      <c r="AD1321" s="53">
        <v>3229.5240000000003</v>
      </c>
      <c r="AM1321" s="53">
        <v>16578178</v>
      </c>
      <c r="AO1321" s="53">
        <f t="shared" si="253"/>
        <v>4582142.8511502594</v>
      </c>
      <c r="AP1321" s="53">
        <f t="shared" si="253"/>
        <v>0</v>
      </c>
      <c r="AQ1321" s="53">
        <f t="shared" si="253"/>
        <v>0</v>
      </c>
      <c r="AR1321" s="53">
        <f t="shared" si="253"/>
        <v>0</v>
      </c>
      <c r="AS1321" s="53">
        <f t="shared" si="253"/>
        <v>0</v>
      </c>
      <c r="AT1321" s="53">
        <f t="shared" si="253"/>
        <v>0</v>
      </c>
      <c r="AU1321" s="53">
        <f t="shared" si="253"/>
        <v>0</v>
      </c>
      <c r="AV1321" s="53">
        <f t="shared" si="253"/>
        <v>1405866.9113874366</v>
      </c>
      <c r="AW1321" s="53">
        <f t="shared" si="253"/>
        <v>0</v>
      </c>
      <c r="AX1321" s="53">
        <f t="shared" si="254"/>
        <v>120450330.26391178</v>
      </c>
      <c r="AY1321" s="41" t="s">
        <v>557</v>
      </c>
    </row>
    <row r="1322" spans="1:51" x14ac:dyDescent="0.2">
      <c r="A1322" s="41" t="s">
        <v>173</v>
      </c>
      <c r="B1322" s="41">
        <v>2010</v>
      </c>
      <c r="C1322" s="41" t="s">
        <v>96</v>
      </c>
      <c r="D1322" s="41" t="s">
        <v>170</v>
      </c>
      <c r="E1322" s="47">
        <v>67.065605511969423</v>
      </c>
      <c r="G1322" s="53">
        <v>2925404</v>
      </c>
      <c r="H1322" s="46">
        <v>3.3085973596861797</v>
      </c>
      <c r="O1322" s="46">
        <v>0.70405916566083293</v>
      </c>
      <c r="S1322" s="53">
        <v>84803.559551824132</v>
      </c>
      <c r="AD1322" s="53">
        <v>5152.241</v>
      </c>
      <c r="AM1322" s="53">
        <v>27690413</v>
      </c>
      <c r="AO1322" s="53">
        <f t="shared" si="253"/>
        <v>9678983.9504153896</v>
      </c>
      <c r="AP1322" s="53">
        <f t="shared" si="253"/>
        <v>0</v>
      </c>
      <c r="AQ1322" s="53">
        <f t="shared" si="253"/>
        <v>0</v>
      </c>
      <c r="AR1322" s="53">
        <f t="shared" si="253"/>
        <v>0</v>
      </c>
      <c r="AS1322" s="53">
        <f t="shared" si="253"/>
        <v>0</v>
      </c>
      <c r="AT1322" s="53">
        <f t="shared" si="253"/>
        <v>0</v>
      </c>
      <c r="AU1322" s="53">
        <f t="shared" si="253"/>
        <v>0</v>
      </c>
      <c r="AV1322" s="53">
        <f t="shared" si="253"/>
        <v>2059657.4994608634</v>
      </c>
      <c r="AW1322" s="53">
        <f t="shared" si="253"/>
        <v>0</v>
      </c>
      <c r="AX1322" s="53">
        <f t="shared" si="254"/>
        <v>196193990.62713739</v>
      </c>
      <c r="AY1322" s="41" t="s">
        <v>557</v>
      </c>
    </row>
    <row r="1323" spans="1:51" x14ac:dyDescent="0.2">
      <c r="A1323" s="41" t="s">
        <v>173</v>
      </c>
      <c r="B1323" s="41">
        <v>2011</v>
      </c>
      <c r="C1323" s="41" t="s">
        <v>96</v>
      </c>
      <c r="D1323" s="41" t="s">
        <v>170</v>
      </c>
      <c r="E1323" s="47">
        <v>64.566234483634958</v>
      </c>
      <c r="G1323" s="53">
        <v>4096480</v>
      </c>
      <c r="H1323" s="46">
        <v>4.3809271345232554</v>
      </c>
      <c r="O1323" s="46">
        <v>0.48549543829677588</v>
      </c>
      <c r="S1323" s="53">
        <v>131381.57991964</v>
      </c>
      <c r="AD1323" s="53">
        <v>8158.3</v>
      </c>
      <c r="AM1323" s="53">
        <v>23869864</v>
      </c>
      <c r="AO1323" s="53">
        <f t="shared" si="253"/>
        <v>17946380.388031825</v>
      </c>
      <c r="AP1323" s="53">
        <f t="shared" si="253"/>
        <v>0</v>
      </c>
      <c r="AQ1323" s="53">
        <f t="shared" si="253"/>
        <v>0</v>
      </c>
      <c r="AR1323" s="53">
        <f t="shared" si="253"/>
        <v>0</v>
      </c>
      <c r="AS1323" s="53">
        <f t="shared" si="253"/>
        <v>0</v>
      </c>
      <c r="AT1323" s="53">
        <f t="shared" si="253"/>
        <v>0</v>
      </c>
      <c r="AU1323" s="53">
        <f t="shared" si="253"/>
        <v>0</v>
      </c>
      <c r="AV1323" s="53">
        <f t="shared" si="253"/>
        <v>1988822.3530739765</v>
      </c>
      <c r="AW1323" s="53">
        <f t="shared" si="253"/>
        <v>0</v>
      </c>
      <c r="AX1323" s="53">
        <f t="shared" si="254"/>
        <v>264494288.23752093</v>
      </c>
      <c r="AY1323" s="41" t="s">
        <v>557</v>
      </c>
    </row>
    <row r="1324" spans="1:51" x14ac:dyDescent="0.2">
      <c r="A1324" s="41" t="s">
        <v>173</v>
      </c>
      <c r="B1324" s="41">
        <v>2012</v>
      </c>
      <c r="C1324" s="41" t="s">
        <v>96</v>
      </c>
      <c r="D1324" s="41" t="s">
        <v>170</v>
      </c>
      <c r="E1324" s="47">
        <v>66.840123570233999</v>
      </c>
      <c r="G1324" s="53">
        <v>4612328</v>
      </c>
      <c r="H1324" s="46">
        <v>4.1212988761702389</v>
      </c>
      <c r="O1324" s="46">
        <v>0.442410678231342</v>
      </c>
      <c r="S1324" s="53">
        <v>119936.29982318942</v>
      </c>
      <c r="AD1324" s="53">
        <v>8425.8970000000008</v>
      </c>
      <c r="AM1324" s="53">
        <v>21154618</v>
      </c>
      <c r="AO1324" s="53">
        <f t="shared" si="253"/>
        <v>19008782.202928524</v>
      </c>
      <c r="AP1324" s="53">
        <f t="shared" si="253"/>
        <v>0</v>
      </c>
      <c r="AQ1324" s="53">
        <f t="shared" si="253"/>
        <v>0</v>
      </c>
      <c r="AR1324" s="53">
        <f t="shared" si="253"/>
        <v>0</v>
      </c>
      <c r="AS1324" s="53">
        <f t="shared" si="253"/>
        <v>0</v>
      </c>
      <c r="AT1324" s="53">
        <f t="shared" si="253"/>
        <v>0</v>
      </c>
      <c r="AU1324" s="53">
        <f t="shared" si="253"/>
        <v>0</v>
      </c>
      <c r="AV1324" s="53">
        <f t="shared" si="253"/>
        <v>2040543.1587054092</v>
      </c>
      <c r="AW1324" s="53">
        <f t="shared" si="253"/>
        <v>0</v>
      </c>
      <c r="AX1324" s="53">
        <f t="shared" si="254"/>
        <v>308288573.46645021</v>
      </c>
      <c r="AY1324" s="41" t="s">
        <v>557</v>
      </c>
    </row>
    <row r="1325" spans="1:51" x14ac:dyDescent="0.2">
      <c r="A1325" s="41" t="s">
        <v>173</v>
      </c>
      <c r="B1325" s="41">
        <v>2013</v>
      </c>
      <c r="C1325" s="41" t="s">
        <v>96</v>
      </c>
      <c r="D1325" s="41" t="s">
        <v>170</v>
      </c>
      <c r="E1325" s="47">
        <v>72.108725639755733</v>
      </c>
      <c r="G1325" s="53">
        <v>5600716</v>
      </c>
      <c r="H1325" s="46">
        <v>4.0695994642459272</v>
      </c>
      <c r="O1325" s="46">
        <v>0.41017157008394628</v>
      </c>
      <c r="S1325" s="53">
        <v>180089.16828702687</v>
      </c>
      <c r="AD1325" s="53">
        <v>12077.633000000002</v>
      </c>
      <c r="AM1325" s="53">
        <v>31644012</v>
      </c>
      <c r="AO1325" s="53">
        <f t="shared" si="253"/>
        <v>22792670.832993593</v>
      </c>
      <c r="AP1325" s="53">
        <f t="shared" si="253"/>
        <v>0</v>
      </c>
      <c r="AQ1325" s="53">
        <f t="shared" si="253"/>
        <v>0</v>
      </c>
      <c r="AR1325" s="53">
        <f t="shared" si="253"/>
        <v>0</v>
      </c>
      <c r="AS1325" s="53">
        <f t="shared" si="253"/>
        <v>0</v>
      </c>
      <c r="AT1325" s="53">
        <f t="shared" si="253"/>
        <v>0</v>
      </c>
      <c r="AU1325" s="53">
        <f t="shared" si="253"/>
        <v>0</v>
      </c>
      <c r="AV1325" s="53">
        <f t="shared" si="253"/>
        <v>2297254.4753142791</v>
      </c>
      <c r="AW1325" s="53">
        <f t="shared" si="253"/>
        <v>0</v>
      </c>
      <c r="AX1325" s="53">
        <f t="shared" si="254"/>
        <v>403860493.43019015</v>
      </c>
      <c r="AY1325" s="41" t="s">
        <v>557</v>
      </c>
    </row>
    <row r="1326" spans="1:51" x14ac:dyDescent="0.2">
      <c r="A1326" s="41" t="s">
        <v>173</v>
      </c>
      <c r="B1326" s="41">
        <v>2014</v>
      </c>
      <c r="C1326" s="41" t="s">
        <v>96</v>
      </c>
      <c r="D1326" s="41" t="s">
        <v>170</v>
      </c>
      <c r="E1326" s="47">
        <v>73.858375713864092</v>
      </c>
      <c r="G1326" s="53">
        <v>6306027</v>
      </c>
      <c r="H1326" s="41">
        <v>4.32</v>
      </c>
      <c r="O1326" s="46">
        <v>0.4</v>
      </c>
      <c r="S1326" s="53">
        <v>182236.9</v>
      </c>
      <c r="AD1326" s="53">
        <v>15307.174999999999</v>
      </c>
      <c r="AM1326" s="53">
        <v>31779286</v>
      </c>
      <c r="AO1326" s="53">
        <f t="shared" si="253"/>
        <v>27242036.640000001</v>
      </c>
      <c r="AP1326" s="53">
        <f t="shared" si="253"/>
        <v>0</v>
      </c>
      <c r="AQ1326" s="53">
        <f t="shared" si="253"/>
        <v>0</v>
      </c>
      <c r="AR1326" s="53">
        <f t="shared" si="253"/>
        <v>0</v>
      </c>
      <c r="AS1326" s="53">
        <f t="shared" si="253"/>
        <v>0</v>
      </c>
      <c r="AT1326" s="53">
        <f t="shared" si="253"/>
        <v>0</v>
      </c>
      <c r="AU1326" s="53">
        <f t="shared" si="253"/>
        <v>0</v>
      </c>
      <c r="AV1326" s="53">
        <f t="shared" si="253"/>
        <v>2522410.8000000003</v>
      </c>
      <c r="AW1326" s="53">
        <f t="shared" si="253"/>
        <v>0</v>
      </c>
      <c r="AX1326" s="53">
        <f t="shared" si="254"/>
        <v>465752911.42777121</v>
      </c>
      <c r="AY1326" s="41" t="s">
        <v>557</v>
      </c>
    </row>
    <row r="1327" spans="1:51" x14ac:dyDescent="0.2">
      <c r="A1327" s="41" t="s">
        <v>173</v>
      </c>
      <c r="B1327" s="41">
        <v>2015</v>
      </c>
      <c r="C1327" s="41" t="s">
        <v>96</v>
      </c>
      <c r="D1327" s="41" t="s">
        <v>170</v>
      </c>
      <c r="E1327" s="47">
        <v>75.451859264756308</v>
      </c>
      <c r="G1327" s="53">
        <v>5454990</v>
      </c>
      <c r="H1327" s="41">
        <v>3.97</v>
      </c>
      <c r="O1327" s="41">
        <v>0.46</v>
      </c>
      <c r="S1327" s="53">
        <v>147773.3193</v>
      </c>
      <c r="AD1327" s="53">
        <v>14442.069599999999</v>
      </c>
      <c r="AM1327" s="53">
        <v>39384948</v>
      </c>
      <c r="AO1327" s="53">
        <f t="shared" si="253"/>
        <v>21656310.300000001</v>
      </c>
      <c r="AP1327" s="53">
        <f t="shared" si="253"/>
        <v>0</v>
      </c>
      <c r="AQ1327" s="53">
        <f t="shared" si="253"/>
        <v>0</v>
      </c>
      <c r="AR1327" s="53">
        <f t="shared" si="253"/>
        <v>0</v>
      </c>
      <c r="AS1327" s="53">
        <f t="shared" si="253"/>
        <v>0</v>
      </c>
      <c r="AT1327" s="53">
        <f t="shared" si="253"/>
        <v>0</v>
      </c>
      <c r="AU1327" s="53">
        <f t="shared" si="253"/>
        <v>0</v>
      </c>
      <c r="AV1327" s="53">
        <f t="shared" si="253"/>
        <v>2509295.4</v>
      </c>
      <c r="AW1327" s="53">
        <f t="shared" si="253"/>
        <v>0</v>
      </c>
      <c r="AX1327" s="53">
        <f t="shared" si="254"/>
        <v>411589137.77065301</v>
      </c>
      <c r="AY1327" s="41" t="s">
        <v>557</v>
      </c>
    </row>
    <row r="1328" spans="1:51" x14ac:dyDescent="0.2">
      <c r="A1328" s="41" t="s">
        <v>173</v>
      </c>
      <c r="B1328" s="41">
        <v>2016</v>
      </c>
      <c r="C1328" s="41" t="s">
        <v>96</v>
      </c>
      <c r="D1328" s="41" t="s">
        <v>170</v>
      </c>
      <c r="AM1328" s="53">
        <v>8174964</v>
      </c>
      <c r="AO1328" s="53">
        <f t="shared" si="253"/>
        <v>0</v>
      </c>
      <c r="AP1328" s="53">
        <f t="shared" si="253"/>
        <v>0</v>
      </c>
      <c r="AQ1328" s="53">
        <f t="shared" si="253"/>
        <v>0</v>
      </c>
      <c r="AR1328" s="53">
        <f t="shared" si="253"/>
        <v>0</v>
      </c>
      <c r="AS1328" s="53">
        <f t="shared" si="253"/>
        <v>0</v>
      </c>
      <c r="AT1328" s="53">
        <f t="shared" si="253"/>
        <v>0</v>
      </c>
      <c r="AU1328" s="53">
        <f t="shared" si="253"/>
        <v>0</v>
      </c>
      <c r="AV1328" s="53">
        <f t="shared" si="253"/>
        <v>0</v>
      </c>
      <c r="AW1328" s="53">
        <f t="shared" si="253"/>
        <v>0</v>
      </c>
      <c r="AX1328" s="53">
        <f t="shared" si="254"/>
        <v>0</v>
      </c>
      <c r="AY1328" s="41" t="s">
        <v>557</v>
      </c>
    </row>
    <row r="1329" spans="1:51" x14ac:dyDescent="0.2">
      <c r="A1329" s="41" t="s">
        <v>173</v>
      </c>
      <c r="B1329" s="41" t="s">
        <v>558</v>
      </c>
      <c r="C1329" s="41" t="s">
        <v>96</v>
      </c>
      <c r="D1329" s="41" t="s">
        <v>170</v>
      </c>
      <c r="E1329" s="41">
        <v>100</v>
      </c>
      <c r="G1329" s="76">
        <v>690608</v>
      </c>
      <c r="H1329" s="56">
        <f>100*S1329/G1329/0.7715</f>
        <v>0.46621265311951299</v>
      </c>
      <c r="S1329" s="53">
        <v>2484</v>
      </c>
      <c r="AM1329" s="53">
        <v>19743594</v>
      </c>
      <c r="AO1329" s="53">
        <f t="shared" si="253"/>
        <v>321970.18794556061</v>
      </c>
      <c r="AP1329" s="53">
        <f t="shared" si="253"/>
        <v>0</v>
      </c>
      <c r="AQ1329" s="53">
        <f t="shared" si="253"/>
        <v>0</v>
      </c>
      <c r="AR1329" s="53">
        <f t="shared" si="253"/>
        <v>0</v>
      </c>
      <c r="AS1329" s="53">
        <f t="shared" si="253"/>
        <v>0</v>
      </c>
      <c r="AT1329" s="53">
        <f t="shared" si="253"/>
        <v>0</v>
      </c>
      <c r="AU1329" s="53">
        <f t="shared" si="253"/>
        <v>0</v>
      </c>
      <c r="AV1329" s="53">
        <f t="shared" si="253"/>
        <v>0</v>
      </c>
      <c r="AW1329" s="53">
        <f t="shared" si="253"/>
        <v>0</v>
      </c>
      <c r="AX1329" s="53">
        <f t="shared" si="254"/>
        <v>69060800</v>
      </c>
      <c r="AY1329" s="41" t="s">
        <v>557</v>
      </c>
    </row>
    <row r="1330" spans="1:51" x14ac:dyDescent="0.2">
      <c r="A1330" s="41" t="s">
        <v>173</v>
      </c>
      <c r="B1330" s="60" t="s">
        <v>559</v>
      </c>
      <c r="C1330" s="60" t="s">
        <v>96</v>
      </c>
      <c r="D1330" s="60" t="s">
        <v>170</v>
      </c>
      <c r="E1330" s="78">
        <f>AX1330/G1330</f>
        <v>69.815362426556078</v>
      </c>
      <c r="F1330" s="60" t="s">
        <v>645</v>
      </c>
      <c r="G1330" s="79">
        <f>SUM(G1319:G1329)</f>
        <v>32828333</v>
      </c>
      <c r="H1330" s="80">
        <f>AO1330/$G1330</f>
        <v>3.8544416102752113</v>
      </c>
      <c r="O1330" s="80">
        <f>AV1330/$G1330</f>
        <v>0.47341049397634039</v>
      </c>
      <c r="S1330" s="79">
        <f>SUM(S1319:S1329)</f>
        <v>943066.82632578025</v>
      </c>
      <c r="AD1330" s="79">
        <f>SUM(AD1319:AD1329)</f>
        <v>68564.800600000002</v>
      </c>
      <c r="AM1330" s="79">
        <f>SUM(AM1319:AM1329)</f>
        <v>229042955</v>
      </c>
      <c r="AO1330" s="79">
        <f t="shared" ref="AO1330:AX1330" si="255">SUM(AO1319:AO1329)</f>
        <v>126534892.71117085</v>
      </c>
      <c r="AP1330" s="79">
        <f t="shared" si="255"/>
        <v>0</v>
      </c>
      <c r="AQ1330" s="79">
        <f t="shared" si="255"/>
        <v>0</v>
      </c>
      <c r="AR1330" s="79">
        <f t="shared" si="255"/>
        <v>0</v>
      </c>
      <c r="AS1330" s="79">
        <f t="shared" si="255"/>
        <v>0</v>
      </c>
      <c r="AT1330" s="79">
        <f t="shared" si="255"/>
        <v>0</v>
      </c>
      <c r="AU1330" s="79">
        <f t="shared" si="255"/>
        <v>0</v>
      </c>
      <c r="AV1330" s="79">
        <f t="shared" si="255"/>
        <v>15541277.341949796</v>
      </c>
      <c r="AW1330" s="79">
        <f t="shared" si="255"/>
        <v>0</v>
      </c>
      <c r="AX1330" s="79">
        <f t="shared" si="255"/>
        <v>2291921966.2546711</v>
      </c>
      <c r="AY1330" s="41" t="s">
        <v>557</v>
      </c>
    </row>
    <row r="1331" spans="1:51" x14ac:dyDescent="0.2">
      <c r="A1331" s="41" t="s">
        <v>173</v>
      </c>
      <c r="B1331" s="43" t="s">
        <v>560</v>
      </c>
      <c r="G1331" s="53">
        <f>STDEV(G1319:G1329)</f>
        <v>2240466.5608890508</v>
      </c>
      <c r="H1331" s="46">
        <f>STDEV(H1319:H1329)</f>
        <v>1.2277193856949766</v>
      </c>
      <c r="O1331" s="46">
        <f>STDEV(O1319:O1329)</f>
        <v>0.12526667155738738</v>
      </c>
      <c r="S1331" s="53">
        <f>STDEV(S1319:S1329)</f>
        <v>68541.438581805138</v>
      </c>
      <c r="AD1331" s="53">
        <f>STDEV(AD1319:AD1329)</f>
        <v>5523.5073820927028</v>
      </c>
      <c r="AM1331" s="53">
        <f>STDEV(AM1319:AM1329)</f>
        <v>11625038.239031121</v>
      </c>
      <c r="AY1331" s="41" t="s">
        <v>557</v>
      </c>
    </row>
    <row r="1332" spans="1:51" x14ac:dyDescent="0.2">
      <c r="A1332" s="41" t="s">
        <v>173</v>
      </c>
      <c r="B1332" s="81" t="s">
        <v>249</v>
      </c>
      <c r="G1332" s="41">
        <f>COUNT(G1319:G1329)</f>
        <v>10</v>
      </c>
      <c r="H1332" s="41">
        <f>COUNT(H1319:H1329)</f>
        <v>10</v>
      </c>
      <c r="O1332" s="41">
        <f>COUNT(O1319:O1329)</f>
        <v>9</v>
      </c>
      <c r="S1332" s="41">
        <f>COUNT(S1319:S1329)</f>
        <v>10</v>
      </c>
      <c r="AD1332" s="41">
        <f>COUNT(AD1319:AD1329)</f>
        <v>9</v>
      </c>
      <c r="AM1332" s="41">
        <f>COUNT(AM1319:AM1329)</f>
        <v>11</v>
      </c>
      <c r="AY1332" s="41" t="s">
        <v>557</v>
      </c>
    </row>
    <row r="1333" spans="1:51" x14ac:dyDescent="0.2">
      <c r="A1333" s="82"/>
      <c r="B1333" s="82"/>
      <c r="C1333" s="82"/>
      <c r="D1333" s="82"/>
      <c r="E1333" s="82"/>
      <c r="F1333" s="82"/>
      <c r="G1333" s="82"/>
      <c r="H1333" s="82"/>
      <c r="I1333" s="82"/>
      <c r="J1333" s="82"/>
      <c r="K1333" s="82"/>
      <c r="L1333" s="82"/>
      <c r="M1333" s="82"/>
      <c r="N1333" s="82"/>
      <c r="O1333" s="82"/>
      <c r="P1333" s="82"/>
      <c r="Q1333" s="82"/>
      <c r="R1333" s="82"/>
      <c r="S1333" s="82"/>
      <c r="T1333" s="82"/>
      <c r="U1333" s="82"/>
      <c r="V1333" s="82"/>
      <c r="W1333" s="82"/>
      <c r="X1333" s="82"/>
      <c r="Y1333" s="82"/>
      <c r="Z1333" s="82"/>
      <c r="AA1333" s="82"/>
      <c r="AB1333" s="82"/>
      <c r="AC1333" s="82"/>
      <c r="AD1333" s="82"/>
      <c r="AE1333" s="82"/>
      <c r="AF1333" s="82"/>
      <c r="AG1333" s="82"/>
      <c r="AH1333" s="82"/>
      <c r="AI1333" s="82"/>
      <c r="AJ1333" s="82"/>
      <c r="AK1333" s="82"/>
      <c r="AL1333" s="82"/>
      <c r="AM1333" s="82"/>
      <c r="AN1333" s="82"/>
      <c r="AO1333" s="82"/>
      <c r="AP1333" s="82"/>
      <c r="AQ1333" s="82"/>
      <c r="AR1333" s="82"/>
      <c r="AS1333" s="82"/>
      <c r="AT1333" s="82"/>
      <c r="AU1333" s="82"/>
      <c r="AV1333" s="82"/>
      <c r="AW1333" s="82"/>
      <c r="AX1333" s="82"/>
      <c r="AY1333" s="41" t="s">
        <v>557</v>
      </c>
    </row>
    <row r="1334" spans="1:51" x14ac:dyDescent="0.2">
      <c r="A1334" s="41" t="s">
        <v>111</v>
      </c>
      <c r="B1334" s="41">
        <v>1857</v>
      </c>
      <c r="C1334" s="41" t="s">
        <v>91</v>
      </c>
      <c r="D1334" s="41" t="s">
        <v>646</v>
      </c>
      <c r="E1334" s="41">
        <v>0</v>
      </c>
      <c r="F1334" s="41" t="s">
        <v>9</v>
      </c>
      <c r="G1334" s="53">
        <v>292.35399999999998</v>
      </c>
      <c r="H1334" s="47">
        <v>12.575586446568202</v>
      </c>
      <c r="S1334" s="53">
        <v>36.765230000000003</v>
      </c>
      <c r="AO1334" s="53">
        <f t="shared" ref="AO1334:AW1358" si="256">$G1334*H1334</f>
        <v>3676.5230000000001</v>
      </c>
      <c r="AP1334" s="53">
        <f t="shared" si="256"/>
        <v>0</v>
      </c>
      <c r="AQ1334" s="53">
        <f t="shared" si="256"/>
        <v>0</v>
      </c>
      <c r="AR1334" s="53">
        <f t="shared" si="256"/>
        <v>0</v>
      </c>
      <c r="AS1334" s="53">
        <f t="shared" si="256"/>
        <v>0</v>
      </c>
      <c r="AT1334" s="53">
        <f t="shared" si="256"/>
        <v>0</v>
      </c>
      <c r="AU1334" s="53">
        <f t="shared" si="256"/>
        <v>0</v>
      </c>
      <c r="AV1334" s="53">
        <f t="shared" si="256"/>
        <v>0</v>
      </c>
      <c r="AW1334" s="53">
        <f t="shared" si="256"/>
        <v>0</v>
      </c>
      <c r="AX1334" s="53">
        <f t="shared" ref="AX1334:AX1358" si="257">$G1334*E1334</f>
        <v>0</v>
      </c>
      <c r="AY1334" s="41" t="s">
        <v>557</v>
      </c>
    </row>
    <row r="1335" spans="1:51" x14ac:dyDescent="0.2">
      <c r="A1335" s="41" t="s">
        <v>111</v>
      </c>
      <c r="B1335" s="41">
        <v>1858</v>
      </c>
      <c r="C1335" s="41" t="s">
        <v>91</v>
      </c>
      <c r="D1335" s="41" t="s">
        <v>646</v>
      </c>
      <c r="E1335" s="41">
        <v>0</v>
      </c>
      <c r="F1335" s="41" t="s">
        <v>9</v>
      </c>
      <c r="G1335" s="53">
        <v>135.73759999999999</v>
      </c>
      <c r="H1335" s="41">
        <v>10</v>
      </c>
      <c r="S1335" s="53">
        <v>13.573759999999998</v>
      </c>
      <c r="AO1335" s="53">
        <f t="shared" si="256"/>
        <v>1357.3759999999997</v>
      </c>
      <c r="AP1335" s="53">
        <f t="shared" si="256"/>
        <v>0</v>
      </c>
      <c r="AQ1335" s="53">
        <f t="shared" si="256"/>
        <v>0</v>
      </c>
      <c r="AR1335" s="53">
        <f t="shared" si="256"/>
        <v>0</v>
      </c>
      <c r="AS1335" s="53">
        <f t="shared" si="256"/>
        <v>0</v>
      </c>
      <c r="AT1335" s="53">
        <f t="shared" si="256"/>
        <v>0</v>
      </c>
      <c r="AU1335" s="53">
        <f t="shared" si="256"/>
        <v>0</v>
      </c>
      <c r="AV1335" s="53">
        <f t="shared" si="256"/>
        <v>0</v>
      </c>
      <c r="AW1335" s="53">
        <f t="shared" si="256"/>
        <v>0</v>
      </c>
      <c r="AX1335" s="53">
        <f t="shared" si="257"/>
        <v>0</v>
      </c>
      <c r="AY1335" s="41" t="s">
        <v>557</v>
      </c>
    </row>
    <row r="1336" spans="1:51" x14ac:dyDescent="0.2">
      <c r="A1336" s="41" t="s">
        <v>111</v>
      </c>
      <c r="B1336" s="41">
        <v>1859</v>
      </c>
      <c r="C1336" s="41" t="s">
        <v>91</v>
      </c>
      <c r="D1336" s="41" t="s">
        <v>646</v>
      </c>
      <c r="E1336" s="41">
        <v>0</v>
      </c>
      <c r="F1336" s="41" t="s">
        <v>9</v>
      </c>
      <c r="G1336" s="53">
        <v>1019.7592000000001</v>
      </c>
      <c r="H1336" s="47">
        <v>12.340222427020025</v>
      </c>
      <c r="S1336" s="53">
        <v>125.8405535</v>
      </c>
      <c r="AO1336" s="53">
        <f t="shared" si="256"/>
        <v>12584.055350000001</v>
      </c>
      <c r="AP1336" s="53">
        <f t="shared" si="256"/>
        <v>0</v>
      </c>
      <c r="AQ1336" s="53">
        <f t="shared" si="256"/>
        <v>0</v>
      </c>
      <c r="AR1336" s="53">
        <f t="shared" si="256"/>
        <v>0</v>
      </c>
      <c r="AS1336" s="53">
        <f t="shared" si="256"/>
        <v>0</v>
      </c>
      <c r="AT1336" s="53">
        <f t="shared" si="256"/>
        <v>0</v>
      </c>
      <c r="AU1336" s="53">
        <f t="shared" si="256"/>
        <v>0</v>
      </c>
      <c r="AV1336" s="53">
        <f t="shared" si="256"/>
        <v>0</v>
      </c>
      <c r="AW1336" s="53">
        <f t="shared" si="256"/>
        <v>0</v>
      </c>
      <c r="AX1336" s="53">
        <f t="shared" si="257"/>
        <v>0</v>
      </c>
      <c r="AY1336" s="41" t="s">
        <v>557</v>
      </c>
    </row>
    <row r="1337" spans="1:51" x14ac:dyDescent="0.2">
      <c r="A1337" s="41" t="s">
        <v>111</v>
      </c>
      <c r="B1337" s="41">
        <v>1860</v>
      </c>
      <c r="C1337" s="41" t="s">
        <v>91</v>
      </c>
      <c r="D1337" s="41" t="s">
        <v>646</v>
      </c>
      <c r="E1337" s="41">
        <v>0</v>
      </c>
      <c r="F1337" s="41" t="s">
        <v>9</v>
      </c>
      <c r="G1337" s="53">
        <v>457.96199999999999</v>
      </c>
      <c r="H1337" s="47">
        <v>10.10747365501941</v>
      </c>
      <c r="S1337" s="53">
        <v>46.288388499999989</v>
      </c>
      <c r="AO1337" s="53">
        <f t="shared" si="256"/>
        <v>4628.8388499999992</v>
      </c>
      <c r="AP1337" s="53">
        <f t="shared" si="256"/>
        <v>0</v>
      </c>
      <c r="AQ1337" s="53">
        <f t="shared" si="256"/>
        <v>0</v>
      </c>
      <c r="AR1337" s="53">
        <f t="shared" si="256"/>
        <v>0</v>
      </c>
      <c r="AS1337" s="53">
        <f t="shared" si="256"/>
        <v>0</v>
      </c>
      <c r="AT1337" s="53">
        <f t="shared" si="256"/>
        <v>0</v>
      </c>
      <c r="AU1337" s="53">
        <f t="shared" si="256"/>
        <v>0</v>
      </c>
      <c r="AV1337" s="53">
        <f t="shared" si="256"/>
        <v>0</v>
      </c>
      <c r="AW1337" s="53">
        <f t="shared" si="256"/>
        <v>0</v>
      </c>
      <c r="AX1337" s="53">
        <f t="shared" si="257"/>
        <v>0</v>
      </c>
      <c r="AY1337" s="41" t="s">
        <v>557</v>
      </c>
    </row>
    <row r="1338" spans="1:51" x14ac:dyDescent="0.2">
      <c r="A1338" s="41" t="s">
        <v>111</v>
      </c>
      <c r="B1338" s="41">
        <v>1861</v>
      </c>
      <c r="C1338" s="41" t="s">
        <v>91</v>
      </c>
      <c r="D1338" s="41" t="s">
        <v>646</v>
      </c>
      <c r="E1338" s="41">
        <v>0</v>
      </c>
      <c r="F1338" s="41" t="s">
        <v>9</v>
      </c>
      <c r="G1338" s="53">
        <v>407.87320000000005</v>
      </c>
      <c r="H1338" s="47">
        <v>9.1494893511022539</v>
      </c>
      <c r="S1338" s="53">
        <v>37.318315000000005</v>
      </c>
      <c r="AO1338" s="53">
        <f t="shared" si="256"/>
        <v>3731.8315000000002</v>
      </c>
      <c r="AP1338" s="53">
        <f t="shared" si="256"/>
        <v>0</v>
      </c>
      <c r="AQ1338" s="53">
        <f t="shared" si="256"/>
        <v>0</v>
      </c>
      <c r="AR1338" s="53">
        <f t="shared" si="256"/>
        <v>0</v>
      </c>
      <c r="AS1338" s="53">
        <f t="shared" si="256"/>
        <v>0</v>
      </c>
      <c r="AT1338" s="53">
        <f t="shared" si="256"/>
        <v>0</v>
      </c>
      <c r="AU1338" s="53">
        <f t="shared" si="256"/>
        <v>0</v>
      </c>
      <c r="AV1338" s="53">
        <f t="shared" si="256"/>
        <v>0</v>
      </c>
      <c r="AW1338" s="53">
        <f t="shared" si="256"/>
        <v>0</v>
      </c>
      <c r="AX1338" s="53">
        <f t="shared" si="257"/>
        <v>0</v>
      </c>
      <c r="AY1338" s="41" t="s">
        <v>557</v>
      </c>
    </row>
    <row r="1339" spans="1:51" x14ac:dyDescent="0.2">
      <c r="A1339" s="41" t="s">
        <v>111</v>
      </c>
      <c r="B1339" s="41">
        <v>1862</v>
      </c>
      <c r="C1339" s="41" t="s">
        <v>91</v>
      </c>
      <c r="D1339" s="41" t="s">
        <v>646</v>
      </c>
      <c r="E1339" s="41">
        <v>0</v>
      </c>
      <c r="F1339" s="41" t="s">
        <v>9</v>
      </c>
      <c r="G1339" s="53">
        <v>1515.4656</v>
      </c>
      <c r="H1339" s="47">
        <v>9.1094755631536604</v>
      </c>
      <c r="S1339" s="53">
        <v>138.05096850000001</v>
      </c>
      <c r="AO1339" s="53">
        <f t="shared" si="256"/>
        <v>13805.09685</v>
      </c>
      <c r="AP1339" s="53">
        <f t="shared" si="256"/>
        <v>0</v>
      </c>
      <c r="AQ1339" s="53">
        <f t="shared" si="256"/>
        <v>0</v>
      </c>
      <c r="AR1339" s="53">
        <f t="shared" si="256"/>
        <v>0</v>
      </c>
      <c r="AS1339" s="53">
        <f t="shared" si="256"/>
        <v>0</v>
      </c>
      <c r="AT1339" s="53">
        <f t="shared" si="256"/>
        <v>0</v>
      </c>
      <c r="AU1339" s="53">
        <f t="shared" si="256"/>
        <v>0</v>
      </c>
      <c r="AV1339" s="53">
        <f t="shared" si="256"/>
        <v>0</v>
      </c>
      <c r="AW1339" s="53">
        <f t="shared" si="256"/>
        <v>0</v>
      </c>
      <c r="AX1339" s="53">
        <f t="shared" si="257"/>
        <v>0</v>
      </c>
      <c r="AY1339" s="41" t="s">
        <v>557</v>
      </c>
    </row>
    <row r="1340" spans="1:51" x14ac:dyDescent="0.2">
      <c r="A1340" s="41" t="s">
        <v>111</v>
      </c>
      <c r="B1340" s="41">
        <v>1863</v>
      </c>
      <c r="C1340" s="41" t="s">
        <v>91</v>
      </c>
      <c r="D1340" s="41" t="s">
        <v>646</v>
      </c>
      <c r="E1340" s="41">
        <v>0</v>
      </c>
      <c r="F1340" s="41" t="s">
        <v>9</v>
      </c>
      <c r="G1340" s="53">
        <v>1084.1227999999999</v>
      </c>
      <c r="H1340" s="41">
        <v>10</v>
      </c>
      <c r="S1340" s="53">
        <v>108.41228</v>
      </c>
      <c r="AO1340" s="53">
        <f t="shared" si="256"/>
        <v>10841.227999999999</v>
      </c>
      <c r="AP1340" s="53">
        <f t="shared" si="256"/>
        <v>0</v>
      </c>
      <c r="AQ1340" s="53">
        <f t="shared" si="256"/>
        <v>0</v>
      </c>
      <c r="AR1340" s="53">
        <f t="shared" si="256"/>
        <v>0</v>
      </c>
      <c r="AS1340" s="53">
        <f t="shared" si="256"/>
        <v>0</v>
      </c>
      <c r="AT1340" s="53">
        <f t="shared" si="256"/>
        <v>0</v>
      </c>
      <c r="AU1340" s="53">
        <f t="shared" si="256"/>
        <v>0</v>
      </c>
      <c r="AV1340" s="53">
        <f t="shared" si="256"/>
        <v>0</v>
      </c>
      <c r="AW1340" s="53">
        <f t="shared" si="256"/>
        <v>0</v>
      </c>
      <c r="AX1340" s="53">
        <f t="shared" si="257"/>
        <v>0</v>
      </c>
      <c r="AY1340" s="41" t="s">
        <v>557</v>
      </c>
    </row>
    <row r="1341" spans="1:51" x14ac:dyDescent="0.2">
      <c r="A1341" s="41" t="s">
        <v>111</v>
      </c>
      <c r="B1341" s="41">
        <v>1864</v>
      </c>
      <c r="C1341" s="41" t="s">
        <v>91</v>
      </c>
      <c r="D1341" s="41" t="s">
        <v>646</v>
      </c>
      <c r="E1341" s="41">
        <v>0</v>
      </c>
      <c r="F1341" s="41" t="s">
        <v>9</v>
      </c>
      <c r="G1341" s="53">
        <v>661.36519999999996</v>
      </c>
      <c r="H1341" s="47">
        <v>9.7506816959827933</v>
      </c>
      <c r="S1341" s="53">
        <v>64.48761549999999</v>
      </c>
      <c r="AO1341" s="53">
        <f t="shared" si="256"/>
        <v>6448.7615499999993</v>
      </c>
      <c r="AP1341" s="53">
        <f t="shared" si="256"/>
        <v>0</v>
      </c>
      <c r="AQ1341" s="53">
        <f t="shared" si="256"/>
        <v>0</v>
      </c>
      <c r="AR1341" s="53">
        <f t="shared" si="256"/>
        <v>0</v>
      </c>
      <c r="AS1341" s="53">
        <f t="shared" si="256"/>
        <v>0</v>
      </c>
      <c r="AT1341" s="53">
        <f t="shared" si="256"/>
        <v>0</v>
      </c>
      <c r="AU1341" s="53">
        <f t="shared" si="256"/>
        <v>0</v>
      </c>
      <c r="AV1341" s="53">
        <f t="shared" si="256"/>
        <v>0</v>
      </c>
      <c r="AW1341" s="53">
        <f t="shared" si="256"/>
        <v>0</v>
      </c>
      <c r="AX1341" s="53">
        <f t="shared" si="257"/>
        <v>0</v>
      </c>
      <c r="AY1341" s="41" t="s">
        <v>557</v>
      </c>
    </row>
    <row r="1342" spans="1:51" x14ac:dyDescent="0.2">
      <c r="A1342" s="41" t="s">
        <v>111</v>
      </c>
      <c r="B1342" s="41">
        <v>1865</v>
      </c>
      <c r="C1342" s="41" t="s">
        <v>91</v>
      </c>
      <c r="D1342" s="41" t="s">
        <v>646</v>
      </c>
      <c r="E1342" s="41">
        <v>0</v>
      </c>
      <c r="F1342" s="41" t="s">
        <v>9</v>
      </c>
      <c r="G1342" s="53">
        <v>775.36040000000014</v>
      </c>
      <c r="H1342" s="47">
        <v>8.5571152460197855</v>
      </c>
      <c r="S1342" s="53">
        <v>66.348483000000002</v>
      </c>
      <c r="AO1342" s="53">
        <f t="shared" si="256"/>
        <v>6634.8483000000006</v>
      </c>
      <c r="AP1342" s="53">
        <f t="shared" si="256"/>
        <v>0</v>
      </c>
      <c r="AQ1342" s="53">
        <f t="shared" si="256"/>
        <v>0</v>
      </c>
      <c r="AR1342" s="53">
        <f t="shared" si="256"/>
        <v>0</v>
      </c>
      <c r="AS1342" s="53">
        <f t="shared" si="256"/>
        <v>0</v>
      </c>
      <c r="AT1342" s="53">
        <f t="shared" si="256"/>
        <v>0</v>
      </c>
      <c r="AU1342" s="53">
        <f t="shared" si="256"/>
        <v>0</v>
      </c>
      <c r="AV1342" s="53">
        <f t="shared" si="256"/>
        <v>0</v>
      </c>
      <c r="AW1342" s="53">
        <f t="shared" si="256"/>
        <v>0</v>
      </c>
      <c r="AX1342" s="53">
        <f t="shared" si="257"/>
        <v>0</v>
      </c>
      <c r="AY1342" s="41" t="s">
        <v>557</v>
      </c>
    </row>
    <row r="1343" spans="1:51" x14ac:dyDescent="0.2">
      <c r="A1343" s="41" t="s">
        <v>111</v>
      </c>
      <c r="B1343" s="41">
        <v>1869</v>
      </c>
      <c r="C1343" s="41" t="s">
        <v>91</v>
      </c>
      <c r="D1343" s="41" t="s">
        <v>646</v>
      </c>
      <c r="E1343" s="41">
        <v>0</v>
      </c>
      <c r="F1343" s="41" t="s">
        <v>9</v>
      </c>
      <c r="G1343" s="53">
        <v>1033.1196</v>
      </c>
      <c r="H1343" s="47">
        <v>7.9075576535378866</v>
      </c>
      <c r="S1343" s="53">
        <v>81.694528000000005</v>
      </c>
      <c r="AO1343" s="53">
        <f t="shared" si="256"/>
        <v>8169.4528</v>
      </c>
      <c r="AP1343" s="53">
        <f t="shared" si="256"/>
        <v>0</v>
      </c>
      <c r="AQ1343" s="53">
        <f t="shared" si="256"/>
        <v>0</v>
      </c>
      <c r="AR1343" s="53">
        <f t="shared" si="256"/>
        <v>0</v>
      </c>
      <c r="AS1343" s="53">
        <f t="shared" si="256"/>
        <v>0</v>
      </c>
      <c r="AT1343" s="53">
        <f t="shared" si="256"/>
        <v>0</v>
      </c>
      <c r="AU1343" s="53">
        <f t="shared" si="256"/>
        <v>0</v>
      </c>
      <c r="AV1343" s="53">
        <f t="shared" si="256"/>
        <v>0</v>
      </c>
      <c r="AW1343" s="53">
        <f t="shared" si="256"/>
        <v>0</v>
      </c>
      <c r="AX1343" s="53">
        <f t="shared" si="257"/>
        <v>0</v>
      </c>
      <c r="AY1343" s="41" t="s">
        <v>557</v>
      </c>
    </row>
    <row r="1344" spans="1:51" x14ac:dyDescent="0.2">
      <c r="A1344" s="41" t="s">
        <v>111</v>
      </c>
      <c r="B1344" s="41">
        <v>1871</v>
      </c>
      <c r="C1344" s="41" t="s">
        <v>91</v>
      </c>
      <c r="D1344" s="41" t="s">
        <v>646</v>
      </c>
      <c r="E1344" s="41">
        <v>0</v>
      </c>
      <c r="F1344" s="41" t="s">
        <v>9</v>
      </c>
      <c r="G1344" s="53">
        <v>1086.2056</v>
      </c>
      <c r="H1344" s="47">
        <v>6.1385511177626046</v>
      </c>
      <c r="S1344" s="53">
        <v>66.677286000000009</v>
      </c>
      <c r="AO1344" s="53">
        <f t="shared" si="256"/>
        <v>6667.7286000000004</v>
      </c>
      <c r="AP1344" s="53">
        <f t="shared" si="256"/>
        <v>0</v>
      </c>
      <c r="AQ1344" s="53">
        <f t="shared" si="256"/>
        <v>0</v>
      </c>
      <c r="AR1344" s="53">
        <f t="shared" si="256"/>
        <v>0</v>
      </c>
      <c r="AS1344" s="53">
        <f t="shared" si="256"/>
        <v>0</v>
      </c>
      <c r="AT1344" s="53">
        <f t="shared" si="256"/>
        <v>0</v>
      </c>
      <c r="AU1344" s="53">
        <f t="shared" si="256"/>
        <v>0</v>
      </c>
      <c r="AV1344" s="53">
        <f t="shared" si="256"/>
        <v>0</v>
      </c>
      <c r="AW1344" s="53">
        <f t="shared" si="256"/>
        <v>0</v>
      </c>
      <c r="AX1344" s="53">
        <f t="shared" si="257"/>
        <v>0</v>
      </c>
      <c r="AY1344" s="41" t="s">
        <v>557</v>
      </c>
    </row>
    <row r="1345" spans="1:51" x14ac:dyDescent="0.2">
      <c r="A1345" s="41" t="s">
        <v>111</v>
      </c>
      <c r="B1345" s="41">
        <v>1872</v>
      </c>
      <c r="C1345" s="41" t="s">
        <v>91</v>
      </c>
      <c r="D1345" s="41" t="s">
        <v>646</v>
      </c>
      <c r="E1345" s="41">
        <v>0</v>
      </c>
      <c r="F1345" s="41" t="s">
        <v>9</v>
      </c>
      <c r="G1345" s="53">
        <v>608.58400000000006</v>
      </c>
      <c r="H1345" s="41">
        <v>6</v>
      </c>
      <c r="S1345" s="53">
        <v>36.515040000000006</v>
      </c>
      <c r="AO1345" s="53">
        <f t="shared" si="256"/>
        <v>3651.5040000000004</v>
      </c>
      <c r="AP1345" s="53">
        <f t="shared" si="256"/>
        <v>0</v>
      </c>
      <c r="AQ1345" s="53">
        <f t="shared" si="256"/>
        <v>0</v>
      </c>
      <c r="AR1345" s="53">
        <f t="shared" si="256"/>
        <v>0</v>
      </c>
      <c r="AS1345" s="53">
        <f t="shared" si="256"/>
        <v>0</v>
      </c>
      <c r="AT1345" s="53">
        <f t="shared" si="256"/>
        <v>0</v>
      </c>
      <c r="AU1345" s="53">
        <f t="shared" si="256"/>
        <v>0</v>
      </c>
      <c r="AV1345" s="53">
        <f t="shared" si="256"/>
        <v>0</v>
      </c>
      <c r="AW1345" s="53">
        <f t="shared" si="256"/>
        <v>0</v>
      </c>
      <c r="AX1345" s="53">
        <f t="shared" si="257"/>
        <v>0</v>
      </c>
      <c r="AY1345" s="41" t="s">
        <v>557</v>
      </c>
    </row>
    <row r="1346" spans="1:51" x14ac:dyDescent="0.2">
      <c r="A1346" s="41" t="s">
        <v>111</v>
      </c>
      <c r="B1346" s="41">
        <v>1873</v>
      </c>
      <c r="C1346" s="41" t="s">
        <v>91</v>
      </c>
      <c r="D1346" s="41" t="s">
        <v>646</v>
      </c>
      <c r="E1346" s="41">
        <v>0</v>
      </c>
      <c r="F1346" s="41" t="s">
        <v>9</v>
      </c>
      <c r="G1346" s="53">
        <v>818.89599999999996</v>
      </c>
      <c r="H1346" s="47">
        <v>6.3219602977667497</v>
      </c>
      <c r="S1346" s="53">
        <v>51.77028</v>
      </c>
      <c r="AO1346" s="53">
        <f t="shared" si="256"/>
        <v>5177.0280000000002</v>
      </c>
      <c r="AP1346" s="53">
        <f t="shared" si="256"/>
        <v>0</v>
      </c>
      <c r="AQ1346" s="53">
        <f t="shared" si="256"/>
        <v>0</v>
      </c>
      <c r="AR1346" s="53">
        <f t="shared" si="256"/>
        <v>0</v>
      </c>
      <c r="AS1346" s="53">
        <f t="shared" si="256"/>
        <v>0</v>
      </c>
      <c r="AT1346" s="53">
        <f t="shared" si="256"/>
        <v>0</v>
      </c>
      <c r="AU1346" s="53">
        <f t="shared" si="256"/>
        <v>0</v>
      </c>
      <c r="AV1346" s="53">
        <f t="shared" si="256"/>
        <v>0</v>
      </c>
      <c r="AW1346" s="53">
        <f t="shared" si="256"/>
        <v>0</v>
      </c>
      <c r="AX1346" s="53">
        <f t="shared" si="257"/>
        <v>0</v>
      </c>
      <c r="AY1346" s="41" t="s">
        <v>557</v>
      </c>
    </row>
    <row r="1347" spans="1:51" x14ac:dyDescent="0.2">
      <c r="A1347" s="41" t="s">
        <v>111</v>
      </c>
      <c r="B1347" s="41">
        <v>1874</v>
      </c>
      <c r="C1347" s="41" t="s">
        <v>91</v>
      </c>
      <c r="D1347" s="41" t="s">
        <v>646</v>
      </c>
      <c r="E1347" s="41">
        <v>0</v>
      </c>
      <c r="F1347" s="41" t="s">
        <v>9</v>
      </c>
      <c r="G1347" s="53">
        <v>696.976</v>
      </c>
      <c r="H1347" s="47">
        <v>6.723032069970845</v>
      </c>
      <c r="S1347" s="53">
        <v>46.857919999999993</v>
      </c>
      <c r="AO1347" s="53">
        <f t="shared" si="256"/>
        <v>4685.7919999999995</v>
      </c>
      <c r="AP1347" s="53">
        <f t="shared" si="256"/>
        <v>0</v>
      </c>
      <c r="AQ1347" s="53">
        <f t="shared" si="256"/>
        <v>0</v>
      </c>
      <c r="AR1347" s="53">
        <f t="shared" si="256"/>
        <v>0</v>
      </c>
      <c r="AS1347" s="53">
        <f t="shared" si="256"/>
        <v>0</v>
      </c>
      <c r="AT1347" s="53">
        <f t="shared" si="256"/>
        <v>0</v>
      </c>
      <c r="AU1347" s="53">
        <f t="shared" si="256"/>
        <v>0</v>
      </c>
      <c r="AV1347" s="53">
        <f t="shared" si="256"/>
        <v>0</v>
      </c>
      <c r="AW1347" s="53">
        <f t="shared" si="256"/>
        <v>0</v>
      </c>
      <c r="AX1347" s="53">
        <f t="shared" si="257"/>
        <v>0</v>
      </c>
      <c r="AY1347" s="41" t="s">
        <v>557</v>
      </c>
    </row>
    <row r="1348" spans="1:51" x14ac:dyDescent="0.2">
      <c r="A1348" s="41" t="s">
        <v>111</v>
      </c>
      <c r="B1348" s="41">
        <v>1972</v>
      </c>
      <c r="C1348" s="41" t="s">
        <v>87</v>
      </c>
      <c r="D1348" s="41" t="s">
        <v>88</v>
      </c>
      <c r="E1348" s="41">
        <v>100</v>
      </c>
      <c r="F1348" s="41" t="s">
        <v>556</v>
      </c>
      <c r="G1348" s="53">
        <v>829842</v>
      </c>
      <c r="H1348" s="46">
        <v>0.80505325110081194</v>
      </c>
      <c r="I1348" s="56">
        <v>6.9823564580251282E-2</v>
      </c>
      <c r="J1348" s="54">
        <v>2</v>
      </c>
      <c r="R1348" s="91">
        <f>S1348*4</f>
        <v>26722.68</v>
      </c>
      <c r="S1348" s="53">
        <v>6680.67</v>
      </c>
      <c r="T1348" s="91">
        <f>0.5*G1348*I1348/1000</f>
        <v>28.971263239202443</v>
      </c>
      <c r="U1348" s="91">
        <f>0.5*G1348*J1348/1000</f>
        <v>829.84199999999998</v>
      </c>
      <c r="AM1348" s="91">
        <v>3319368</v>
      </c>
      <c r="AO1348" s="53">
        <f t="shared" si="256"/>
        <v>668067</v>
      </c>
      <c r="AP1348" s="53">
        <f t="shared" si="256"/>
        <v>57942.526478404885</v>
      </c>
      <c r="AQ1348" s="53">
        <f t="shared" si="256"/>
        <v>1659684</v>
      </c>
      <c r="AR1348" s="53">
        <f t="shared" si="256"/>
        <v>0</v>
      </c>
      <c r="AS1348" s="53">
        <f t="shared" si="256"/>
        <v>0</v>
      </c>
      <c r="AT1348" s="53">
        <f t="shared" si="256"/>
        <v>0</v>
      </c>
      <c r="AU1348" s="53">
        <f t="shared" si="256"/>
        <v>0</v>
      </c>
      <c r="AV1348" s="53">
        <f t="shared" si="256"/>
        <v>0</v>
      </c>
      <c r="AW1348" s="53">
        <f t="shared" si="256"/>
        <v>0</v>
      </c>
      <c r="AX1348" s="53">
        <f t="shared" si="257"/>
        <v>82984200</v>
      </c>
      <c r="AY1348" s="41" t="s">
        <v>557</v>
      </c>
    </row>
    <row r="1349" spans="1:51" x14ac:dyDescent="0.2">
      <c r="A1349" s="41" t="s">
        <v>111</v>
      </c>
      <c r="B1349" s="41">
        <v>1973</v>
      </c>
      <c r="C1349" s="41" t="s">
        <v>87</v>
      </c>
      <c r="D1349" s="41" t="s">
        <v>88</v>
      </c>
      <c r="E1349" s="41">
        <v>100</v>
      </c>
      <c r="F1349" s="41" t="s">
        <v>556</v>
      </c>
      <c r="G1349" s="53">
        <v>934582</v>
      </c>
      <c r="H1349" s="41">
        <v>0.92</v>
      </c>
      <c r="I1349" s="56">
        <v>6.9823564580251282E-2</v>
      </c>
      <c r="J1349" s="47">
        <v>2.0186038250255192</v>
      </c>
      <c r="R1349" s="91">
        <f>S1349*4</f>
        <v>29233.72496</v>
      </c>
      <c r="S1349" s="91">
        <v>7308.4312399999999</v>
      </c>
      <c r="T1349" s="91">
        <f>0.5*G1349*I1349/1000</f>
        <v>32.627923316270198</v>
      </c>
      <c r="U1349" s="91">
        <f>0.5*G1349*J1349/1000</f>
        <v>943.27539999999988</v>
      </c>
      <c r="AM1349" s="91">
        <v>3738328</v>
      </c>
      <c r="AO1349" s="53">
        <f t="shared" si="256"/>
        <v>859815.44000000006</v>
      </c>
      <c r="AP1349" s="53">
        <f t="shared" si="256"/>
        <v>65255.846632540401</v>
      </c>
      <c r="AQ1349" s="53">
        <f t="shared" si="256"/>
        <v>1886550.7999999998</v>
      </c>
      <c r="AR1349" s="53">
        <f t="shared" si="256"/>
        <v>0</v>
      </c>
      <c r="AS1349" s="53">
        <f t="shared" si="256"/>
        <v>0</v>
      </c>
      <c r="AT1349" s="53">
        <f t="shared" si="256"/>
        <v>0</v>
      </c>
      <c r="AU1349" s="53">
        <f t="shared" si="256"/>
        <v>0</v>
      </c>
      <c r="AV1349" s="53">
        <f t="shared" si="256"/>
        <v>0</v>
      </c>
      <c r="AW1349" s="53">
        <f t="shared" si="256"/>
        <v>0</v>
      </c>
      <c r="AX1349" s="53">
        <f t="shared" si="257"/>
        <v>93458200</v>
      </c>
      <c r="AY1349" s="41" t="s">
        <v>557</v>
      </c>
    </row>
    <row r="1350" spans="1:51" x14ac:dyDescent="0.2">
      <c r="A1350" s="41" t="s">
        <v>111</v>
      </c>
      <c r="B1350" s="41">
        <v>1974</v>
      </c>
      <c r="C1350" s="41" t="s">
        <v>87</v>
      </c>
      <c r="D1350" s="41" t="s">
        <v>88</v>
      </c>
      <c r="E1350" s="41">
        <v>100</v>
      </c>
      <c r="F1350" s="41" t="s">
        <v>556</v>
      </c>
      <c r="G1350" s="53">
        <v>931708</v>
      </c>
      <c r="H1350" s="41">
        <v>0.79</v>
      </c>
      <c r="I1350" s="56">
        <v>6.9823564580251282E-2</v>
      </c>
      <c r="J1350" s="47">
        <v>1.6399987979066404</v>
      </c>
      <c r="R1350" s="91">
        <f>S1350*4</f>
        <v>25025.676879999999</v>
      </c>
      <c r="S1350" s="91">
        <v>6256.4192199999998</v>
      </c>
      <c r="T1350" s="91">
        <f>0.5*G1350*I1350/1000</f>
        <v>32.52758685396838</v>
      </c>
      <c r="U1350" s="91">
        <f>0.5*G1350*J1350/1000</f>
        <v>764</v>
      </c>
      <c r="AM1350" s="91">
        <v>3726832</v>
      </c>
      <c r="AO1350" s="53">
        <f t="shared" si="256"/>
        <v>736049.32000000007</v>
      </c>
      <c r="AP1350" s="53">
        <f t="shared" si="256"/>
        <v>65055.173707936759</v>
      </c>
      <c r="AQ1350" s="53">
        <f t="shared" si="256"/>
        <v>1528000</v>
      </c>
      <c r="AR1350" s="53">
        <f t="shared" si="256"/>
        <v>0</v>
      </c>
      <c r="AS1350" s="53">
        <f t="shared" si="256"/>
        <v>0</v>
      </c>
      <c r="AT1350" s="53">
        <f t="shared" si="256"/>
        <v>0</v>
      </c>
      <c r="AU1350" s="53">
        <f t="shared" si="256"/>
        <v>0</v>
      </c>
      <c r="AV1350" s="53">
        <f t="shared" si="256"/>
        <v>0</v>
      </c>
      <c r="AW1350" s="53">
        <f t="shared" si="256"/>
        <v>0</v>
      </c>
      <c r="AX1350" s="53">
        <f t="shared" si="257"/>
        <v>93170800</v>
      </c>
      <c r="AY1350" s="41" t="s">
        <v>557</v>
      </c>
    </row>
    <row r="1351" spans="1:51" x14ac:dyDescent="0.2">
      <c r="A1351" s="41" t="s">
        <v>111</v>
      </c>
      <c r="B1351" s="41">
        <v>1975</v>
      </c>
      <c r="C1351" s="41" t="s">
        <v>87</v>
      </c>
      <c r="D1351" s="41" t="s">
        <v>88</v>
      </c>
      <c r="E1351" s="41">
        <v>100</v>
      </c>
      <c r="F1351" s="41" t="s">
        <v>556</v>
      </c>
      <c r="G1351" s="53">
        <v>916596</v>
      </c>
      <c r="H1351" s="46">
        <v>0.73650565789071742</v>
      </c>
      <c r="I1351" s="46">
        <v>6.9823564580251282E-2</v>
      </c>
      <c r="J1351" s="47">
        <v>1.693100231726955</v>
      </c>
      <c r="R1351" s="91">
        <f>S1351*4</f>
        <v>22952.656759999998</v>
      </c>
      <c r="S1351" s="91">
        <v>5738.1641899999995</v>
      </c>
      <c r="T1351" s="91">
        <f>0.5*G1351*I1351/1000</f>
        <v>32.000000000000007</v>
      </c>
      <c r="U1351" s="91">
        <f>0.5*G1351*J1351/1000</f>
        <v>775.94445000000007</v>
      </c>
      <c r="AM1351" s="91">
        <v>3666384</v>
      </c>
      <c r="AO1351" s="53">
        <f t="shared" si="256"/>
        <v>675078.14</v>
      </c>
      <c r="AP1351" s="53">
        <f t="shared" si="256"/>
        <v>64000.000000000007</v>
      </c>
      <c r="AQ1351" s="53">
        <f t="shared" si="256"/>
        <v>1551888.9000000001</v>
      </c>
      <c r="AR1351" s="53">
        <f t="shared" si="256"/>
        <v>0</v>
      </c>
      <c r="AS1351" s="53">
        <f t="shared" si="256"/>
        <v>0</v>
      </c>
      <c r="AT1351" s="53">
        <f t="shared" si="256"/>
        <v>0</v>
      </c>
      <c r="AU1351" s="53">
        <f t="shared" si="256"/>
        <v>0</v>
      </c>
      <c r="AV1351" s="53">
        <f t="shared" si="256"/>
        <v>0</v>
      </c>
      <c r="AW1351" s="53">
        <f t="shared" si="256"/>
        <v>0</v>
      </c>
      <c r="AX1351" s="53">
        <f t="shared" si="257"/>
        <v>91659600</v>
      </c>
      <c r="AY1351" s="41" t="s">
        <v>557</v>
      </c>
    </row>
    <row r="1352" spans="1:51" x14ac:dyDescent="0.2">
      <c r="A1352" s="41" t="s">
        <v>111</v>
      </c>
      <c r="B1352" s="41">
        <v>1976</v>
      </c>
      <c r="C1352" s="41" t="s">
        <v>87</v>
      </c>
      <c r="D1352" s="41" t="s">
        <v>88</v>
      </c>
      <c r="E1352" s="41">
        <v>100</v>
      </c>
      <c r="F1352" s="41" t="s">
        <v>556</v>
      </c>
      <c r="G1352" s="53">
        <v>498612</v>
      </c>
      <c r="H1352" s="46">
        <v>0.95344859329498699</v>
      </c>
      <c r="I1352" s="56">
        <v>6.9823564580251282E-2</v>
      </c>
      <c r="J1352" s="47">
        <v>1.9253447570455584</v>
      </c>
      <c r="R1352" s="91">
        <f>S1352*4</f>
        <v>16163.630940000003</v>
      </c>
      <c r="S1352" s="91">
        <v>4040.9077350000007</v>
      </c>
      <c r="T1352" s="91">
        <f>0.5*G1352*I1352/1000</f>
        <v>17.407433591244128</v>
      </c>
      <c r="U1352" s="91">
        <f>0.5*G1352*J1352/1000</f>
        <v>480</v>
      </c>
      <c r="AM1352" s="53">
        <v>2067250</v>
      </c>
      <c r="AO1352" s="53">
        <f t="shared" si="256"/>
        <v>475400.91000000003</v>
      </c>
      <c r="AP1352" s="53">
        <f t="shared" si="256"/>
        <v>34814.867182488255</v>
      </c>
      <c r="AQ1352" s="53">
        <f t="shared" si="256"/>
        <v>960000</v>
      </c>
      <c r="AR1352" s="53">
        <f t="shared" si="256"/>
        <v>0</v>
      </c>
      <c r="AS1352" s="53">
        <f t="shared" si="256"/>
        <v>0</v>
      </c>
      <c r="AT1352" s="53">
        <f t="shared" si="256"/>
        <v>0</v>
      </c>
      <c r="AU1352" s="53">
        <f t="shared" si="256"/>
        <v>0</v>
      </c>
      <c r="AV1352" s="53">
        <f t="shared" si="256"/>
        <v>0</v>
      </c>
      <c r="AW1352" s="53">
        <f t="shared" si="256"/>
        <v>0</v>
      </c>
      <c r="AX1352" s="53">
        <f t="shared" si="257"/>
        <v>49861200</v>
      </c>
      <c r="AY1352" s="41" t="s">
        <v>557</v>
      </c>
    </row>
    <row r="1353" spans="1:51" x14ac:dyDescent="0.2">
      <c r="A1353" s="41" t="s">
        <v>111</v>
      </c>
      <c r="B1353" s="41">
        <v>2011</v>
      </c>
      <c r="C1353" s="41" t="s">
        <v>87</v>
      </c>
      <c r="D1353" s="41" t="s">
        <v>88</v>
      </c>
      <c r="E1353" s="41">
        <v>100</v>
      </c>
      <c r="F1353" s="41" t="s">
        <v>556</v>
      </c>
      <c r="G1353" s="53">
        <v>331000</v>
      </c>
      <c r="H1353" s="46">
        <v>0.59863141993957703</v>
      </c>
      <c r="I1353" s="46">
        <v>0.11670996978851964</v>
      </c>
      <c r="J1353" s="47">
        <v>2.2405921450151056</v>
      </c>
      <c r="R1353" s="53">
        <v>4774</v>
      </c>
      <c r="S1353" s="53">
        <v>1481</v>
      </c>
      <c r="T1353" s="53">
        <v>34.707599999999999</v>
      </c>
      <c r="U1353" s="53">
        <v>379.23340000000002</v>
      </c>
      <c r="AM1353" s="91">
        <v>27774000</v>
      </c>
      <c r="AO1353" s="53">
        <f t="shared" si="256"/>
        <v>198147</v>
      </c>
      <c r="AP1353" s="53">
        <f t="shared" si="256"/>
        <v>38631</v>
      </c>
      <c r="AQ1353" s="53">
        <f t="shared" si="256"/>
        <v>741636</v>
      </c>
      <c r="AR1353" s="53">
        <f t="shared" si="256"/>
        <v>0</v>
      </c>
      <c r="AS1353" s="53">
        <f t="shared" si="256"/>
        <v>0</v>
      </c>
      <c r="AT1353" s="53">
        <f t="shared" si="256"/>
        <v>0</v>
      </c>
      <c r="AU1353" s="53">
        <f t="shared" si="256"/>
        <v>0</v>
      </c>
      <c r="AV1353" s="53">
        <f t="shared" si="256"/>
        <v>0</v>
      </c>
      <c r="AW1353" s="53">
        <f t="shared" si="256"/>
        <v>0</v>
      </c>
      <c r="AX1353" s="53">
        <f t="shared" si="257"/>
        <v>33100000</v>
      </c>
      <c r="AY1353" s="41" t="s">
        <v>557</v>
      </c>
    </row>
    <row r="1354" spans="1:51" x14ac:dyDescent="0.2">
      <c r="A1354" s="41" t="s">
        <v>111</v>
      </c>
      <c r="B1354" s="41">
        <v>2012</v>
      </c>
      <c r="C1354" s="41" t="s">
        <v>87</v>
      </c>
      <c r="D1354" s="41" t="s">
        <v>88</v>
      </c>
      <c r="E1354" s="41">
        <v>100</v>
      </c>
      <c r="F1354" s="41" t="s">
        <v>556</v>
      </c>
      <c r="G1354" s="53">
        <v>2303000</v>
      </c>
      <c r="H1354" s="46">
        <v>0.6655405992184108</v>
      </c>
      <c r="I1354" s="88">
        <v>0.16214937038645244</v>
      </c>
      <c r="J1354" s="103">
        <v>2.9634737299174989</v>
      </c>
      <c r="R1354" s="53">
        <v>56431</v>
      </c>
      <c r="S1354" s="53">
        <v>13743</v>
      </c>
      <c r="T1354" s="53">
        <v>204.29590000000002</v>
      </c>
      <c r="U1354" s="53">
        <v>3783.5016000000001</v>
      </c>
      <c r="AM1354" s="53">
        <v>11777000</v>
      </c>
      <c r="AO1354" s="53">
        <f t="shared" si="256"/>
        <v>1532740</v>
      </c>
      <c r="AP1354" s="53">
        <f t="shared" si="256"/>
        <v>373429.99999999994</v>
      </c>
      <c r="AQ1354" s="53">
        <f t="shared" si="256"/>
        <v>6824880</v>
      </c>
      <c r="AR1354" s="53">
        <f t="shared" si="256"/>
        <v>0</v>
      </c>
      <c r="AS1354" s="53">
        <f t="shared" si="256"/>
        <v>0</v>
      </c>
      <c r="AT1354" s="53">
        <f t="shared" si="256"/>
        <v>0</v>
      </c>
      <c r="AU1354" s="53">
        <f t="shared" si="256"/>
        <v>0</v>
      </c>
      <c r="AV1354" s="53">
        <f t="shared" si="256"/>
        <v>0</v>
      </c>
      <c r="AW1354" s="53">
        <f t="shared" si="256"/>
        <v>0</v>
      </c>
      <c r="AX1354" s="53">
        <f t="shared" si="257"/>
        <v>230300000</v>
      </c>
      <c r="AY1354" s="41" t="s">
        <v>557</v>
      </c>
    </row>
    <row r="1355" spans="1:51" x14ac:dyDescent="0.2">
      <c r="A1355" s="41" t="s">
        <v>111</v>
      </c>
      <c r="B1355" s="41">
        <v>2013</v>
      </c>
      <c r="C1355" s="41" t="s">
        <v>87</v>
      </c>
      <c r="D1355" s="41" t="s">
        <v>88</v>
      </c>
      <c r="E1355" s="41">
        <v>100</v>
      </c>
      <c r="F1355" s="41" t="s">
        <v>556</v>
      </c>
      <c r="G1355" s="53">
        <v>2944000</v>
      </c>
      <c r="H1355" s="46">
        <v>0.64519021739130433</v>
      </c>
      <c r="I1355" s="46">
        <v>0.119375</v>
      </c>
      <c r="J1355" s="47">
        <v>2.8638179347826087</v>
      </c>
      <c r="R1355" s="53">
        <v>75423</v>
      </c>
      <c r="S1355" s="53">
        <v>17184</v>
      </c>
      <c r="T1355" s="53">
        <v>185.41820000000001</v>
      </c>
      <c r="U1355" s="53">
        <v>4131.7594000000008</v>
      </c>
      <c r="AM1355" s="53">
        <v>10027000</v>
      </c>
      <c r="AO1355" s="53">
        <f t="shared" si="256"/>
        <v>1899440</v>
      </c>
      <c r="AP1355" s="53">
        <f t="shared" si="256"/>
        <v>351440</v>
      </c>
      <c r="AQ1355" s="53">
        <f t="shared" si="256"/>
        <v>8431080</v>
      </c>
      <c r="AR1355" s="53">
        <f t="shared" si="256"/>
        <v>0</v>
      </c>
      <c r="AS1355" s="53">
        <f t="shared" si="256"/>
        <v>0</v>
      </c>
      <c r="AT1355" s="53">
        <f t="shared" si="256"/>
        <v>0</v>
      </c>
      <c r="AU1355" s="53">
        <f t="shared" si="256"/>
        <v>0</v>
      </c>
      <c r="AV1355" s="53">
        <f t="shared" si="256"/>
        <v>0</v>
      </c>
      <c r="AW1355" s="53">
        <f t="shared" si="256"/>
        <v>0</v>
      </c>
      <c r="AX1355" s="53">
        <f t="shared" si="257"/>
        <v>294400000</v>
      </c>
      <c r="AY1355" s="41" t="s">
        <v>557</v>
      </c>
    </row>
    <row r="1356" spans="1:51" x14ac:dyDescent="0.2">
      <c r="A1356" s="41" t="s">
        <v>111</v>
      </c>
      <c r="B1356" s="41">
        <v>2014</v>
      </c>
      <c r="C1356" s="41" t="s">
        <v>87</v>
      </c>
      <c r="D1356" s="41" t="s">
        <v>88</v>
      </c>
      <c r="E1356" s="41">
        <v>100</v>
      </c>
      <c r="F1356" s="41" t="s">
        <v>556</v>
      </c>
      <c r="G1356" s="53">
        <v>3023000</v>
      </c>
      <c r="H1356" s="46">
        <v>0.7533443599073768</v>
      </c>
      <c r="I1356" s="46">
        <v>0.13431690373800861</v>
      </c>
      <c r="J1356" s="47">
        <v>2.7274065497849818</v>
      </c>
      <c r="R1356" s="53">
        <v>90163</v>
      </c>
      <c r="S1356" s="53">
        <v>20693</v>
      </c>
      <c r="T1356" s="53">
        <v>211.41780000000003</v>
      </c>
      <c r="U1356" s="53">
        <v>4102.1211000000003</v>
      </c>
      <c r="AM1356" s="53">
        <v>15900000</v>
      </c>
      <c r="AO1356" s="53">
        <f t="shared" si="256"/>
        <v>2277360</v>
      </c>
      <c r="AP1356" s="53">
        <f t="shared" si="256"/>
        <v>406040.00000000006</v>
      </c>
      <c r="AQ1356" s="53">
        <f t="shared" si="256"/>
        <v>8244950</v>
      </c>
      <c r="AR1356" s="53">
        <f t="shared" si="256"/>
        <v>0</v>
      </c>
      <c r="AS1356" s="53">
        <f t="shared" si="256"/>
        <v>0</v>
      </c>
      <c r="AT1356" s="53">
        <f t="shared" si="256"/>
        <v>0</v>
      </c>
      <c r="AU1356" s="53">
        <f t="shared" si="256"/>
        <v>0</v>
      </c>
      <c r="AV1356" s="53">
        <f t="shared" si="256"/>
        <v>0</v>
      </c>
      <c r="AW1356" s="53">
        <f t="shared" si="256"/>
        <v>0</v>
      </c>
      <c r="AX1356" s="53">
        <f t="shared" si="257"/>
        <v>302300000</v>
      </c>
      <c r="AY1356" s="41" t="s">
        <v>557</v>
      </c>
    </row>
    <row r="1357" spans="1:51" x14ac:dyDescent="0.2">
      <c r="A1357" s="41" t="s">
        <v>111</v>
      </c>
      <c r="B1357" s="41">
        <v>2015</v>
      </c>
      <c r="C1357" s="41" t="s">
        <v>87</v>
      </c>
      <c r="D1357" s="41" t="s">
        <v>88</v>
      </c>
      <c r="E1357" s="41">
        <v>100</v>
      </c>
      <c r="F1357" s="41" t="s">
        <v>556</v>
      </c>
      <c r="G1357" s="53">
        <v>4104000</v>
      </c>
      <c r="H1357" s="46">
        <v>0.52</v>
      </c>
      <c r="I1357" s="41">
        <v>0.11</v>
      </c>
      <c r="J1357" s="58">
        <v>2.2000000000000002</v>
      </c>
      <c r="R1357" s="53">
        <v>74971</v>
      </c>
      <c r="S1357" s="53">
        <v>17306</v>
      </c>
      <c r="T1357" s="53">
        <v>211.16900000000001</v>
      </c>
      <c r="U1357" s="53">
        <v>3557.8089000000004</v>
      </c>
      <c r="AM1357" s="53">
        <v>17350000</v>
      </c>
      <c r="AO1357" s="53">
        <f t="shared" si="256"/>
        <v>2134080</v>
      </c>
      <c r="AP1357" s="53">
        <f t="shared" si="256"/>
        <v>451440</v>
      </c>
      <c r="AQ1357" s="53">
        <f t="shared" si="256"/>
        <v>9028800</v>
      </c>
      <c r="AR1357" s="53">
        <f t="shared" si="256"/>
        <v>0</v>
      </c>
      <c r="AS1357" s="53">
        <f t="shared" si="256"/>
        <v>0</v>
      </c>
      <c r="AT1357" s="53">
        <f t="shared" si="256"/>
        <v>0</v>
      </c>
      <c r="AU1357" s="53">
        <f t="shared" si="256"/>
        <v>0</v>
      </c>
      <c r="AV1357" s="53">
        <f t="shared" si="256"/>
        <v>0</v>
      </c>
      <c r="AW1357" s="53">
        <f t="shared" si="256"/>
        <v>0</v>
      </c>
      <c r="AX1357" s="53">
        <f t="shared" si="257"/>
        <v>410400000</v>
      </c>
      <c r="AY1357" s="41" t="s">
        <v>557</v>
      </c>
    </row>
    <row r="1358" spans="1:51" x14ac:dyDescent="0.2">
      <c r="A1358" s="41" t="s">
        <v>111</v>
      </c>
      <c r="B1358" s="41">
        <v>2016</v>
      </c>
      <c r="C1358" s="41" t="s">
        <v>87</v>
      </c>
      <c r="D1358" s="41" t="s">
        <v>88</v>
      </c>
      <c r="E1358" s="41">
        <v>100</v>
      </c>
      <c r="F1358" s="41" t="s">
        <v>556</v>
      </c>
      <c r="G1358" s="53">
        <v>3197000</v>
      </c>
      <c r="H1358" s="46">
        <v>0.52</v>
      </c>
      <c r="I1358" s="41">
        <v>0.21</v>
      </c>
      <c r="J1358" s="58">
        <v>2.5</v>
      </c>
      <c r="R1358" s="53">
        <v>59842</v>
      </c>
      <c r="S1358" s="53">
        <v>13624</v>
      </c>
      <c r="T1358" s="53">
        <v>358.20979999999997</v>
      </c>
      <c r="U1358" s="53">
        <v>3235.7062000000001</v>
      </c>
      <c r="AM1358" s="53">
        <v>12332000</v>
      </c>
      <c r="AO1358" s="53">
        <f t="shared" si="256"/>
        <v>1662440</v>
      </c>
      <c r="AP1358" s="53">
        <f t="shared" si="256"/>
        <v>671370</v>
      </c>
      <c r="AQ1358" s="53">
        <f t="shared" si="256"/>
        <v>7992500</v>
      </c>
      <c r="AR1358" s="53">
        <f t="shared" si="256"/>
        <v>0</v>
      </c>
      <c r="AS1358" s="53">
        <f t="shared" si="256"/>
        <v>0</v>
      </c>
      <c r="AT1358" s="53">
        <f t="shared" si="256"/>
        <v>0</v>
      </c>
      <c r="AU1358" s="53">
        <f t="shared" si="256"/>
        <v>0</v>
      </c>
      <c r="AV1358" s="53">
        <f t="shared" si="256"/>
        <v>0</v>
      </c>
      <c r="AW1358" s="53">
        <f t="shared" si="256"/>
        <v>0</v>
      </c>
      <c r="AX1358" s="53">
        <f t="shared" si="257"/>
        <v>319700000</v>
      </c>
      <c r="AY1358" s="41" t="s">
        <v>557</v>
      </c>
    </row>
    <row r="1359" spans="1:51" x14ac:dyDescent="0.2">
      <c r="A1359" s="41" t="s">
        <v>111</v>
      </c>
      <c r="B1359" s="60" t="s">
        <v>559</v>
      </c>
      <c r="C1359" s="60" t="s">
        <v>87</v>
      </c>
      <c r="D1359" s="60" t="s">
        <v>88</v>
      </c>
      <c r="E1359" s="78">
        <f>AX1359/G1359</f>
        <v>99.947094405546096</v>
      </c>
      <c r="F1359" s="60" t="s">
        <v>556</v>
      </c>
      <c r="G1359" s="79">
        <f>SUM(G1334:G1358)</f>
        <v>20023933.781199999</v>
      </c>
      <c r="H1359" s="80">
        <f>AO1359/$G1359</f>
        <v>0.65974438485225095</v>
      </c>
      <c r="I1359" s="80">
        <f>AP1359/$G1359</f>
        <v>0.12881681702439141</v>
      </c>
      <c r="J1359" s="78">
        <f>AQ1359/$G1359</f>
        <v>2.439579067419015</v>
      </c>
      <c r="R1359" s="79">
        <f>SUM(R1334:R1358)</f>
        <v>481702.36953999999</v>
      </c>
      <c r="S1359" s="79">
        <f>SUM(S1334:S1358)</f>
        <v>114976.193033</v>
      </c>
      <c r="T1359" s="79">
        <f>SUM(T1334:T1358)</f>
        <v>1348.7525070006852</v>
      </c>
      <c r="U1359" s="79">
        <f>SUM(U1334:U1358)</f>
        <v>22983.192450000002</v>
      </c>
      <c r="AM1359" s="79">
        <f>SUM(AM1334:AM1358)</f>
        <v>111678162</v>
      </c>
      <c r="AO1359" s="79">
        <f>SUM(AO1334:AO1358)</f>
        <v>13210677.8748</v>
      </c>
      <c r="AP1359" s="79">
        <f t="shared" ref="AP1359:AX1359" si="258">SUM(AP1334:AP1358)</f>
        <v>2579419.4140013703</v>
      </c>
      <c r="AQ1359" s="79">
        <f t="shared" si="258"/>
        <v>48849969.700000003</v>
      </c>
      <c r="AR1359" s="79">
        <f t="shared" si="258"/>
        <v>0</v>
      </c>
      <c r="AS1359" s="79">
        <f t="shared" si="258"/>
        <v>0</v>
      </c>
      <c r="AT1359" s="79">
        <f t="shared" si="258"/>
        <v>0</v>
      </c>
      <c r="AU1359" s="79">
        <f t="shared" si="258"/>
        <v>0</v>
      </c>
      <c r="AV1359" s="79">
        <f t="shared" si="258"/>
        <v>0</v>
      </c>
      <c r="AW1359" s="79">
        <f t="shared" si="258"/>
        <v>0</v>
      </c>
      <c r="AX1359" s="79">
        <f t="shared" si="258"/>
        <v>2001334000</v>
      </c>
      <c r="AY1359" s="41" t="s">
        <v>557</v>
      </c>
    </row>
    <row r="1360" spans="1:51" x14ac:dyDescent="0.2">
      <c r="A1360" s="41" t="s">
        <v>111</v>
      </c>
      <c r="B1360" s="43" t="s">
        <v>560</v>
      </c>
      <c r="G1360" s="53">
        <f>STDEV(G1334:G1358)</f>
        <v>1254380.2595325068</v>
      </c>
      <c r="H1360" s="46">
        <f>STDEV(H1334:H1358)</f>
        <v>4.4331357073703765</v>
      </c>
      <c r="I1360" s="46">
        <f>STDEV(I1334:I1358)</f>
        <v>4.6376937456678174E-2</v>
      </c>
      <c r="J1360" s="47">
        <f>STDEV(J1334:J1358)</f>
        <v>0.45633994068193046</v>
      </c>
      <c r="R1360" s="53">
        <f>STDEV(R1334:R1358)</f>
        <v>28488.165830754355</v>
      </c>
      <c r="S1360" s="53">
        <f>STDEV(S1334:S1358)</f>
        <v>6637.6574069770659</v>
      </c>
      <c r="T1360" s="53">
        <f>STDEV(T1334:T1358)</f>
        <v>115.68865803228378</v>
      </c>
      <c r="U1360" s="53">
        <f>STDEV(U1334:U1358)</f>
        <v>1626.6308041405159</v>
      </c>
      <c r="AM1360" s="53">
        <f>STDEV(AM1334:AM1358)</f>
        <v>7995770.5595480148</v>
      </c>
      <c r="AO1360" s="53"/>
      <c r="AP1360" s="53"/>
      <c r="AQ1360" s="53"/>
      <c r="AR1360" s="53"/>
      <c r="AS1360" s="53"/>
      <c r="AT1360" s="53"/>
      <c r="AU1360" s="53"/>
      <c r="AV1360" s="53"/>
      <c r="AW1360" s="53"/>
      <c r="AX1360" s="53"/>
      <c r="AY1360" s="41" t="s">
        <v>557</v>
      </c>
    </row>
    <row r="1361" spans="1:51" x14ac:dyDescent="0.2">
      <c r="A1361" s="41" t="s">
        <v>111</v>
      </c>
      <c r="B1361" s="81" t="s">
        <v>249</v>
      </c>
      <c r="G1361" s="41">
        <f>COUNT(G1334:G1358)</f>
        <v>25</v>
      </c>
      <c r="H1361" s="41">
        <f>COUNT(H1334:H1358)</f>
        <v>25</v>
      </c>
      <c r="I1361" s="41">
        <f>COUNT(I1334:I1358)</f>
        <v>11</v>
      </c>
      <c r="J1361" s="41">
        <f>COUNT(J1334:J1358)</f>
        <v>11</v>
      </c>
      <c r="R1361" s="41">
        <f>COUNT(R1334:R1358)</f>
        <v>11</v>
      </c>
      <c r="S1361" s="41">
        <f>COUNT(S1334:S1358)</f>
        <v>25</v>
      </c>
      <c r="T1361" s="41">
        <f>COUNT(T1334:T1358)</f>
        <v>11</v>
      </c>
      <c r="U1361" s="41">
        <f>COUNT(U1334:U1358)</f>
        <v>11</v>
      </c>
      <c r="AM1361" s="41">
        <f>COUNT(AM1334:AM1358)</f>
        <v>11</v>
      </c>
      <c r="AO1361" s="53"/>
      <c r="AP1361" s="53"/>
      <c r="AQ1361" s="53"/>
      <c r="AR1361" s="53"/>
      <c r="AS1361" s="53"/>
      <c r="AT1361" s="53"/>
      <c r="AU1361" s="53"/>
      <c r="AV1361" s="53"/>
      <c r="AW1361" s="53"/>
      <c r="AX1361" s="53"/>
      <c r="AY1361" s="41" t="s">
        <v>557</v>
      </c>
    </row>
    <row r="1362" spans="1:51" x14ac:dyDescent="0.2">
      <c r="A1362" s="82"/>
      <c r="B1362" s="82"/>
      <c r="C1362" s="82"/>
      <c r="D1362" s="82"/>
      <c r="E1362" s="82"/>
      <c r="F1362" s="82"/>
      <c r="G1362" s="82"/>
      <c r="H1362" s="82"/>
      <c r="I1362" s="82"/>
      <c r="J1362" s="82"/>
      <c r="K1362" s="82"/>
      <c r="L1362" s="82"/>
      <c r="M1362" s="82"/>
      <c r="N1362" s="82"/>
      <c r="O1362" s="82"/>
      <c r="P1362" s="82"/>
      <c r="Q1362" s="82"/>
      <c r="R1362" s="82"/>
      <c r="S1362" s="82"/>
      <c r="T1362" s="82"/>
      <c r="U1362" s="82"/>
      <c r="V1362" s="82"/>
      <c r="W1362" s="82"/>
      <c r="X1362" s="82"/>
      <c r="Y1362" s="82"/>
      <c r="Z1362" s="82"/>
      <c r="AA1362" s="82"/>
      <c r="AB1362" s="82"/>
      <c r="AC1362" s="82"/>
      <c r="AD1362" s="82"/>
      <c r="AE1362" s="82"/>
      <c r="AF1362" s="82"/>
      <c r="AG1362" s="82"/>
      <c r="AH1362" s="82"/>
      <c r="AI1362" s="82"/>
      <c r="AJ1362" s="82"/>
      <c r="AK1362" s="82"/>
      <c r="AL1362" s="82"/>
      <c r="AM1362" s="82"/>
      <c r="AN1362" s="82"/>
      <c r="AO1362" s="82"/>
      <c r="AP1362" s="82"/>
      <c r="AQ1362" s="82"/>
      <c r="AR1362" s="82"/>
      <c r="AS1362" s="82"/>
      <c r="AT1362" s="82"/>
      <c r="AU1362" s="82"/>
      <c r="AV1362" s="82"/>
      <c r="AW1362" s="82"/>
      <c r="AX1362" s="82"/>
      <c r="AY1362" s="41" t="s">
        <v>557</v>
      </c>
    </row>
    <row r="1363" spans="1:51" x14ac:dyDescent="0.2">
      <c r="A1363" s="41" t="s">
        <v>239</v>
      </c>
      <c r="B1363" s="41">
        <v>2005</v>
      </c>
      <c r="C1363" s="41" t="s">
        <v>87</v>
      </c>
      <c r="D1363" s="41" t="s">
        <v>241</v>
      </c>
      <c r="E1363" s="41">
        <v>100</v>
      </c>
      <c r="F1363" s="41" t="s">
        <v>570</v>
      </c>
      <c r="G1363" s="53">
        <v>7288000</v>
      </c>
      <c r="H1363" s="41">
        <v>2.1</v>
      </c>
      <c r="I1363" s="119">
        <v>0.3</v>
      </c>
      <c r="R1363" s="91">
        <f t="shared" ref="R1363:R1375" si="259">S1363*4</f>
        <v>278316</v>
      </c>
      <c r="S1363" s="53">
        <v>69579</v>
      </c>
      <c r="T1363" s="53">
        <v>1639.8</v>
      </c>
      <c r="AM1363" s="53">
        <v>16141000</v>
      </c>
      <c r="AO1363" s="53">
        <f t="shared" ref="AO1363:AW1375" si="260">$G1363*H1363</f>
        <v>15304800</v>
      </c>
      <c r="AP1363" s="53">
        <f t="shared" si="260"/>
        <v>2186400</v>
      </c>
      <c r="AQ1363" s="53">
        <f t="shared" si="260"/>
        <v>0</v>
      </c>
      <c r="AR1363" s="53">
        <f t="shared" si="260"/>
        <v>0</v>
      </c>
      <c r="AS1363" s="53">
        <f t="shared" si="260"/>
        <v>0</v>
      </c>
      <c r="AT1363" s="53">
        <f t="shared" si="260"/>
        <v>0</v>
      </c>
      <c r="AU1363" s="53">
        <f t="shared" si="260"/>
        <v>0</v>
      </c>
      <c r="AV1363" s="53">
        <f t="shared" si="260"/>
        <v>0</v>
      </c>
      <c r="AW1363" s="53">
        <f t="shared" si="260"/>
        <v>0</v>
      </c>
      <c r="AX1363" s="53">
        <f t="shared" ref="AX1363:AX1375" si="261">$G1363*E1363</f>
        <v>728800000</v>
      </c>
      <c r="AY1363" s="41" t="s">
        <v>557</v>
      </c>
    </row>
    <row r="1364" spans="1:51" x14ac:dyDescent="0.2">
      <c r="A1364" s="41" t="s">
        <v>239</v>
      </c>
      <c r="B1364" s="41">
        <v>2006</v>
      </c>
      <c r="C1364" s="41" t="s">
        <v>87</v>
      </c>
      <c r="D1364" s="41" t="s">
        <v>241</v>
      </c>
      <c r="E1364" s="41">
        <v>100</v>
      </c>
      <c r="F1364" s="41" t="s">
        <v>570</v>
      </c>
      <c r="G1364" s="53">
        <v>9182000</v>
      </c>
      <c r="H1364" s="46">
        <v>1.4142888259638422</v>
      </c>
      <c r="I1364" s="119">
        <v>0.2</v>
      </c>
      <c r="R1364" s="91">
        <f t="shared" si="259"/>
        <v>508716</v>
      </c>
      <c r="S1364" s="53">
        <v>127179</v>
      </c>
      <c r="T1364" s="53">
        <v>1377.3</v>
      </c>
      <c r="AM1364" s="53">
        <v>21910000</v>
      </c>
      <c r="AO1364" s="53">
        <f t="shared" si="260"/>
        <v>12986000</v>
      </c>
      <c r="AP1364" s="53">
        <f t="shared" si="260"/>
        <v>1836400</v>
      </c>
      <c r="AQ1364" s="53">
        <f t="shared" si="260"/>
        <v>0</v>
      </c>
      <c r="AR1364" s="53">
        <f t="shared" si="260"/>
        <v>0</v>
      </c>
      <c r="AS1364" s="53">
        <f t="shared" si="260"/>
        <v>0</v>
      </c>
      <c r="AT1364" s="53">
        <f t="shared" si="260"/>
        <v>0</v>
      </c>
      <c r="AU1364" s="53">
        <f t="shared" si="260"/>
        <v>0</v>
      </c>
      <c r="AV1364" s="53">
        <f t="shared" si="260"/>
        <v>0</v>
      </c>
      <c r="AW1364" s="53">
        <f t="shared" si="260"/>
        <v>0</v>
      </c>
      <c r="AX1364" s="53">
        <f t="shared" si="261"/>
        <v>918200000</v>
      </c>
      <c r="AY1364" s="41" t="s">
        <v>557</v>
      </c>
    </row>
    <row r="1365" spans="1:51" x14ac:dyDescent="0.2">
      <c r="A1365" s="41" t="s">
        <v>239</v>
      </c>
      <c r="B1365" s="41">
        <v>2007</v>
      </c>
      <c r="C1365" s="41" t="s">
        <v>87</v>
      </c>
      <c r="D1365" s="41" t="s">
        <v>241</v>
      </c>
      <c r="E1365" s="41">
        <v>100</v>
      </c>
      <c r="F1365" s="41" t="s">
        <v>570</v>
      </c>
      <c r="G1365" s="53">
        <v>11897000</v>
      </c>
      <c r="H1365" s="46">
        <v>1.390745566109103</v>
      </c>
      <c r="I1365" s="119">
        <v>0.2</v>
      </c>
      <c r="R1365" s="91">
        <f t="shared" si="259"/>
        <v>655296</v>
      </c>
      <c r="S1365" s="53">
        <v>163824</v>
      </c>
      <c r="T1365" s="53">
        <v>1784.55</v>
      </c>
      <c r="AM1365" s="53">
        <v>24961000</v>
      </c>
      <c r="AO1365" s="53">
        <f t="shared" si="260"/>
        <v>16545699.999999998</v>
      </c>
      <c r="AP1365" s="53">
        <f t="shared" si="260"/>
        <v>2379400</v>
      </c>
      <c r="AQ1365" s="53">
        <f t="shared" si="260"/>
        <v>0</v>
      </c>
      <c r="AR1365" s="53">
        <f t="shared" si="260"/>
        <v>0</v>
      </c>
      <c r="AS1365" s="53">
        <f t="shared" si="260"/>
        <v>0</v>
      </c>
      <c r="AT1365" s="53">
        <f t="shared" si="260"/>
        <v>0</v>
      </c>
      <c r="AU1365" s="53">
        <f t="shared" si="260"/>
        <v>0</v>
      </c>
      <c r="AV1365" s="53">
        <f t="shared" si="260"/>
        <v>0</v>
      </c>
      <c r="AW1365" s="53">
        <f t="shared" si="260"/>
        <v>0</v>
      </c>
      <c r="AX1365" s="53">
        <f t="shared" si="261"/>
        <v>1189700000</v>
      </c>
      <c r="AY1365" s="41" t="s">
        <v>557</v>
      </c>
    </row>
    <row r="1366" spans="1:51" x14ac:dyDescent="0.2">
      <c r="A1366" s="41" t="s">
        <v>239</v>
      </c>
      <c r="B1366" s="41">
        <v>2008</v>
      </c>
      <c r="C1366" s="41" t="s">
        <v>87</v>
      </c>
      <c r="D1366" s="41" t="s">
        <v>241</v>
      </c>
      <c r="E1366" s="41">
        <v>100</v>
      </c>
      <c r="F1366" s="41" t="s">
        <v>570</v>
      </c>
      <c r="G1366" s="53">
        <v>15191000</v>
      </c>
      <c r="H1366" s="46">
        <v>1.3965637548548482</v>
      </c>
      <c r="I1366" s="120">
        <f>1000*T1366/G1366/0.75</f>
        <v>0.14809094858797975</v>
      </c>
      <c r="R1366" s="91">
        <f t="shared" si="259"/>
        <v>680532</v>
      </c>
      <c r="S1366" s="53">
        <v>170133</v>
      </c>
      <c r="T1366" s="53">
        <v>1687.2372000000003</v>
      </c>
      <c r="AM1366" s="53">
        <v>28675000</v>
      </c>
      <c r="AO1366" s="53">
        <f t="shared" si="260"/>
        <v>21215200</v>
      </c>
      <c r="AP1366" s="53">
        <f t="shared" si="260"/>
        <v>2249649.6000000006</v>
      </c>
      <c r="AQ1366" s="53">
        <f t="shared" si="260"/>
        <v>0</v>
      </c>
      <c r="AR1366" s="53">
        <f t="shared" si="260"/>
        <v>0</v>
      </c>
      <c r="AS1366" s="53">
        <f t="shared" si="260"/>
        <v>0</v>
      </c>
      <c r="AT1366" s="53">
        <f t="shared" si="260"/>
        <v>0</v>
      </c>
      <c r="AU1366" s="53">
        <f t="shared" si="260"/>
        <v>0</v>
      </c>
      <c r="AV1366" s="53">
        <f t="shared" si="260"/>
        <v>0</v>
      </c>
      <c r="AW1366" s="53">
        <f t="shared" si="260"/>
        <v>0</v>
      </c>
      <c r="AX1366" s="53">
        <f t="shared" si="261"/>
        <v>1519100000</v>
      </c>
      <c r="AY1366" s="41" t="s">
        <v>557</v>
      </c>
    </row>
    <row r="1367" spans="1:51" x14ac:dyDescent="0.2">
      <c r="A1367" s="41" t="s">
        <v>239</v>
      </c>
      <c r="B1367" s="41">
        <v>2009</v>
      </c>
      <c r="C1367" s="41" t="s">
        <v>87</v>
      </c>
      <c r="D1367" s="41" t="s">
        <v>241</v>
      </c>
      <c r="E1367" s="41">
        <v>100</v>
      </c>
      <c r="F1367" s="41" t="s">
        <v>570</v>
      </c>
      <c r="G1367" s="53">
        <v>21243000</v>
      </c>
      <c r="H1367" s="46">
        <v>1.3873464199971755</v>
      </c>
      <c r="I1367" s="120">
        <f t="shared" ref="I1367:I1375" si="262">1000*T1367/G1367/0.75</f>
        <v>0.19507662759497246</v>
      </c>
      <c r="R1367" s="91">
        <f t="shared" si="259"/>
        <v>979916</v>
      </c>
      <c r="S1367" s="53">
        <v>244979</v>
      </c>
      <c r="T1367" s="53">
        <v>3108.0096000000003</v>
      </c>
      <c r="AM1367" s="53">
        <v>20802000</v>
      </c>
      <c r="AO1367" s="53">
        <f t="shared" si="260"/>
        <v>29471399.999999996</v>
      </c>
      <c r="AP1367" s="53">
        <f t="shared" si="260"/>
        <v>4144012.8</v>
      </c>
      <c r="AQ1367" s="53">
        <f t="shared" si="260"/>
        <v>0</v>
      </c>
      <c r="AR1367" s="53">
        <f t="shared" si="260"/>
        <v>0</v>
      </c>
      <c r="AS1367" s="53">
        <f t="shared" si="260"/>
        <v>0</v>
      </c>
      <c r="AT1367" s="53">
        <f t="shared" si="260"/>
        <v>0</v>
      </c>
      <c r="AU1367" s="53">
        <f t="shared" si="260"/>
        <v>0</v>
      </c>
      <c r="AV1367" s="53">
        <f t="shared" si="260"/>
        <v>0</v>
      </c>
      <c r="AW1367" s="53">
        <f t="shared" si="260"/>
        <v>0</v>
      </c>
      <c r="AX1367" s="53">
        <f t="shared" si="261"/>
        <v>2124300000</v>
      </c>
      <c r="AY1367" s="41" t="s">
        <v>557</v>
      </c>
    </row>
    <row r="1368" spans="1:51" x14ac:dyDescent="0.2">
      <c r="A1368" s="41" t="s">
        <v>239</v>
      </c>
      <c r="B1368" s="41">
        <v>2010</v>
      </c>
      <c r="C1368" s="41" t="s">
        <v>87</v>
      </c>
      <c r="D1368" s="41" t="s">
        <v>241</v>
      </c>
      <c r="E1368" s="41">
        <v>100</v>
      </c>
      <c r="F1368" s="41" t="s">
        <v>570</v>
      </c>
      <c r="G1368" s="53">
        <v>21518000</v>
      </c>
      <c r="H1368" s="46">
        <v>1.2960777023886978</v>
      </c>
      <c r="I1368" s="120">
        <f t="shared" si="262"/>
        <v>0.21126262663816342</v>
      </c>
      <c r="R1368" s="91">
        <f t="shared" si="259"/>
        <v>924496</v>
      </c>
      <c r="S1368" s="53">
        <v>231124</v>
      </c>
      <c r="T1368" s="53">
        <v>3409.4619000000002</v>
      </c>
      <c r="AM1368" s="53">
        <v>23847000</v>
      </c>
      <c r="AO1368" s="53">
        <f t="shared" si="260"/>
        <v>27889000</v>
      </c>
      <c r="AP1368" s="53">
        <f t="shared" si="260"/>
        <v>4545949.2</v>
      </c>
      <c r="AQ1368" s="53">
        <f t="shared" si="260"/>
        <v>0</v>
      </c>
      <c r="AR1368" s="53">
        <f t="shared" si="260"/>
        <v>0</v>
      </c>
      <c r="AS1368" s="53">
        <f t="shared" si="260"/>
        <v>0</v>
      </c>
      <c r="AT1368" s="53">
        <f t="shared" si="260"/>
        <v>0</v>
      </c>
      <c r="AU1368" s="53">
        <f t="shared" si="260"/>
        <v>0</v>
      </c>
      <c r="AV1368" s="53">
        <f t="shared" si="260"/>
        <v>0</v>
      </c>
      <c r="AW1368" s="53">
        <f t="shared" si="260"/>
        <v>0</v>
      </c>
      <c r="AX1368" s="53">
        <f t="shared" si="261"/>
        <v>2151800000</v>
      </c>
      <c r="AY1368" s="41" t="s">
        <v>557</v>
      </c>
    </row>
    <row r="1369" spans="1:51" x14ac:dyDescent="0.2">
      <c r="A1369" s="41" t="s">
        <v>239</v>
      </c>
      <c r="B1369" s="41">
        <v>2011</v>
      </c>
      <c r="C1369" s="41" t="s">
        <v>87</v>
      </c>
      <c r="D1369" s="41" t="s">
        <v>241</v>
      </c>
      <c r="E1369" s="41">
        <v>100</v>
      </c>
      <c r="F1369" s="41" t="s">
        <v>570</v>
      </c>
      <c r="G1369" s="53">
        <v>23304000</v>
      </c>
      <c r="H1369" s="46">
        <v>1.2247296601441813</v>
      </c>
      <c r="I1369" s="120">
        <f t="shared" si="262"/>
        <v>0.19979943929511387</v>
      </c>
      <c r="R1369" s="91">
        <f t="shared" si="259"/>
        <v>921180</v>
      </c>
      <c r="S1369" s="53">
        <v>230295</v>
      </c>
      <c r="T1369" s="53">
        <v>3492.0945999999999</v>
      </c>
      <c r="AM1369" s="53">
        <v>51768000</v>
      </c>
      <c r="AO1369" s="53">
        <f t="shared" si="260"/>
        <v>28541100</v>
      </c>
      <c r="AP1369" s="53">
        <f t="shared" si="260"/>
        <v>4656126.1333333338</v>
      </c>
      <c r="AQ1369" s="53">
        <f t="shared" si="260"/>
        <v>0</v>
      </c>
      <c r="AR1369" s="53">
        <f t="shared" si="260"/>
        <v>0</v>
      </c>
      <c r="AS1369" s="53">
        <f t="shared" si="260"/>
        <v>0</v>
      </c>
      <c r="AT1369" s="53">
        <f t="shared" si="260"/>
        <v>0</v>
      </c>
      <c r="AU1369" s="53">
        <f t="shared" si="260"/>
        <v>0</v>
      </c>
      <c r="AV1369" s="53">
        <f t="shared" si="260"/>
        <v>0</v>
      </c>
      <c r="AW1369" s="53">
        <f t="shared" si="260"/>
        <v>0</v>
      </c>
      <c r="AX1369" s="53">
        <f t="shared" si="261"/>
        <v>2330400000</v>
      </c>
      <c r="AY1369" s="41" t="s">
        <v>557</v>
      </c>
    </row>
    <row r="1370" spans="1:51" x14ac:dyDescent="0.2">
      <c r="A1370" s="41" t="s">
        <v>239</v>
      </c>
      <c r="B1370" s="41">
        <v>2012</v>
      </c>
      <c r="C1370" s="41" t="s">
        <v>87</v>
      </c>
      <c r="D1370" s="41" t="s">
        <v>241</v>
      </c>
      <c r="E1370" s="41">
        <v>100</v>
      </c>
      <c r="F1370" s="41" t="s">
        <v>570</v>
      </c>
      <c r="G1370" s="53">
        <v>24025000</v>
      </c>
      <c r="H1370" s="47">
        <v>1.3458106139438086</v>
      </c>
      <c r="I1370" s="120">
        <f t="shared" si="262"/>
        <v>0.23482991883454737</v>
      </c>
      <c r="R1370" s="91">
        <f t="shared" si="259"/>
        <v>1045404</v>
      </c>
      <c r="S1370" s="53">
        <v>261351</v>
      </c>
      <c r="T1370" s="53">
        <v>4231.3416000000007</v>
      </c>
      <c r="AM1370" s="53">
        <v>81138000</v>
      </c>
      <c r="AO1370" s="53">
        <f t="shared" si="260"/>
        <v>32333100.000000004</v>
      </c>
      <c r="AP1370" s="53">
        <f t="shared" si="260"/>
        <v>5641788.8000000007</v>
      </c>
      <c r="AQ1370" s="53">
        <f t="shared" si="260"/>
        <v>0</v>
      </c>
      <c r="AR1370" s="53">
        <f t="shared" si="260"/>
        <v>0</v>
      </c>
      <c r="AS1370" s="53">
        <f t="shared" si="260"/>
        <v>0</v>
      </c>
      <c r="AT1370" s="53">
        <f t="shared" si="260"/>
        <v>0</v>
      </c>
      <c r="AU1370" s="53">
        <f t="shared" si="260"/>
        <v>0</v>
      </c>
      <c r="AV1370" s="53">
        <f t="shared" si="260"/>
        <v>0</v>
      </c>
      <c r="AW1370" s="53">
        <f t="shared" si="260"/>
        <v>0</v>
      </c>
      <c r="AX1370" s="53">
        <f t="shared" si="261"/>
        <v>2402500000</v>
      </c>
      <c r="AY1370" s="41" t="s">
        <v>557</v>
      </c>
    </row>
    <row r="1371" spans="1:51" x14ac:dyDescent="0.2">
      <c r="A1371" s="41" t="s">
        <v>239</v>
      </c>
      <c r="B1371" s="41">
        <v>2013</v>
      </c>
      <c r="C1371" s="41" t="s">
        <v>87</v>
      </c>
      <c r="D1371" s="41" t="s">
        <v>241</v>
      </c>
      <c r="E1371" s="41">
        <v>100</v>
      </c>
      <c r="F1371" s="41" t="s">
        <v>570</v>
      </c>
      <c r="G1371" s="53">
        <v>25428000</v>
      </c>
      <c r="H1371" s="47">
        <v>1.2875570237533427</v>
      </c>
      <c r="I1371" s="120">
        <f t="shared" si="262"/>
        <v>0.2729791043993498</v>
      </c>
      <c r="R1371" s="91">
        <f t="shared" si="259"/>
        <v>824192</v>
      </c>
      <c r="S1371" s="53">
        <v>206048</v>
      </c>
      <c r="T1371" s="53">
        <v>5205.9844999999996</v>
      </c>
      <c r="AM1371" s="53">
        <v>84199000</v>
      </c>
      <c r="AO1371" s="53">
        <f t="shared" si="260"/>
        <v>32739999.999999996</v>
      </c>
      <c r="AP1371" s="53">
        <f t="shared" si="260"/>
        <v>6941312.666666667</v>
      </c>
      <c r="AQ1371" s="53">
        <f t="shared" si="260"/>
        <v>0</v>
      </c>
      <c r="AR1371" s="53">
        <f t="shared" si="260"/>
        <v>0</v>
      </c>
      <c r="AS1371" s="53">
        <f t="shared" si="260"/>
        <v>0</v>
      </c>
      <c r="AT1371" s="53">
        <f t="shared" si="260"/>
        <v>0</v>
      </c>
      <c r="AU1371" s="53">
        <f t="shared" si="260"/>
        <v>0</v>
      </c>
      <c r="AV1371" s="53">
        <f t="shared" si="260"/>
        <v>0</v>
      </c>
      <c r="AW1371" s="53">
        <f t="shared" si="260"/>
        <v>0</v>
      </c>
      <c r="AX1371" s="53">
        <f t="shared" si="261"/>
        <v>2542800000</v>
      </c>
      <c r="AY1371" s="41" t="s">
        <v>557</v>
      </c>
    </row>
    <row r="1372" spans="1:51" x14ac:dyDescent="0.2">
      <c r="A1372" s="41" t="s">
        <v>239</v>
      </c>
      <c r="B1372" s="41">
        <v>2014</v>
      </c>
      <c r="C1372" s="41" t="s">
        <v>87</v>
      </c>
      <c r="D1372" s="41" t="s">
        <v>241</v>
      </c>
      <c r="E1372" s="41">
        <v>100</v>
      </c>
      <c r="F1372" s="41" t="s">
        <v>570</v>
      </c>
      <c r="G1372" s="53">
        <v>25334000</v>
      </c>
      <c r="H1372" s="47">
        <v>1.2576971658640561</v>
      </c>
      <c r="I1372" s="120">
        <f t="shared" si="262"/>
        <v>0.25277251124970396</v>
      </c>
      <c r="R1372" s="91">
        <f t="shared" si="259"/>
        <v>1038908</v>
      </c>
      <c r="S1372" s="53">
        <v>259727</v>
      </c>
      <c r="T1372" s="53">
        <v>4802.8041000000003</v>
      </c>
      <c r="AM1372" s="53">
        <v>54965000</v>
      </c>
      <c r="AO1372" s="53">
        <f t="shared" si="260"/>
        <v>31862499.999999996</v>
      </c>
      <c r="AP1372" s="53">
        <f t="shared" si="260"/>
        <v>6403738.7999999998</v>
      </c>
      <c r="AQ1372" s="53">
        <f t="shared" si="260"/>
        <v>0</v>
      </c>
      <c r="AR1372" s="53">
        <f t="shared" si="260"/>
        <v>0</v>
      </c>
      <c r="AS1372" s="53">
        <f t="shared" si="260"/>
        <v>0</v>
      </c>
      <c r="AT1372" s="53">
        <f t="shared" si="260"/>
        <v>0</v>
      </c>
      <c r="AU1372" s="53">
        <f t="shared" si="260"/>
        <v>0</v>
      </c>
      <c r="AV1372" s="53">
        <f t="shared" si="260"/>
        <v>0</v>
      </c>
      <c r="AW1372" s="53">
        <f t="shared" si="260"/>
        <v>0</v>
      </c>
      <c r="AX1372" s="53">
        <f t="shared" si="261"/>
        <v>2533400000</v>
      </c>
      <c r="AY1372" s="41" t="s">
        <v>557</v>
      </c>
    </row>
    <row r="1373" spans="1:51" x14ac:dyDescent="0.2">
      <c r="A1373" s="41" t="s">
        <v>239</v>
      </c>
      <c r="B1373" s="41">
        <v>2015</v>
      </c>
      <c r="C1373" s="41" t="s">
        <v>87</v>
      </c>
      <c r="D1373" s="41" t="s">
        <v>241</v>
      </c>
      <c r="E1373" s="41">
        <v>100</v>
      </c>
      <c r="F1373" s="41" t="s">
        <v>570</v>
      </c>
      <c r="G1373" s="53">
        <v>26040000</v>
      </c>
      <c r="H1373" s="47">
        <v>1.1088018433179723</v>
      </c>
      <c r="I1373" s="120">
        <f t="shared" si="262"/>
        <v>0.21697863287250385</v>
      </c>
      <c r="R1373" s="91">
        <f t="shared" si="259"/>
        <v>906696</v>
      </c>
      <c r="S1373" s="53">
        <v>226674</v>
      </c>
      <c r="T1373" s="53">
        <v>4237.5927000000001</v>
      </c>
      <c r="AM1373" s="53">
        <v>70729000</v>
      </c>
      <c r="AO1373" s="53">
        <f t="shared" si="260"/>
        <v>28873199.999999996</v>
      </c>
      <c r="AP1373" s="53">
        <f t="shared" si="260"/>
        <v>5650123.6000000006</v>
      </c>
      <c r="AQ1373" s="53">
        <f t="shared" si="260"/>
        <v>0</v>
      </c>
      <c r="AR1373" s="53">
        <f t="shared" si="260"/>
        <v>0</v>
      </c>
      <c r="AS1373" s="53">
        <f t="shared" si="260"/>
        <v>0</v>
      </c>
      <c r="AT1373" s="53">
        <f t="shared" si="260"/>
        <v>0</v>
      </c>
      <c r="AU1373" s="53">
        <f t="shared" si="260"/>
        <v>0</v>
      </c>
      <c r="AV1373" s="53">
        <f t="shared" si="260"/>
        <v>0</v>
      </c>
      <c r="AW1373" s="53">
        <f t="shared" si="260"/>
        <v>0</v>
      </c>
      <c r="AX1373" s="53">
        <f t="shared" si="261"/>
        <v>2604000000</v>
      </c>
      <c r="AY1373" s="41" t="s">
        <v>557</v>
      </c>
    </row>
    <row r="1374" spans="1:51" x14ac:dyDescent="0.2">
      <c r="A1374" s="41" t="s">
        <v>239</v>
      </c>
      <c r="B1374" s="41">
        <v>2016</v>
      </c>
      <c r="C1374" s="41" t="s">
        <v>87</v>
      </c>
      <c r="D1374" s="41" t="s">
        <v>241</v>
      </c>
      <c r="E1374" s="41">
        <v>100</v>
      </c>
      <c r="F1374" s="41" t="s">
        <v>570</v>
      </c>
      <c r="G1374" s="53">
        <v>27017000</v>
      </c>
      <c r="H1374" s="47">
        <v>1.0422104600806898</v>
      </c>
      <c r="I1374" s="120">
        <f t="shared" si="262"/>
        <v>0.2274934053867318</v>
      </c>
      <c r="R1374" s="91">
        <f t="shared" si="259"/>
        <v>1013088</v>
      </c>
      <c r="S1374" s="53">
        <v>253272</v>
      </c>
      <c r="T1374" s="53">
        <v>4609.6419999999998</v>
      </c>
      <c r="AM1374" s="53">
        <v>74395000</v>
      </c>
      <c r="AO1374" s="53">
        <f t="shared" si="260"/>
        <v>28157399.999999996</v>
      </c>
      <c r="AP1374" s="53">
        <f t="shared" si="260"/>
        <v>6146189.333333333</v>
      </c>
      <c r="AQ1374" s="53">
        <f t="shared" si="260"/>
        <v>0</v>
      </c>
      <c r="AR1374" s="53">
        <f t="shared" si="260"/>
        <v>0</v>
      </c>
      <c r="AS1374" s="53">
        <f t="shared" si="260"/>
        <v>0</v>
      </c>
      <c r="AT1374" s="53">
        <f t="shared" si="260"/>
        <v>0</v>
      </c>
      <c r="AU1374" s="53">
        <f t="shared" si="260"/>
        <v>0</v>
      </c>
      <c r="AV1374" s="53">
        <f t="shared" si="260"/>
        <v>0</v>
      </c>
      <c r="AW1374" s="53">
        <f t="shared" si="260"/>
        <v>0</v>
      </c>
      <c r="AX1374" s="53">
        <f t="shared" si="261"/>
        <v>2701700000</v>
      </c>
      <c r="AY1374" s="41" t="s">
        <v>557</v>
      </c>
    </row>
    <row r="1375" spans="1:51" x14ac:dyDescent="0.2">
      <c r="A1375" s="41" t="s">
        <v>239</v>
      </c>
      <c r="B1375" s="41" t="s">
        <v>558</v>
      </c>
      <c r="C1375" s="41" t="s">
        <v>87</v>
      </c>
      <c r="D1375" s="41" t="s">
        <v>241</v>
      </c>
      <c r="E1375" s="41">
        <v>100</v>
      </c>
      <c r="F1375" s="41" t="s">
        <v>570</v>
      </c>
      <c r="G1375" s="53">
        <f>6493000+4002000+3400000</f>
        <v>13895000</v>
      </c>
      <c r="H1375" s="47">
        <f>(0.7*6493000+1.1*4002000+1.5*3400000)/G1375</f>
        <v>1.0109607772580065</v>
      </c>
      <c r="I1375" s="120">
        <f t="shared" si="262"/>
        <v>0.21169039222741992</v>
      </c>
      <c r="R1375" s="91">
        <f t="shared" si="259"/>
        <v>509180</v>
      </c>
      <c r="S1375" s="53">
        <v>127295</v>
      </c>
      <c r="T1375" s="53">
        <f>70935*31.1/1000</f>
        <v>2206.0785000000001</v>
      </c>
      <c r="AM1375" s="53">
        <v>30684000</v>
      </c>
      <c r="AO1375" s="53">
        <f t="shared" si="260"/>
        <v>14047300</v>
      </c>
      <c r="AP1375" s="53">
        <f t="shared" si="260"/>
        <v>2941438</v>
      </c>
      <c r="AQ1375" s="53">
        <f t="shared" si="260"/>
        <v>0</v>
      </c>
      <c r="AR1375" s="53">
        <f t="shared" si="260"/>
        <v>0</v>
      </c>
      <c r="AS1375" s="53">
        <f t="shared" si="260"/>
        <v>0</v>
      </c>
      <c r="AT1375" s="53">
        <f t="shared" si="260"/>
        <v>0</v>
      </c>
      <c r="AU1375" s="53">
        <f t="shared" si="260"/>
        <v>0</v>
      </c>
      <c r="AV1375" s="53">
        <f t="shared" si="260"/>
        <v>0</v>
      </c>
      <c r="AW1375" s="53">
        <f t="shared" si="260"/>
        <v>0</v>
      </c>
      <c r="AX1375" s="53">
        <f t="shared" si="261"/>
        <v>1389500000</v>
      </c>
      <c r="AY1375" s="41" t="s">
        <v>557</v>
      </c>
    </row>
    <row r="1376" spans="1:51" x14ac:dyDescent="0.2">
      <c r="A1376" s="41" t="s">
        <v>239</v>
      </c>
      <c r="B1376" s="60" t="s">
        <v>559</v>
      </c>
      <c r="C1376" s="60" t="s">
        <v>87</v>
      </c>
      <c r="D1376" s="60" t="s">
        <v>241</v>
      </c>
      <c r="E1376" s="60">
        <v>100</v>
      </c>
      <c r="F1376" s="60" t="s">
        <v>570</v>
      </c>
      <c r="G1376" s="79">
        <f>SUM(G1363:G1375)</f>
        <v>251362000</v>
      </c>
      <c r="H1376" s="80">
        <f>AO1376/$G1376</f>
        <v>1.2729318671875622</v>
      </c>
      <c r="I1376" s="80">
        <f>AP1376/$G1376</f>
        <v>0.2216823900722199</v>
      </c>
      <c r="R1376" s="79">
        <f>SUM(R1363:R1375)</f>
        <v>10285920</v>
      </c>
      <c r="S1376" s="79">
        <f>SUM(S1363:S1375)</f>
        <v>2571480</v>
      </c>
      <c r="T1376" s="79">
        <f>SUM(T1363:T1375)</f>
        <v>41791.896700000005</v>
      </c>
      <c r="AM1376" s="79">
        <f>SUM(AM1363:AM1375)</f>
        <v>584214000</v>
      </c>
      <c r="AO1376" s="79">
        <f t="shared" ref="AO1376:AX1376" si="263">SUM(AO1363:AO1375)</f>
        <v>319966700</v>
      </c>
      <c r="AP1376" s="79">
        <f t="shared" si="263"/>
        <v>55722528.933333337</v>
      </c>
      <c r="AQ1376" s="79">
        <f t="shared" si="263"/>
        <v>0</v>
      </c>
      <c r="AR1376" s="79">
        <f t="shared" si="263"/>
        <v>0</v>
      </c>
      <c r="AS1376" s="79">
        <f t="shared" si="263"/>
        <v>0</v>
      </c>
      <c r="AT1376" s="79">
        <f t="shared" si="263"/>
        <v>0</v>
      </c>
      <c r="AU1376" s="79">
        <f t="shared" si="263"/>
        <v>0</v>
      </c>
      <c r="AV1376" s="79">
        <f t="shared" si="263"/>
        <v>0</v>
      </c>
      <c r="AW1376" s="79">
        <f t="shared" si="263"/>
        <v>0</v>
      </c>
      <c r="AX1376" s="79">
        <f t="shared" si="263"/>
        <v>25136200000</v>
      </c>
      <c r="AY1376" s="41" t="s">
        <v>557</v>
      </c>
    </row>
    <row r="1377" spans="1:51" x14ac:dyDescent="0.2">
      <c r="A1377" s="41" t="s">
        <v>239</v>
      </c>
      <c r="B1377" s="43" t="s">
        <v>560</v>
      </c>
      <c r="G1377" s="53">
        <f>STDEV(G1363:G1375)</f>
        <v>6913402.4861783804</v>
      </c>
      <c r="H1377" s="46">
        <f>STDEV(H1363:H1375)</f>
        <v>0.26839121627471191</v>
      </c>
      <c r="I1377" s="46">
        <f>STDEV(I1363:I1375)</f>
        <v>3.8408230765318095E-2</v>
      </c>
      <c r="R1377" s="53">
        <f>STDEV(R1363:R1375)</f>
        <v>243758.27265467271</v>
      </c>
      <c r="S1377" s="53">
        <f>STDEV(S1363:S1375)</f>
        <v>60939.568163668177</v>
      </c>
      <c r="T1377" s="53">
        <f>STDEV(T1363:T1375)</f>
        <v>1350.6610072133335</v>
      </c>
      <c r="AM1377" s="53">
        <f>STDEV(AM1363:AM1375)</f>
        <v>25471587.493438594</v>
      </c>
      <c r="AY1377" s="41" t="s">
        <v>557</v>
      </c>
    </row>
    <row r="1378" spans="1:51" x14ac:dyDescent="0.2">
      <c r="A1378" s="41" t="s">
        <v>239</v>
      </c>
      <c r="B1378" s="81" t="s">
        <v>249</v>
      </c>
      <c r="G1378" s="41">
        <f>COUNT(G1363:G1375)</f>
        <v>13</v>
      </c>
      <c r="H1378" s="41">
        <f>COUNT(H1363:H1375)</f>
        <v>13</v>
      </c>
      <c r="I1378" s="41">
        <f>COUNT(I1363:I1375)</f>
        <v>13</v>
      </c>
      <c r="R1378" s="41">
        <f>COUNT(R1363:R1375)</f>
        <v>13</v>
      </c>
      <c r="S1378" s="41">
        <f>COUNT(S1363:S1375)</f>
        <v>13</v>
      </c>
      <c r="T1378" s="41">
        <f>COUNT(T1363:T1375)</f>
        <v>13</v>
      </c>
      <c r="AM1378" s="41">
        <f>COUNT(AM1363:AM1375)</f>
        <v>13</v>
      </c>
      <c r="AY1378" s="41" t="s">
        <v>557</v>
      </c>
    </row>
    <row r="1379" spans="1:51" x14ac:dyDescent="0.2">
      <c r="A1379" s="82"/>
      <c r="B1379" s="82"/>
      <c r="C1379" s="82"/>
      <c r="D1379" s="82"/>
      <c r="E1379" s="82"/>
      <c r="F1379" s="82"/>
      <c r="G1379" s="82"/>
      <c r="H1379" s="82"/>
      <c r="I1379" s="82"/>
      <c r="J1379" s="82"/>
      <c r="K1379" s="82"/>
      <c r="L1379" s="82"/>
      <c r="M1379" s="82"/>
      <c r="N1379" s="82"/>
      <c r="O1379" s="82"/>
      <c r="P1379" s="82"/>
      <c r="Q1379" s="82"/>
      <c r="R1379" s="82"/>
      <c r="S1379" s="82"/>
      <c r="T1379" s="82"/>
      <c r="U1379" s="82"/>
      <c r="V1379" s="82"/>
      <c r="W1379" s="82"/>
      <c r="X1379" s="82"/>
      <c r="Y1379" s="82"/>
      <c r="Z1379" s="82"/>
      <c r="AA1379" s="82"/>
      <c r="AB1379" s="82"/>
      <c r="AC1379" s="82"/>
      <c r="AD1379" s="82"/>
      <c r="AE1379" s="82"/>
      <c r="AF1379" s="82"/>
      <c r="AG1379" s="82"/>
      <c r="AH1379" s="82"/>
      <c r="AI1379" s="82"/>
      <c r="AJ1379" s="82"/>
      <c r="AK1379" s="82"/>
      <c r="AL1379" s="82"/>
      <c r="AM1379" s="82"/>
      <c r="AN1379" s="82"/>
      <c r="AO1379" s="82"/>
      <c r="AP1379" s="82"/>
      <c r="AQ1379" s="82"/>
      <c r="AR1379" s="82"/>
      <c r="AS1379" s="82"/>
      <c r="AT1379" s="82"/>
      <c r="AU1379" s="82"/>
      <c r="AV1379" s="82"/>
      <c r="AW1379" s="82"/>
      <c r="AX1379" s="82"/>
      <c r="AY1379" s="41" t="s">
        <v>557</v>
      </c>
    </row>
    <row r="1380" spans="1:51" x14ac:dyDescent="0.2">
      <c r="A1380" s="41" t="s">
        <v>174</v>
      </c>
      <c r="B1380" s="41">
        <v>2007</v>
      </c>
      <c r="C1380" s="41" t="s">
        <v>87</v>
      </c>
      <c r="D1380" s="41" t="s">
        <v>175</v>
      </c>
      <c r="E1380" s="41">
        <v>100</v>
      </c>
      <c r="F1380" s="41" t="s">
        <v>9</v>
      </c>
      <c r="G1380" s="53">
        <v>867226</v>
      </c>
      <c r="H1380" s="46">
        <v>7.2151795495061259</v>
      </c>
      <c r="S1380" s="53">
        <v>47633</v>
      </c>
      <c r="AM1380" s="53"/>
      <c r="AO1380" s="53">
        <f t="shared" ref="AO1380:AW1390" si="264">$G1380*H1380</f>
        <v>6257191.2999999998</v>
      </c>
      <c r="AP1380" s="53">
        <f t="shared" si="264"/>
        <v>0</v>
      </c>
      <c r="AQ1380" s="53">
        <f t="shared" si="264"/>
        <v>0</v>
      </c>
      <c r="AR1380" s="53">
        <f t="shared" si="264"/>
        <v>0</v>
      </c>
      <c r="AS1380" s="53">
        <f t="shared" si="264"/>
        <v>0</v>
      </c>
      <c r="AT1380" s="53">
        <f t="shared" si="264"/>
        <v>0</v>
      </c>
      <c r="AU1380" s="53">
        <f t="shared" si="264"/>
        <v>0</v>
      </c>
      <c r="AV1380" s="53">
        <f t="shared" si="264"/>
        <v>0</v>
      </c>
      <c r="AW1380" s="53">
        <f t="shared" si="264"/>
        <v>0</v>
      </c>
      <c r="AX1380" s="53">
        <f t="shared" ref="AX1380:AX1390" si="265">$G1380*E1380</f>
        <v>86722600</v>
      </c>
      <c r="AY1380" s="41" t="s">
        <v>557</v>
      </c>
    </row>
    <row r="1381" spans="1:51" x14ac:dyDescent="0.2">
      <c r="A1381" s="41" t="s">
        <v>174</v>
      </c>
      <c r="B1381" s="41">
        <v>2008</v>
      </c>
      <c r="C1381" s="41" t="s">
        <v>87</v>
      </c>
      <c r="D1381" s="41" t="s">
        <v>175</v>
      </c>
      <c r="E1381" s="41">
        <v>100</v>
      </c>
      <c r="F1381" s="41" t="s">
        <v>9</v>
      </c>
      <c r="G1381" s="53">
        <v>1275616</v>
      </c>
      <c r="H1381" s="46">
        <v>5.1462026189699728</v>
      </c>
      <c r="S1381" s="53">
        <v>42173</v>
      </c>
      <c r="AM1381" s="53"/>
      <c r="AO1381" s="53">
        <f t="shared" si="264"/>
        <v>6564578.4000000004</v>
      </c>
      <c r="AP1381" s="53">
        <f t="shared" si="264"/>
        <v>0</v>
      </c>
      <c r="AQ1381" s="53">
        <f t="shared" si="264"/>
        <v>0</v>
      </c>
      <c r="AR1381" s="53">
        <f t="shared" si="264"/>
        <v>0</v>
      </c>
      <c r="AS1381" s="53">
        <f t="shared" si="264"/>
        <v>0</v>
      </c>
      <c r="AT1381" s="53">
        <f t="shared" si="264"/>
        <v>0</v>
      </c>
      <c r="AU1381" s="53">
        <f t="shared" si="264"/>
        <v>0</v>
      </c>
      <c r="AV1381" s="53">
        <f t="shared" si="264"/>
        <v>0</v>
      </c>
      <c r="AW1381" s="53">
        <f t="shared" si="264"/>
        <v>0</v>
      </c>
      <c r="AX1381" s="53">
        <f t="shared" si="265"/>
        <v>127561600</v>
      </c>
      <c r="AY1381" s="41" t="s">
        <v>557</v>
      </c>
    </row>
    <row r="1382" spans="1:51" x14ac:dyDescent="0.2">
      <c r="A1382" s="41" t="s">
        <v>174</v>
      </c>
      <c r="B1382" s="41">
        <v>2009</v>
      </c>
      <c r="C1382" s="41" t="s">
        <v>87</v>
      </c>
      <c r="D1382" s="41" t="s">
        <v>175</v>
      </c>
      <c r="E1382" s="41">
        <v>100</v>
      </c>
      <c r="F1382" s="41" t="s">
        <v>9</v>
      </c>
      <c r="G1382" s="53">
        <v>231823</v>
      </c>
      <c r="H1382" s="41">
        <v>8.1999999999999993</v>
      </c>
      <c r="S1382" s="53">
        <v>16406</v>
      </c>
      <c r="AM1382" s="53">
        <v>278187.59999999998</v>
      </c>
      <c r="AO1382" s="53">
        <f t="shared" si="264"/>
        <v>1900948.5999999999</v>
      </c>
      <c r="AP1382" s="53">
        <f t="shared" si="264"/>
        <v>0</v>
      </c>
      <c r="AQ1382" s="53">
        <f t="shared" si="264"/>
        <v>0</v>
      </c>
      <c r="AR1382" s="53">
        <f t="shared" si="264"/>
        <v>0</v>
      </c>
      <c r="AS1382" s="53">
        <f t="shared" si="264"/>
        <v>0</v>
      </c>
      <c r="AT1382" s="53">
        <f t="shared" si="264"/>
        <v>0</v>
      </c>
      <c r="AU1382" s="53">
        <f t="shared" si="264"/>
        <v>0</v>
      </c>
      <c r="AV1382" s="53">
        <f t="shared" si="264"/>
        <v>0</v>
      </c>
      <c r="AW1382" s="53">
        <f t="shared" si="264"/>
        <v>0</v>
      </c>
      <c r="AX1382" s="53">
        <f t="shared" si="265"/>
        <v>23182300</v>
      </c>
      <c r="AY1382" s="41" t="s">
        <v>557</v>
      </c>
    </row>
    <row r="1383" spans="1:51" x14ac:dyDescent="0.2">
      <c r="A1383" s="41" t="s">
        <v>174</v>
      </c>
      <c r="B1383" s="41">
        <v>2010</v>
      </c>
      <c r="C1383" s="41" t="s">
        <v>87</v>
      </c>
      <c r="D1383" s="41" t="s">
        <v>175</v>
      </c>
      <c r="E1383" s="41">
        <v>100</v>
      </c>
      <c r="F1383" s="41" t="s">
        <v>9</v>
      </c>
      <c r="G1383" s="53">
        <v>303162</v>
      </c>
      <c r="H1383" s="41">
        <v>7.1</v>
      </c>
      <c r="S1383" s="53">
        <v>16538</v>
      </c>
      <c r="AM1383" s="53">
        <v>363794.39999999997</v>
      </c>
      <c r="AO1383" s="53">
        <f t="shared" si="264"/>
        <v>2152450.1999999997</v>
      </c>
      <c r="AP1383" s="53">
        <f t="shared" si="264"/>
        <v>0</v>
      </c>
      <c r="AQ1383" s="53">
        <f t="shared" si="264"/>
        <v>0</v>
      </c>
      <c r="AR1383" s="53">
        <f t="shared" si="264"/>
        <v>0</v>
      </c>
      <c r="AS1383" s="53">
        <f t="shared" si="264"/>
        <v>0</v>
      </c>
      <c r="AT1383" s="53">
        <f t="shared" si="264"/>
        <v>0</v>
      </c>
      <c r="AU1383" s="53">
        <f t="shared" si="264"/>
        <v>0</v>
      </c>
      <c r="AV1383" s="53">
        <f t="shared" si="264"/>
        <v>0</v>
      </c>
      <c r="AW1383" s="53">
        <f t="shared" si="264"/>
        <v>0</v>
      </c>
      <c r="AX1383" s="53">
        <f t="shared" si="265"/>
        <v>30316200</v>
      </c>
      <c r="AY1383" s="41" t="s">
        <v>557</v>
      </c>
    </row>
    <row r="1384" spans="1:51" x14ac:dyDescent="0.2">
      <c r="A1384" s="41" t="s">
        <v>174</v>
      </c>
      <c r="B1384" s="41">
        <v>2011</v>
      </c>
      <c r="C1384" s="41" t="s">
        <v>87</v>
      </c>
      <c r="D1384" s="41" t="s">
        <v>175</v>
      </c>
      <c r="E1384" s="41">
        <v>100</v>
      </c>
      <c r="F1384" s="41" t="s">
        <v>9</v>
      </c>
      <c r="G1384" s="53">
        <v>474680</v>
      </c>
      <c r="H1384" s="46">
        <v>1.4533662046009943</v>
      </c>
      <c r="S1384" s="53">
        <v>4285</v>
      </c>
      <c r="AO1384" s="53">
        <f t="shared" si="264"/>
        <v>689883.87</v>
      </c>
      <c r="AP1384" s="53">
        <f t="shared" si="264"/>
        <v>0</v>
      </c>
      <c r="AQ1384" s="53">
        <f t="shared" si="264"/>
        <v>0</v>
      </c>
      <c r="AR1384" s="53">
        <f t="shared" si="264"/>
        <v>0</v>
      </c>
      <c r="AS1384" s="53">
        <f t="shared" si="264"/>
        <v>0</v>
      </c>
      <c r="AT1384" s="53">
        <f t="shared" si="264"/>
        <v>0</v>
      </c>
      <c r="AU1384" s="53">
        <f t="shared" si="264"/>
        <v>0</v>
      </c>
      <c r="AV1384" s="53">
        <f t="shared" si="264"/>
        <v>0</v>
      </c>
      <c r="AW1384" s="53">
        <f t="shared" si="264"/>
        <v>0</v>
      </c>
      <c r="AX1384" s="53">
        <f t="shared" si="265"/>
        <v>47468000</v>
      </c>
      <c r="AY1384" s="41" t="s">
        <v>557</v>
      </c>
    </row>
    <row r="1385" spans="1:51" x14ac:dyDescent="0.2">
      <c r="A1385" s="41" t="s">
        <v>174</v>
      </c>
      <c r="B1385" s="41">
        <v>2012</v>
      </c>
      <c r="C1385" s="41" t="s">
        <v>87</v>
      </c>
      <c r="D1385" s="41" t="s">
        <v>175</v>
      </c>
      <c r="E1385" s="41">
        <v>100</v>
      </c>
      <c r="F1385" s="41" t="s">
        <v>9</v>
      </c>
      <c r="G1385" s="53">
        <v>923849</v>
      </c>
      <c r="H1385" s="41">
        <v>3.9</v>
      </c>
      <c r="S1385" s="53">
        <v>36048</v>
      </c>
      <c r="AO1385" s="53">
        <f t="shared" si="264"/>
        <v>3603011.1</v>
      </c>
      <c r="AP1385" s="53">
        <f t="shared" si="264"/>
        <v>0</v>
      </c>
      <c r="AQ1385" s="53">
        <f t="shared" si="264"/>
        <v>0</v>
      </c>
      <c r="AR1385" s="53">
        <f t="shared" si="264"/>
        <v>0</v>
      </c>
      <c r="AS1385" s="53">
        <f t="shared" si="264"/>
        <v>0</v>
      </c>
      <c r="AT1385" s="53">
        <f t="shared" si="264"/>
        <v>0</v>
      </c>
      <c r="AU1385" s="53">
        <f t="shared" si="264"/>
        <v>0</v>
      </c>
      <c r="AV1385" s="53">
        <f t="shared" si="264"/>
        <v>0</v>
      </c>
      <c r="AW1385" s="53">
        <f t="shared" si="264"/>
        <v>0</v>
      </c>
      <c r="AX1385" s="53">
        <f t="shared" si="265"/>
        <v>92384900</v>
      </c>
      <c r="AY1385" s="41" t="s">
        <v>557</v>
      </c>
    </row>
    <row r="1386" spans="1:51" x14ac:dyDescent="0.2">
      <c r="A1386" s="41" t="s">
        <v>174</v>
      </c>
      <c r="B1386" s="41">
        <v>2013</v>
      </c>
      <c r="C1386" s="41" t="s">
        <v>87</v>
      </c>
      <c r="D1386" s="41" t="s">
        <v>175</v>
      </c>
      <c r="E1386" s="41">
        <v>100</v>
      </c>
      <c r="F1386" s="41" t="s">
        <v>9</v>
      </c>
      <c r="G1386" s="53">
        <v>1588563</v>
      </c>
      <c r="H1386" s="41">
        <v>3.8</v>
      </c>
      <c r="S1386" s="53">
        <v>62076</v>
      </c>
      <c r="AO1386" s="53">
        <f t="shared" si="264"/>
        <v>6036539.3999999994</v>
      </c>
      <c r="AP1386" s="53">
        <f t="shared" si="264"/>
        <v>0</v>
      </c>
      <c r="AQ1386" s="53">
        <f t="shared" si="264"/>
        <v>0</v>
      </c>
      <c r="AR1386" s="53">
        <f t="shared" si="264"/>
        <v>0</v>
      </c>
      <c r="AS1386" s="53">
        <f t="shared" si="264"/>
        <v>0</v>
      </c>
      <c r="AT1386" s="53">
        <f t="shared" si="264"/>
        <v>0</v>
      </c>
      <c r="AU1386" s="53">
        <f t="shared" si="264"/>
        <v>0</v>
      </c>
      <c r="AV1386" s="53">
        <f t="shared" si="264"/>
        <v>0</v>
      </c>
      <c r="AW1386" s="53">
        <f t="shared" si="264"/>
        <v>0</v>
      </c>
      <c r="AX1386" s="53">
        <f t="shared" si="265"/>
        <v>158856300</v>
      </c>
      <c r="AY1386" s="41" t="s">
        <v>557</v>
      </c>
    </row>
    <row r="1387" spans="1:51" x14ac:dyDescent="0.2">
      <c r="A1387" s="41" t="s">
        <v>174</v>
      </c>
      <c r="B1387" s="41">
        <v>2014</v>
      </c>
      <c r="C1387" s="41" t="s">
        <v>87</v>
      </c>
      <c r="D1387" s="41" t="s">
        <v>175</v>
      </c>
      <c r="E1387" s="41">
        <v>100</v>
      </c>
      <c r="F1387" s="41" t="s">
        <v>9</v>
      </c>
      <c r="G1387" s="53">
        <v>1798258</v>
      </c>
      <c r="H1387" s="41">
        <v>3.2</v>
      </c>
      <c r="S1387" s="53">
        <v>69624</v>
      </c>
      <c r="AO1387" s="53">
        <f t="shared" si="264"/>
        <v>5754425.6000000006</v>
      </c>
      <c r="AP1387" s="53">
        <f t="shared" si="264"/>
        <v>0</v>
      </c>
      <c r="AQ1387" s="53">
        <f t="shared" si="264"/>
        <v>0</v>
      </c>
      <c r="AR1387" s="53">
        <f t="shared" si="264"/>
        <v>0</v>
      </c>
      <c r="AS1387" s="53">
        <f t="shared" si="264"/>
        <v>0</v>
      </c>
      <c r="AT1387" s="53">
        <f t="shared" si="264"/>
        <v>0</v>
      </c>
      <c r="AU1387" s="53">
        <f t="shared" si="264"/>
        <v>0</v>
      </c>
      <c r="AV1387" s="53">
        <f t="shared" si="264"/>
        <v>0</v>
      </c>
      <c r="AW1387" s="53">
        <f t="shared" si="264"/>
        <v>0</v>
      </c>
      <c r="AX1387" s="53">
        <f t="shared" si="265"/>
        <v>179825800</v>
      </c>
      <c r="AY1387" s="41" t="s">
        <v>557</v>
      </c>
    </row>
    <row r="1388" spans="1:51" x14ac:dyDescent="0.2">
      <c r="A1388" s="41" t="s">
        <v>174</v>
      </c>
      <c r="B1388" s="41">
        <v>2015</v>
      </c>
      <c r="C1388" s="41" t="s">
        <v>87</v>
      </c>
      <c r="D1388" s="41" t="s">
        <v>175</v>
      </c>
      <c r="E1388" s="41">
        <v>100</v>
      </c>
      <c r="F1388" s="41" t="s">
        <v>9</v>
      </c>
      <c r="G1388" s="53">
        <v>2183906</v>
      </c>
      <c r="H1388" s="41">
        <v>3.7</v>
      </c>
      <c r="S1388" s="53">
        <v>80169</v>
      </c>
      <c r="AO1388" s="53">
        <f t="shared" si="264"/>
        <v>8080452.2000000002</v>
      </c>
      <c r="AP1388" s="53">
        <f t="shared" si="264"/>
        <v>0</v>
      </c>
      <c r="AQ1388" s="53">
        <f t="shared" si="264"/>
        <v>0</v>
      </c>
      <c r="AR1388" s="53">
        <f t="shared" si="264"/>
        <v>0</v>
      </c>
      <c r="AS1388" s="53">
        <f t="shared" si="264"/>
        <v>0</v>
      </c>
      <c r="AT1388" s="53">
        <f t="shared" si="264"/>
        <v>0</v>
      </c>
      <c r="AU1388" s="53">
        <f t="shared" si="264"/>
        <v>0</v>
      </c>
      <c r="AV1388" s="53">
        <f t="shared" si="264"/>
        <v>0</v>
      </c>
      <c r="AW1388" s="53">
        <f t="shared" si="264"/>
        <v>0</v>
      </c>
      <c r="AX1388" s="53">
        <f t="shared" si="265"/>
        <v>218390600</v>
      </c>
      <c r="AY1388" s="41" t="s">
        <v>557</v>
      </c>
    </row>
    <row r="1389" spans="1:51" x14ac:dyDescent="0.2">
      <c r="A1389" s="41" t="s">
        <v>174</v>
      </c>
      <c r="B1389" s="41">
        <v>2016</v>
      </c>
      <c r="C1389" s="41" t="s">
        <v>87</v>
      </c>
      <c r="D1389" s="41" t="s">
        <v>175</v>
      </c>
      <c r="E1389" s="41">
        <v>100</v>
      </c>
      <c r="F1389" s="41" t="s">
        <v>9</v>
      </c>
      <c r="G1389" s="53">
        <v>2294530</v>
      </c>
      <c r="H1389" s="41">
        <v>3.7</v>
      </c>
      <c r="S1389" s="53">
        <v>80650</v>
      </c>
      <c r="AO1389" s="53">
        <f t="shared" si="264"/>
        <v>8489761</v>
      </c>
      <c r="AP1389" s="53">
        <f t="shared" si="264"/>
        <v>0</v>
      </c>
      <c r="AQ1389" s="53">
        <f t="shared" si="264"/>
        <v>0</v>
      </c>
      <c r="AR1389" s="53">
        <f t="shared" si="264"/>
        <v>0</v>
      </c>
      <c r="AS1389" s="53">
        <f t="shared" si="264"/>
        <v>0</v>
      </c>
      <c r="AT1389" s="53">
        <f t="shared" si="264"/>
        <v>0</v>
      </c>
      <c r="AU1389" s="53">
        <f t="shared" si="264"/>
        <v>0</v>
      </c>
      <c r="AV1389" s="53">
        <f t="shared" si="264"/>
        <v>0</v>
      </c>
      <c r="AW1389" s="53">
        <f t="shared" si="264"/>
        <v>0</v>
      </c>
      <c r="AX1389" s="53">
        <f t="shared" si="265"/>
        <v>229453000</v>
      </c>
      <c r="AY1389" s="41" t="s">
        <v>557</v>
      </c>
    </row>
    <row r="1390" spans="1:51" x14ac:dyDescent="0.2">
      <c r="A1390" s="41" t="s">
        <v>174</v>
      </c>
      <c r="B1390" s="41" t="s">
        <v>567</v>
      </c>
      <c r="C1390" s="41" t="s">
        <v>87</v>
      </c>
      <c r="D1390" s="41" t="s">
        <v>175</v>
      </c>
      <c r="E1390" s="41">
        <v>100</v>
      </c>
      <c r="F1390" s="41" t="s">
        <v>9</v>
      </c>
      <c r="G1390" s="53">
        <v>1080404</v>
      </c>
      <c r="H1390" s="41">
        <v>3.8</v>
      </c>
      <c r="S1390" s="53">
        <v>39203</v>
      </c>
      <c r="AO1390" s="53">
        <f t="shared" si="264"/>
        <v>4105535.1999999997</v>
      </c>
      <c r="AP1390" s="53">
        <f t="shared" si="264"/>
        <v>0</v>
      </c>
      <c r="AQ1390" s="53">
        <f t="shared" si="264"/>
        <v>0</v>
      </c>
      <c r="AR1390" s="53">
        <f t="shared" si="264"/>
        <v>0</v>
      </c>
      <c r="AS1390" s="53">
        <f t="shared" si="264"/>
        <v>0</v>
      </c>
      <c r="AT1390" s="53">
        <f t="shared" si="264"/>
        <v>0</v>
      </c>
      <c r="AU1390" s="53">
        <f t="shared" si="264"/>
        <v>0</v>
      </c>
      <c r="AV1390" s="53">
        <f t="shared" si="264"/>
        <v>0</v>
      </c>
      <c r="AW1390" s="53">
        <f t="shared" si="264"/>
        <v>0</v>
      </c>
      <c r="AX1390" s="53">
        <f t="shared" si="265"/>
        <v>108040400</v>
      </c>
      <c r="AY1390" s="41" t="s">
        <v>557</v>
      </c>
    </row>
    <row r="1391" spans="1:51" x14ac:dyDescent="0.2">
      <c r="A1391" s="41" t="s">
        <v>174</v>
      </c>
      <c r="B1391" s="60" t="s">
        <v>559</v>
      </c>
      <c r="C1391" s="60" t="s">
        <v>87</v>
      </c>
      <c r="D1391" s="60" t="s">
        <v>175</v>
      </c>
      <c r="E1391" s="60">
        <v>100</v>
      </c>
      <c r="F1391" s="60" t="s">
        <v>9</v>
      </c>
      <c r="G1391" s="79">
        <f>SUM(G1380:G1390)</f>
        <v>13022017</v>
      </c>
      <c r="H1391" s="78">
        <f>AO1391/SUM($G1380:$G1390)</f>
        <v>4.1187764437721137</v>
      </c>
      <c r="S1391" s="79">
        <f>SUM(S1380:S1390)</f>
        <v>494805</v>
      </c>
      <c r="AM1391" s="79">
        <f>SUM(AM1380:AM1390)</f>
        <v>641982</v>
      </c>
      <c r="AO1391" s="79">
        <f t="shared" ref="AO1391:AX1391" si="266">SUM(AO1380:AO1390)</f>
        <v>53634776.870000005</v>
      </c>
      <c r="AP1391" s="79">
        <f t="shared" si="266"/>
        <v>0</v>
      </c>
      <c r="AQ1391" s="79">
        <f t="shared" si="266"/>
        <v>0</v>
      </c>
      <c r="AR1391" s="79">
        <f t="shared" si="266"/>
        <v>0</v>
      </c>
      <c r="AS1391" s="79">
        <f t="shared" si="266"/>
        <v>0</v>
      </c>
      <c r="AT1391" s="79">
        <f t="shared" si="266"/>
        <v>0</v>
      </c>
      <c r="AU1391" s="79">
        <f t="shared" si="266"/>
        <v>0</v>
      </c>
      <c r="AV1391" s="79">
        <f t="shared" si="266"/>
        <v>0</v>
      </c>
      <c r="AW1391" s="79">
        <f t="shared" si="266"/>
        <v>0</v>
      </c>
      <c r="AX1391" s="79">
        <f t="shared" si="266"/>
        <v>1302201700</v>
      </c>
      <c r="AY1391" s="41" t="s">
        <v>557</v>
      </c>
    </row>
    <row r="1392" spans="1:51" x14ac:dyDescent="0.2">
      <c r="A1392" s="41" t="s">
        <v>174</v>
      </c>
      <c r="B1392" s="43" t="s">
        <v>560</v>
      </c>
      <c r="G1392" s="53">
        <f>STDEV(G1380:G1390)</f>
        <v>717417.17712291935</v>
      </c>
      <c r="H1392" s="47">
        <f>STDEV(H1380:H1390)</f>
        <v>2.0387361197386928</v>
      </c>
      <c r="S1392" s="53">
        <f>STDEV(S1380:S1390)</f>
        <v>26114.728396408453</v>
      </c>
      <c r="AM1392" s="53">
        <f>STDEV(AM1380:AM1390)</f>
        <v>60533.148795680245</v>
      </c>
      <c r="AY1392" s="41" t="s">
        <v>557</v>
      </c>
    </row>
    <row r="1393" spans="1:51" x14ac:dyDescent="0.2">
      <c r="A1393" s="41" t="s">
        <v>174</v>
      </c>
      <c r="B1393" s="81" t="s">
        <v>249</v>
      </c>
      <c r="G1393" s="41">
        <f>COUNT(G1380:G1390)</f>
        <v>11</v>
      </c>
      <c r="H1393" s="41">
        <f>COUNT(H1380:H1390)</f>
        <v>11</v>
      </c>
      <c r="S1393" s="41">
        <f>COUNT(S1380:S1390)</f>
        <v>11</v>
      </c>
      <c r="AM1393" s="41">
        <f>COUNT(AM1380:AM1390)</f>
        <v>2</v>
      </c>
      <c r="AY1393" s="41" t="s">
        <v>557</v>
      </c>
    </row>
    <row r="1394" spans="1:51" x14ac:dyDescent="0.2">
      <c r="A1394" s="82"/>
      <c r="B1394" s="82"/>
      <c r="C1394" s="82"/>
      <c r="D1394" s="82"/>
      <c r="E1394" s="82"/>
      <c r="F1394" s="82"/>
      <c r="G1394" s="82"/>
      <c r="H1394" s="82"/>
      <c r="I1394" s="82"/>
      <c r="J1394" s="82"/>
      <c r="K1394" s="82"/>
      <c r="L1394" s="82"/>
      <c r="M1394" s="82"/>
      <c r="N1394" s="82"/>
      <c r="O1394" s="82"/>
      <c r="P1394" s="82"/>
      <c r="Q1394" s="82"/>
      <c r="R1394" s="82"/>
      <c r="S1394" s="82"/>
      <c r="T1394" s="82"/>
      <c r="U1394" s="82"/>
      <c r="V1394" s="82"/>
      <c r="W1394" s="82"/>
      <c r="X1394" s="82"/>
      <c r="Y1394" s="82"/>
      <c r="Z1394" s="82"/>
      <c r="AA1394" s="82"/>
      <c r="AB1394" s="82"/>
      <c r="AC1394" s="82"/>
      <c r="AD1394" s="82"/>
      <c r="AE1394" s="82"/>
      <c r="AF1394" s="82"/>
      <c r="AG1394" s="82"/>
      <c r="AH1394" s="82"/>
      <c r="AI1394" s="82"/>
      <c r="AJ1394" s="82"/>
      <c r="AK1394" s="82"/>
      <c r="AL1394" s="82"/>
      <c r="AM1394" s="82"/>
      <c r="AN1394" s="82"/>
      <c r="AO1394" s="82"/>
      <c r="AP1394" s="82"/>
      <c r="AQ1394" s="82"/>
      <c r="AR1394" s="82"/>
      <c r="AS1394" s="82"/>
      <c r="AT1394" s="82"/>
      <c r="AU1394" s="82"/>
      <c r="AV1394" s="82"/>
      <c r="AW1394" s="82"/>
      <c r="AX1394" s="82"/>
      <c r="AY1394" s="41" t="s">
        <v>557</v>
      </c>
    </row>
    <row r="1395" spans="1:51" x14ac:dyDescent="0.2">
      <c r="A1395" s="41" t="s">
        <v>239</v>
      </c>
      <c r="B1395" s="41">
        <v>2005</v>
      </c>
      <c r="AY1395" s="41" t="s">
        <v>557</v>
      </c>
    </row>
    <row r="1396" spans="1:51" x14ac:dyDescent="0.2">
      <c r="A1396" s="41" t="s">
        <v>239</v>
      </c>
      <c r="B1396" s="41">
        <v>2006</v>
      </c>
      <c r="AY1396" s="41" t="s">
        <v>557</v>
      </c>
    </row>
    <row r="1397" spans="1:51" x14ac:dyDescent="0.2">
      <c r="A1397" s="41" t="s">
        <v>239</v>
      </c>
      <c r="B1397" s="41">
        <v>2007</v>
      </c>
      <c r="AY1397" s="41" t="s">
        <v>557</v>
      </c>
    </row>
    <row r="1398" spans="1:51" x14ac:dyDescent="0.2">
      <c r="A1398" s="41" t="s">
        <v>239</v>
      </c>
      <c r="B1398" s="41">
        <v>2008</v>
      </c>
      <c r="AY1398" s="41" t="s">
        <v>557</v>
      </c>
    </row>
    <row r="1399" spans="1:51" x14ac:dyDescent="0.2">
      <c r="A1399" s="41" t="s">
        <v>239</v>
      </c>
      <c r="B1399" s="41">
        <v>2009</v>
      </c>
      <c r="AY1399" s="41" t="s">
        <v>557</v>
      </c>
    </row>
    <row r="1400" spans="1:51" x14ac:dyDescent="0.2">
      <c r="A1400" s="41" t="s">
        <v>239</v>
      </c>
      <c r="B1400" s="41">
        <v>2010</v>
      </c>
      <c r="AY1400" s="41" t="s">
        <v>557</v>
      </c>
    </row>
    <row r="1401" spans="1:51" x14ac:dyDescent="0.2">
      <c r="A1401" s="41" t="s">
        <v>239</v>
      </c>
      <c r="B1401" s="41">
        <v>2011</v>
      </c>
      <c r="AY1401" s="41" t="s">
        <v>557</v>
      </c>
    </row>
    <row r="1402" spans="1:51" x14ac:dyDescent="0.2">
      <c r="A1402" s="41" t="s">
        <v>239</v>
      </c>
      <c r="B1402" s="41">
        <v>2012</v>
      </c>
      <c r="AY1402" s="41" t="s">
        <v>557</v>
      </c>
    </row>
    <row r="1403" spans="1:51" x14ac:dyDescent="0.2">
      <c r="A1403" s="41" t="s">
        <v>239</v>
      </c>
      <c r="B1403" s="41">
        <v>2013</v>
      </c>
      <c r="AY1403" s="41" t="s">
        <v>557</v>
      </c>
    </row>
    <row r="1404" spans="1:51" x14ac:dyDescent="0.2">
      <c r="A1404" s="41" t="s">
        <v>239</v>
      </c>
      <c r="B1404" s="41">
        <v>2014</v>
      </c>
      <c r="AY1404" s="41" t="s">
        <v>557</v>
      </c>
    </row>
    <row r="1405" spans="1:51" x14ac:dyDescent="0.2">
      <c r="A1405" s="41" t="s">
        <v>239</v>
      </c>
      <c r="B1405" s="41">
        <v>2015</v>
      </c>
      <c r="AY1405" s="41" t="s">
        <v>557</v>
      </c>
    </row>
    <row r="1406" spans="1:51" x14ac:dyDescent="0.2">
      <c r="A1406" s="41" t="s">
        <v>239</v>
      </c>
      <c r="B1406" s="41">
        <v>2016</v>
      </c>
      <c r="AY1406" s="41" t="s">
        <v>557</v>
      </c>
    </row>
    <row r="1407" spans="1:51" x14ac:dyDescent="0.2">
      <c r="A1407" s="41" t="s">
        <v>239</v>
      </c>
      <c r="B1407" s="41" t="s">
        <v>558</v>
      </c>
      <c r="AY1407" s="41" t="s">
        <v>557</v>
      </c>
    </row>
    <row r="1408" spans="1:51" x14ac:dyDescent="0.2">
      <c r="A1408" s="41" t="s">
        <v>239</v>
      </c>
      <c r="B1408" s="60" t="s">
        <v>559</v>
      </c>
      <c r="AY1408" s="41" t="s">
        <v>557</v>
      </c>
    </row>
    <row r="1409" spans="1:51" x14ac:dyDescent="0.2">
      <c r="A1409" s="41" t="s">
        <v>239</v>
      </c>
      <c r="B1409" s="43" t="s">
        <v>560</v>
      </c>
      <c r="AY1409" s="41" t="s">
        <v>557</v>
      </c>
    </row>
    <row r="1410" spans="1:51" x14ac:dyDescent="0.2">
      <c r="A1410" s="41" t="s">
        <v>239</v>
      </c>
      <c r="B1410" s="81" t="s">
        <v>249</v>
      </c>
      <c r="AY1410" s="41" t="s">
        <v>557</v>
      </c>
    </row>
    <row r="1411" spans="1:51" x14ac:dyDescent="0.2">
      <c r="A1411" s="82"/>
      <c r="B1411" s="82"/>
      <c r="C1411" s="82"/>
      <c r="D1411" s="82"/>
      <c r="E1411" s="82"/>
      <c r="F1411" s="82"/>
      <c r="G1411" s="82"/>
      <c r="H1411" s="82"/>
      <c r="I1411" s="82"/>
      <c r="J1411" s="82"/>
      <c r="K1411" s="82"/>
      <c r="L1411" s="82"/>
      <c r="M1411" s="82"/>
      <c r="N1411" s="82"/>
      <c r="O1411" s="82"/>
      <c r="P1411" s="82"/>
      <c r="Q1411" s="82"/>
      <c r="R1411" s="82"/>
      <c r="S1411" s="82"/>
      <c r="T1411" s="82"/>
      <c r="U1411" s="82"/>
      <c r="V1411" s="82"/>
      <c r="W1411" s="82"/>
      <c r="X1411" s="82"/>
      <c r="Y1411" s="82"/>
      <c r="Z1411" s="82"/>
      <c r="AA1411" s="82"/>
      <c r="AB1411" s="82"/>
      <c r="AC1411" s="82"/>
      <c r="AD1411" s="82"/>
      <c r="AE1411" s="82"/>
      <c r="AF1411" s="82"/>
      <c r="AG1411" s="82"/>
      <c r="AH1411" s="82"/>
      <c r="AI1411" s="82"/>
      <c r="AJ1411" s="82"/>
      <c r="AK1411" s="82"/>
      <c r="AL1411" s="82"/>
      <c r="AM1411" s="82"/>
      <c r="AN1411" s="82"/>
      <c r="AO1411" s="82"/>
      <c r="AP1411" s="82"/>
      <c r="AQ1411" s="82"/>
      <c r="AR1411" s="82"/>
      <c r="AS1411" s="82"/>
      <c r="AT1411" s="82"/>
      <c r="AU1411" s="82"/>
      <c r="AV1411" s="82"/>
      <c r="AW1411" s="82"/>
      <c r="AX1411" s="82"/>
      <c r="AY1411" s="41" t="s">
        <v>557</v>
      </c>
    </row>
    <row r="1412" spans="1:51" x14ac:dyDescent="0.2">
      <c r="A1412" s="86" t="s">
        <v>647</v>
      </c>
      <c r="B1412" s="58" t="s">
        <v>648</v>
      </c>
      <c r="AY1412" s="41" t="s">
        <v>557</v>
      </c>
    </row>
    <row r="1413" spans="1:51" x14ac:dyDescent="0.2">
      <c r="A1413" s="86" t="s">
        <v>647</v>
      </c>
      <c r="B1413" s="41" t="s">
        <v>595</v>
      </c>
      <c r="C1413" s="41" t="s">
        <v>91</v>
      </c>
      <c r="D1413" s="41" t="s">
        <v>88</v>
      </c>
      <c r="E1413" s="41">
        <v>0</v>
      </c>
      <c r="F1413" s="41" t="s">
        <v>9</v>
      </c>
      <c r="G1413" s="53">
        <v>8817637</v>
      </c>
      <c r="H1413" s="58">
        <v>2.9</v>
      </c>
      <c r="R1413" s="53">
        <v>229608</v>
      </c>
      <c r="S1413" s="53">
        <v>84356</v>
      </c>
      <c r="AO1413" s="53">
        <f t="shared" ref="AO1413:AW1422" si="267">$G1413*H1413</f>
        <v>25571147.300000001</v>
      </c>
      <c r="AP1413" s="53">
        <f t="shared" si="267"/>
        <v>0</v>
      </c>
      <c r="AQ1413" s="53">
        <f t="shared" si="267"/>
        <v>0</v>
      </c>
      <c r="AR1413" s="53">
        <f t="shared" si="267"/>
        <v>0</v>
      </c>
      <c r="AS1413" s="53">
        <f t="shared" si="267"/>
        <v>0</v>
      </c>
      <c r="AT1413" s="53">
        <f t="shared" si="267"/>
        <v>0</v>
      </c>
      <c r="AU1413" s="53">
        <f t="shared" si="267"/>
        <v>0</v>
      </c>
      <c r="AV1413" s="53">
        <f t="shared" si="267"/>
        <v>0</v>
      </c>
      <c r="AW1413" s="53">
        <f t="shared" si="267"/>
        <v>0</v>
      </c>
      <c r="AX1413" s="53">
        <f t="shared" ref="AX1413:AX1422" si="268">$G1413*E1413</f>
        <v>0</v>
      </c>
      <c r="AY1413" s="41" t="s">
        <v>557</v>
      </c>
    </row>
    <row r="1414" spans="1:51" x14ac:dyDescent="0.2">
      <c r="A1414" s="86" t="s">
        <v>647</v>
      </c>
      <c r="B1414" s="41" t="s">
        <v>596</v>
      </c>
      <c r="C1414" s="41" t="s">
        <v>91</v>
      </c>
      <c r="D1414" s="41" t="s">
        <v>88</v>
      </c>
      <c r="E1414" s="41">
        <v>0</v>
      </c>
      <c r="F1414" s="41" t="s">
        <v>9</v>
      </c>
      <c r="G1414" s="53">
        <v>7312988</v>
      </c>
      <c r="H1414" s="58">
        <v>2.9</v>
      </c>
      <c r="R1414" s="53">
        <v>233759</v>
      </c>
      <c r="S1414" s="53">
        <v>75631</v>
      </c>
      <c r="AO1414" s="53">
        <f t="shared" si="267"/>
        <v>21207665.199999999</v>
      </c>
      <c r="AP1414" s="53">
        <f t="shared" si="267"/>
        <v>0</v>
      </c>
      <c r="AQ1414" s="53">
        <f t="shared" si="267"/>
        <v>0</v>
      </c>
      <c r="AR1414" s="53">
        <f t="shared" si="267"/>
        <v>0</v>
      </c>
      <c r="AS1414" s="53">
        <f t="shared" si="267"/>
        <v>0</v>
      </c>
      <c r="AT1414" s="53">
        <f t="shared" si="267"/>
        <v>0</v>
      </c>
      <c r="AU1414" s="53">
        <f t="shared" si="267"/>
        <v>0</v>
      </c>
      <c r="AV1414" s="53">
        <f t="shared" si="267"/>
        <v>0</v>
      </c>
      <c r="AW1414" s="53">
        <f t="shared" si="267"/>
        <v>0</v>
      </c>
      <c r="AX1414" s="53">
        <f t="shared" si="268"/>
        <v>0</v>
      </c>
      <c r="AY1414" s="41" t="s">
        <v>557</v>
      </c>
    </row>
    <row r="1415" spans="1:51" x14ac:dyDescent="0.2">
      <c r="A1415" s="86" t="s">
        <v>647</v>
      </c>
      <c r="B1415" s="41" t="s">
        <v>576</v>
      </c>
      <c r="C1415" s="41" t="s">
        <v>91</v>
      </c>
      <c r="D1415" s="41" t="s">
        <v>88</v>
      </c>
      <c r="E1415" s="41">
        <v>0</v>
      </c>
      <c r="F1415" s="41" t="s">
        <v>9</v>
      </c>
      <c r="G1415" s="53">
        <v>8813986</v>
      </c>
      <c r="H1415" s="54">
        <v>3</v>
      </c>
      <c r="R1415" s="53">
        <v>253810</v>
      </c>
      <c r="S1415" s="53">
        <v>81435</v>
      </c>
      <c r="AO1415" s="53">
        <f t="shared" si="267"/>
        <v>26441958</v>
      </c>
      <c r="AP1415" s="53">
        <f t="shared" si="267"/>
        <v>0</v>
      </c>
      <c r="AQ1415" s="53">
        <f t="shared" si="267"/>
        <v>0</v>
      </c>
      <c r="AR1415" s="53">
        <f t="shared" si="267"/>
        <v>0</v>
      </c>
      <c r="AS1415" s="53">
        <f t="shared" si="267"/>
        <v>0</v>
      </c>
      <c r="AT1415" s="53">
        <f t="shared" si="267"/>
        <v>0</v>
      </c>
      <c r="AU1415" s="53">
        <f t="shared" si="267"/>
        <v>0</v>
      </c>
      <c r="AV1415" s="53">
        <f t="shared" si="267"/>
        <v>0</v>
      </c>
      <c r="AW1415" s="53">
        <f t="shared" si="267"/>
        <v>0</v>
      </c>
      <c r="AX1415" s="53">
        <f t="shared" si="268"/>
        <v>0</v>
      </c>
      <c r="AY1415" s="41" t="s">
        <v>557</v>
      </c>
    </row>
    <row r="1416" spans="1:51" x14ac:dyDescent="0.2">
      <c r="A1416" s="86" t="s">
        <v>647</v>
      </c>
      <c r="B1416" s="41" t="s">
        <v>578</v>
      </c>
      <c r="C1416" s="41" t="s">
        <v>91</v>
      </c>
      <c r="D1416" s="41" t="s">
        <v>88</v>
      </c>
      <c r="E1416" s="41">
        <v>0</v>
      </c>
      <c r="F1416" s="41" t="s">
        <v>9</v>
      </c>
      <c r="G1416" s="53">
        <v>8365571</v>
      </c>
      <c r="H1416" s="54">
        <v>2</v>
      </c>
      <c r="R1416" s="53">
        <v>241882</v>
      </c>
      <c r="S1416" s="53">
        <v>78905</v>
      </c>
      <c r="AO1416" s="53">
        <f t="shared" si="267"/>
        <v>16731142</v>
      </c>
      <c r="AP1416" s="53">
        <f t="shared" si="267"/>
        <v>0</v>
      </c>
      <c r="AQ1416" s="53">
        <f t="shared" si="267"/>
        <v>0</v>
      </c>
      <c r="AR1416" s="53">
        <f t="shared" si="267"/>
        <v>0</v>
      </c>
      <c r="AS1416" s="53">
        <f t="shared" si="267"/>
        <v>0</v>
      </c>
      <c r="AT1416" s="53">
        <f t="shared" si="267"/>
        <v>0</v>
      </c>
      <c r="AU1416" s="53">
        <f t="shared" si="267"/>
        <v>0</v>
      </c>
      <c r="AV1416" s="53">
        <f t="shared" si="267"/>
        <v>0</v>
      </c>
      <c r="AW1416" s="53">
        <f t="shared" si="267"/>
        <v>0</v>
      </c>
      <c r="AX1416" s="53">
        <f t="shared" si="268"/>
        <v>0</v>
      </c>
      <c r="AY1416" s="41" t="s">
        <v>557</v>
      </c>
    </row>
    <row r="1417" spans="1:51" x14ac:dyDescent="0.2">
      <c r="A1417" s="86" t="s">
        <v>647</v>
      </c>
      <c r="B1417" s="41" t="s">
        <v>579</v>
      </c>
      <c r="C1417" s="41" t="s">
        <v>91</v>
      </c>
      <c r="D1417" s="41" t="s">
        <v>88</v>
      </c>
      <c r="E1417" s="41">
        <v>0</v>
      </c>
      <c r="F1417" s="41" t="s">
        <v>9</v>
      </c>
      <c r="G1417" s="53">
        <v>9976599</v>
      </c>
      <c r="H1417" s="58">
        <v>1.6</v>
      </c>
      <c r="R1417" s="53">
        <v>269130</v>
      </c>
      <c r="S1417" s="53">
        <v>89751</v>
      </c>
      <c r="AO1417" s="53">
        <f t="shared" si="267"/>
        <v>15962558.4</v>
      </c>
      <c r="AP1417" s="53">
        <f t="shared" si="267"/>
        <v>0</v>
      </c>
      <c r="AQ1417" s="53">
        <f t="shared" si="267"/>
        <v>0</v>
      </c>
      <c r="AR1417" s="53">
        <f t="shared" si="267"/>
        <v>0</v>
      </c>
      <c r="AS1417" s="53">
        <f t="shared" si="267"/>
        <v>0</v>
      </c>
      <c r="AT1417" s="53">
        <f t="shared" si="267"/>
        <v>0</v>
      </c>
      <c r="AU1417" s="53">
        <f t="shared" si="267"/>
        <v>0</v>
      </c>
      <c r="AV1417" s="53">
        <f t="shared" si="267"/>
        <v>0</v>
      </c>
      <c r="AW1417" s="53">
        <f t="shared" si="267"/>
        <v>0</v>
      </c>
      <c r="AX1417" s="53">
        <f t="shared" si="268"/>
        <v>0</v>
      </c>
      <c r="AY1417" s="41" t="s">
        <v>557</v>
      </c>
    </row>
    <row r="1418" spans="1:51" x14ac:dyDescent="0.2">
      <c r="A1418" s="86" t="s">
        <v>647</v>
      </c>
      <c r="B1418" s="41" t="s">
        <v>571</v>
      </c>
      <c r="C1418" s="41" t="s">
        <v>91</v>
      </c>
      <c r="D1418" s="41" t="s">
        <v>88</v>
      </c>
      <c r="E1418" s="41">
        <v>0</v>
      </c>
      <c r="F1418" s="41" t="s">
        <v>9</v>
      </c>
      <c r="G1418" s="53">
        <v>9064821</v>
      </c>
      <c r="H1418" s="58">
        <v>1.63</v>
      </c>
      <c r="R1418" s="53">
        <v>298979</v>
      </c>
      <c r="S1418" s="53">
        <v>99208</v>
      </c>
      <c r="AO1418" s="53">
        <f t="shared" si="267"/>
        <v>14775658.229999999</v>
      </c>
      <c r="AP1418" s="53">
        <f t="shared" si="267"/>
        <v>0</v>
      </c>
      <c r="AQ1418" s="53">
        <f t="shared" si="267"/>
        <v>0</v>
      </c>
      <c r="AR1418" s="53">
        <f t="shared" si="267"/>
        <v>0</v>
      </c>
      <c r="AS1418" s="53">
        <f t="shared" si="267"/>
        <v>0</v>
      </c>
      <c r="AT1418" s="53">
        <f t="shared" si="267"/>
        <v>0</v>
      </c>
      <c r="AU1418" s="53">
        <f t="shared" si="267"/>
        <v>0</v>
      </c>
      <c r="AV1418" s="53">
        <f t="shared" si="267"/>
        <v>0</v>
      </c>
      <c r="AW1418" s="53">
        <f t="shared" si="267"/>
        <v>0</v>
      </c>
      <c r="AX1418" s="53">
        <f t="shared" si="268"/>
        <v>0</v>
      </c>
      <c r="AY1418" s="41" t="s">
        <v>557</v>
      </c>
    </row>
    <row r="1419" spans="1:51" x14ac:dyDescent="0.2">
      <c r="A1419" s="86" t="s">
        <v>647</v>
      </c>
      <c r="B1419" s="41" t="s">
        <v>573</v>
      </c>
      <c r="C1419" s="41" t="s">
        <v>91</v>
      </c>
      <c r="D1419" s="41" t="s">
        <v>88</v>
      </c>
      <c r="E1419" s="41">
        <v>0</v>
      </c>
      <c r="F1419" s="41" t="s">
        <v>9</v>
      </c>
      <c r="G1419" s="53">
        <v>8987373</v>
      </c>
      <c r="H1419" s="58">
        <v>1.26</v>
      </c>
      <c r="R1419" s="53">
        <v>345804</v>
      </c>
      <c r="S1419" s="53">
        <v>106462</v>
      </c>
      <c r="AO1419" s="53">
        <f t="shared" si="267"/>
        <v>11324089.98</v>
      </c>
      <c r="AP1419" s="53">
        <f t="shared" si="267"/>
        <v>0</v>
      </c>
      <c r="AQ1419" s="53">
        <f t="shared" si="267"/>
        <v>0</v>
      </c>
      <c r="AR1419" s="53">
        <f t="shared" si="267"/>
        <v>0</v>
      </c>
      <c r="AS1419" s="53">
        <f t="shared" si="267"/>
        <v>0</v>
      </c>
      <c r="AT1419" s="53">
        <f t="shared" si="267"/>
        <v>0</v>
      </c>
      <c r="AU1419" s="53">
        <f t="shared" si="267"/>
        <v>0</v>
      </c>
      <c r="AV1419" s="53">
        <f t="shared" si="267"/>
        <v>0</v>
      </c>
      <c r="AW1419" s="53">
        <f t="shared" si="267"/>
        <v>0</v>
      </c>
      <c r="AX1419" s="53">
        <f t="shared" si="268"/>
        <v>0</v>
      </c>
      <c r="AY1419" s="41" t="s">
        <v>557</v>
      </c>
    </row>
    <row r="1420" spans="1:51" x14ac:dyDescent="0.2">
      <c r="A1420" s="86" t="s">
        <v>647</v>
      </c>
      <c r="B1420" s="41" t="s">
        <v>580</v>
      </c>
      <c r="C1420" s="41" t="s">
        <v>91</v>
      </c>
      <c r="D1420" s="41" t="s">
        <v>88</v>
      </c>
      <c r="E1420" s="41">
        <v>0</v>
      </c>
      <c r="F1420" s="41" t="s">
        <v>9</v>
      </c>
      <c r="G1420" s="53">
        <v>6203219</v>
      </c>
      <c r="H1420" s="58">
        <v>1.27</v>
      </c>
      <c r="R1420" s="53">
        <v>258762</v>
      </c>
      <c r="S1420" s="53">
        <v>72428</v>
      </c>
      <c r="AO1420" s="53">
        <f t="shared" si="267"/>
        <v>7878088.1299999999</v>
      </c>
      <c r="AP1420" s="53">
        <f t="shared" si="267"/>
        <v>0</v>
      </c>
      <c r="AQ1420" s="53">
        <f t="shared" si="267"/>
        <v>0</v>
      </c>
      <c r="AR1420" s="53">
        <f t="shared" si="267"/>
        <v>0</v>
      </c>
      <c r="AS1420" s="53">
        <f t="shared" si="267"/>
        <v>0</v>
      </c>
      <c r="AT1420" s="53">
        <f t="shared" si="267"/>
        <v>0</v>
      </c>
      <c r="AU1420" s="53">
        <f t="shared" si="267"/>
        <v>0</v>
      </c>
      <c r="AV1420" s="53">
        <f t="shared" si="267"/>
        <v>0</v>
      </c>
      <c r="AW1420" s="53">
        <f t="shared" si="267"/>
        <v>0</v>
      </c>
      <c r="AX1420" s="53">
        <f t="shared" si="268"/>
        <v>0</v>
      </c>
      <c r="AY1420" s="41" t="s">
        <v>557</v>
      </c>
    </row>
    <row r="1421" spans="1:51" x14ac:dyDescent="0.2">
      <c r="A1421" s="86" t="s">
        <v>647</v>
      </c>
      <c r="B1421" s="41" t="s">
        <v>581</v>
      </c>
      <c r="C1421" s="41" t="s">
        <v>91</v>
      </c>
      <c r="D1421" s="41" t="s">
        <v>88</v>
      </c>
      <c r="E1421" s="41">
        <v>0</v>
      </c>
      <c r="F1421" s="41" t="s">
        <v>9</v>
      </c>
      <c r="G1421" s="53">
        <v>5615327</v>
      </c>
      <c r="H1421" s="58">
        <v>1.29</v>
      </c>
      <c r="R1421" s="53">
        <v>214095</v>
      </c>
      <c r="S1421" s="53">
        <v>64592</v>
      </c>
      <c r="AO1421" s="53">
        <f t="shared" si="267"/>
        <v>7243771.8300000001</v>
      </c>
      <c r="AP1421" s="53">
        <f t="shared" si="267"/>
        <v>0</v>
      </c>
      <c r="AQ1421" s="53">
        <f t="shared" si="267"/>
        <v>0</v>
      </c>
      <c r="AR1421" s="53">
        <f t="shared" si="267"/>
        <v>0</v>
      </c>
      <c r="AS1421" s="53">
        <f t="shared" si="267"/>
        <v>0</v>
      </c>
      <c r="AT1421" s="53">
        <f t="shared" si="267"/>
        <v>0</v>
      </c>
      <c r="AU1421" s="53">
        <f t="shared" si="267"/>
        <v>0</v>
      </c>
      <c r="AV1421" s="53">
        <f t="shared" si="267"/>
        <v>0</v>
      </c>
      <c r="AW1421" s="53">
        <f t="shared" si="267"/>
        <v>0</v>
      </c>
      <c r="AX1421" s="53">
        <f t="shared" si="268"/>
        <v>0</v>
      </c>
      <c r="AY1421" s="41" t="s">
        <v>557</v>
      </c>
    </row>
    <row r="1422" spans="1:51" x14ac:dyDescent="0.2">
      <c r="A1422" s="86" t="s">
        <v>647</v>
      </c>
      <c r="B1422" s="41" t="s">
        <v>597</v>
      </c>
      <c r="C1422" s="41" t="s">
        <v>91</v>
      </c>
      <c r="D1422" s="41" t="s">
        <v>88</v>
      </c>
      <c r="E1422" s="41">
        <v>0</v>
      </c>
      <c r="F1422" s="41" t="s">
        <v>9</v>
      </c>
      <c r="G1422" s="53">
        <v>4737667</v>
      </c>
      <c r="H1422" s="58">
        <v>1.29</v>
      </c>
      <c r="R1422" s="53">
        <v>238492</v>
      </c>
      <c r="S1422" s="53">
        <v>67501</v>
      </c>
      <c r="AO1422" s="53">
        <f t="shared" si="267"/>
        <v>6111590.4300000006</v>
      </c>
      <c r="AP1422" s="53">
        <f t="shared" si="267"/>
        <v>0</v>
      </c>
      <c r="AQ1422" s="53">
        <f t="shared" si="267"/>
        <v>0</v>
      </c>
      <c r="AR1422" s="53">
        <f t="shared" si="267"/>
        <v>0</v>
      </c>
      <c r="AS1422" s="53">
        <f t="shared" si="267"/>
        <v>0</v>
      </c>
      <c r="AT1422" s="53">
        <f t="shared" si="267"/>
        <v>0</v>
      </c>
      <c r="AU1422" s="53">
        <f t="shared" si="267"/>
        <v>0</v>
      </c>
      <c r="AV1422" s="53">
        <f t="shared" si="267"/>
        <v>0</v>
      </c>
      <c r="AW1422" s="53">
        <f t="shared" si="267"/>
        <v>0</v>
      </c>
      <c r="AX1422" s="53">
        <f t="shared" si="268"/>
        <v>0</v>
      </c>
      <c r="AY1422" s="41" t="s">
        <v>557</v>
      </c>
    </row>
    <row r="1423" spans="1:51" x14ac:dyDescent="0.2">
      <c r="A1423" s="86" t="s">
        <v>647</v>
      </c>
      <c r="B1423" s="60" t="s">
        <v>248</v>
      </c>
      <c r="C1423" s="60" t="s">
        <v>91</v>
      </c>
      <c r="D1423" s="60" t="s">
        <v>88</v>
      </c>
      <c r="E1423" s="60">
        <v>0</v>
      </c>
      <c r="F1423" s="60" t="s">
        <v>9</v>
      </c>
      <c r="G1423" s="79">
        <f>AVERAGE(G1413:G1422)</f>
        <v>7789518.7999999998</v>
      </c>
      <c r="H1423" s="80">
        <f>AO1423/SUM($G1413:$G1422)</f>
        <v>1.967357335346569</v>
      </c>
      <c r="R1423" s="79">
        <f>AVERAGE(R1413:R1422)</f>
        <v>258432.1</v>
      </c>
      <c r="S1423" s="79">
        <f>AVERAGE(S1413:S1422)</f>
        <v>82026.899999999994</v>
      </c>
      <c r="AO1423" s="79">
        <f>SUM(AO1413:AO1422)</f>
        <v>153247669.50000003</v>
      </c>
      <c r="AP1423" s="79">
        <f t="shared" ref="AP1423:AX1423" si="269">SUM(AP1413:AP1422)</f>
        <v>0</v>
      </c>
      <c r="AQ1423" s="79">
        <f t="shared" si="269"/>
        <v>0</v>
      </c>
      <c r="AR1423" s="79">
        <f t="shared" si="269"/>
        <v>0</v>
      </c>
      <c r="AS1423" s="79">
        <f t="shared" si="269"/>
        <v>0</v>
      </c>
      <c r="AT1423" s="79">
        <f t="shared" si="269"/>
        <v>0</v>
      </c>
      <c r="AU1423" s="79">
        <f t="shared" si="269"/>
        <v>0</v>
      </c>
      <c r="AV1423" s="79">
        <f t="shared" si="269"/>
        <v>0</v>
      </c>
      <c r="AW1423" s="79">
        <f t="shared" si="269"/>
        <v>0</v>
      </c>
      <c r="AX1423" s="79">
        <f t="shared" si="269"/>
        <v>0</v>
      </c>
      <c r="AY1423" s="41" t="s">
        <v>557</v>
      </c>
    </row>
    <row r="1424" spans="1:51" x14ac:dyDescent="0.2">
      <c r="A1424" s="86" t="s">
        <v>647</v>
      </c>
      <c r="B1424" s="43" t="s">
        <v>560</v>
      </c>
      <c r="G1424" s="53">
        <f>STDEV(G1413:G1422)</f>
        <v>1734208.255223423</v>
      </c>
      <c r="H1424" s="46">
        <f>STDEV(H1413:H1422)</f>
        <v>0.74024320327849025</v>
      </c>
      <c r="R1424" s="53">
        <f>STDEV(R1413:R1422)</f>
        <v>38716.491110091323</v>
      </c>
      <c r="S1424" s="53">
        <f>STDEV(S1413:S1422)</f>
        <v>13397.641869208019</v>
      </c>
      <c r="AY1424" s="41" t="s">
        <v>557</v>
      </c>
    </row>
    <row r="1425" spans="1:51" x14ac:dyDescent="0.2">
      <c r="A1425" s="86" t="s">
        <v>647</v>
      </c>
      <c r="B1425" s="81" t="s">
        <v>249</v>
      </c>
      <c r="G1425" s="41">
        <f>COUNT(G1413:G1422)</f>
        <v>10</v>
      </c>
      <c r="H1425" s="41">
        <f>COUNT(H1413:H1422)</f>
        <v>10</v>
      </c>
      <c r="R1425" s="41">
        <f>COUNT(R1413:R1422)</f>
        <v>10</v>
      </c>
      <c r="S1425" s="41">
        <f>COUNT(S1413:S1422)</f>
        <v>10</v>
      </c>
      <c r="AY1425" s="41" t="s">
        <v>557</v>
      </c>
    </row>
    <row r="1426" spans="1:51" x14ac:dyDescent="0.2">
      <c r="A1426" s="82"/>
      <c r="B1426" s="82"/>
      <c r="C1426" s="82"/>
      <c r="D1426" s="82"/>
      <c r="E1426" s="82"/>
      <c r="F1426" s="82"/>
      <c r="G1426" s="82"/>
      <c r="H1426" s="82"/>
      <c r="I1426" s="82"/>
      <c r="J1426" s="82"/>
      <c r="K1426" s="82"/>
      <c r="L1426" s="82"/>
      <c r="M1426" s="82"/>
      <c r="N1426" s="82"/>
      <c r="O1426" s="82"/>
      <c r="P1426" s="82"/>
      <c r="Q1426" s="82"/>
      <c r="R1426" s="82"/>
      <c r="S1426" s="82"/>
      <c r="T1426" s="82"/>
      <c r="U1426" s="82"/>
      <c r="V1426" s="82"/>
      <c r="W1426" s="82"/>
      <c r="X1426" s="82"/>
      <c r="Y1426" s="82"/>
      <c r="Z1426" s="82"/>
      <c r="AA1426" s="82"/>
      <c r="AB1426" s="82"/>
      <c r="AC1426" s="82"/>
      <c r="AD1426" s="82"/>
      <c r="AE1426" s="82"/>
      <c r="AF1426" s="82"/>
      <c r="AG1426" s="82"/>
      <c r="AH1426" s="82"/>
      <c r="AI1426" s="82"/>
      <c r="AJ1426" s="82"/>
      <c r="AK1426" s="82"/>
      <c r="AL1426" s="82"/>
      <c r="AM1426" s="82"/>
      <c r="AN1426" s="82"/>
      <c r="AO1426" s="82"/>
      <c r="AP1426" s="82"/>
      <c r="AQ1426" s="82"/>
      <c r="AR1426" s="82"/>
      <c r="AS1426" s="82"/>
      <c r="AT1426" s="82"/>
      <c r="AU1426" s="82"/>
      <c r="AV1426" s="82"/>
      <c r="AW1426" s="82"/>
      <c r="AX1426" s="82"/>
      <c r="AY1426" s="41" t="s">
        <v>557</v>
      </c>
    </row>
    <row r="1427" spans="1:51" x14ac:dyDescent="0.2">
      <c r="A1427" s="41" t="s">
        <v>112</v>
      </c>
      <c r="B1427" s="41">
        <v>2007</v>
      </c>
      <c r="C1427" s="41" t="s">
        <v>87</v>
      </c>
      <c r="D1427" s="41" t="s">
        <v>113</v>
      </c>
      <c r="E1427" s="41">
        <v>100</v>
      </c>
      <c r="F1427" s="41" t="s">
        <v>9</v>
      </c>
      <c r="AI1427" s="53">
        <v>769708</v>
      </c>
      <c r="AJ1427" s="46">
        <v>0.85159756686951416</v>
      </c>
      <c r="AL1427" s="53">
        <v>2984</v>
      </c>
      <c r="AM1427" s="53">
        <v>6520338</v>
      </c>
      <c r="AO1427" s="53">
        <f>AI1427*AJ1427</f>
        <v>655481.46</v>
      </c>
      <c r="AY1427" s="41" t="s">
        <v>557</v>
      </c>
    </row>
    <row r="1428" spans="1:51" x14ac:dyDescent="0.2">
      <c r="A1428" s="41" t="s">
        <v>112</v>
      </c>
      <c r="B1428" s="41">
        <v>2008</v>
      </c>
      <c r="C1428" s="41" t="s">
        <v>87</v>
      </c>
      <c r="D1428" s="41" t="s">
        <v>113</v>
      </c>
      <c r="E1428" s="41">
        <v>100</v>
      </c>
      <c r="F1428" s="41" t="s">
        <v>9</v>
      </c>
      <c r="AI1428" s="53">
        <v>1941113</v>
      </c>
      <c r="AJ1428" s="46">
        <v>0.9194228465833777</v>
      </c>
      <c r="AL1428" s="53">
        <v>12302</v>
      </c>
      <c r="AM1428" s="53">
        <v>10474826</v>
      </c>
      <c r="AO1428" s="53">
        <f>AI1428*AJ1428</f>
        <v>1784703.6400000001</v>
      </c>
      <c r="AY1428" s="41" t="s">
        <v>557</v>
      </c>
    </row>
    <row r="1429" spans="1:51" x14ac:dyDescent="0.2">
      <c r="A1429" s="41" t="s">
        <v>112</v>
      </c>
      <c r="B1429" s="41">
        <v>2009</v>
      </c>
      <c r="C1429" s="41" t="s">
        <v>87</v>
      </c>
      <c r="D1429" s="41" t="s">
        <v>113</v>
      </c>
      <c r="E1429" s="41">
        <v>100</v>
      </c>
      <c r="F1429" s="41" t="s">
        <v>9</v>
      </c>
      <c r="AO1429" s="53">
        <f t="shared" ref="AO1429:AO1435" si="270">AI1429*AJ1429</f>
        <v>0</v>
      </c>
      <c r="AY1429" s="41" t="s">
        <v>557</v>
      </c>
    </row>
    <row r="1430" spans="1:51" x14ac:dyDescent="0.2">
      <c r="A1430" s="41" t="s">
        <v>112</v>
      </c>
      <c r="B1430" s="41">
        <v>2010</v>
      </c>
      <c r="C1430" s="41" t="s">
        <v>87</v>
      </c>
      <c r="D1430" s="41" t="s">
        <v>113</v>
      </c>
      <c r="E1430" s="41">
        <v>100</v>
      </c>
      <c r="F1430" s="41" t="s">
        <v>9</v>
      </c>
      <c r="AI1430" s="53">
        <v>593686</v>
      </c>
      <c r="AJ1430" s="41">
        <v>0.98</v>
      </c>
      <c r="AL1430" s="53">
        <v>1386</v>
      </c>
      <c r="AM1430" s="53">
        <v>3008755</v>
      </c>
      <c r="AO1430" s="53">
        <f t="shared" si="270"/>
        <v>581812.28</v>
      </c>
      <c r="AY1430" s="41" t="s">
        <v>557</v>
      </c>
    </row>
    <row r="1431" spans="1:51" x14ac:dyDescent="0.2">
      <c r="A1431" s="41" t="s">
        <v>112</v>
      </c>
      <c r="B1431" s="41">
        <v>2011</v>
      </c>
      <c r="C1431" s="41" t="s">
        <v>87</v>
      </c>
      <c r="D1431" s="41" t="s">
        <v>113</v>
      </c>
      <c r="E1431" s="41">
        <v>100</v>
      </c>
      <c r="F1431" s="41" t="s">
        <v>9</v>
      </c>
      <c r="AI1431" s="53">
        <v>2574629</v>
      </c>
      <c r="AJ1431" s="46">
        <v>0.89147498144392834</v>
      </c>
      <c r="AL1431" s="53">
        <v>18085</v>
      </c>
      <c r="AM1431" s="53">
        <v>14304737</v>
      </c>
      <c r="AO1431" s="53">
        <f t="shared" si="270"/>
        <v>2295217.34</v>
      </c>
      <c r="AY1431" s="41" t="s">
        <v>557</v>
      </c>
    </row>
    <row r="1432" spans="1:51" x14ac:dyDescent="0.2">
      <c r="A1432" s="41" t="s">
        <v>112</v>
      </c>
      <c r="B1432" s="41">
        <v>2012</v>
      </c>
      <c r="C1432" s="41" t="s">
        <v>87</v>
      </c>
      <c r="D1432" s="41" t="s">
        <v>113</v>
      </c>
      <c r="E1432" s="41">
        <v>100</v>
      </c>
      <c r="F1432" s="41" t="s">
        <v>9</v>
      </c>
      <c r="AI1432" s="53">
        <v>2852815</v>
      </c>
      <c r="AJ1432" s="46">
        <v>1.0478880649463775</v>
      </c>
      <c r="AL1432" s="53">
        <v>22392</v>
      </c>
      <c r="AM1432" s="53">
        <v>10103686</v>
      </c>
      <c r="AO1432" s="53">
        <f t="shared" si="270"/>
        <v>2989430.79</v>
      </c>
      <c r="AY1432" s="41" t="s">
        <v>557</v>
      </c>
    </row>
    <row r="1433" spans="1:51" x14ac:dyDescent="0.2">
      <c r="A1433" s="41" t="s">
        <v>112</v>
      </c>
      <c r="B1433" s="41">
        <v>2013</v>
      </c>
      <c r="C1433" s="41" t="s">
        <v>87</v>
      </c>
      <c r="D1433" s="41" t="s">
        <v>113</v>
      </c>
      <c r="E1433" s="41">
        <v>100</v>
      </c>
      <c r="F1433" s="41" t="s">
        <v>9</v>
      </c>
      <c r="AI1433" s="53">
        <v>2854754.6885527438</v>
      </c>
      <c r="AJ1433" s="46">
        <v>1.0169146552734925</v>
      </c>
      <c r="AL1433" s="53">
        <v>20056</v>
      </c>
      <c r="AM1433" s="53">
        <v>8853190.2926473804</v>
      </c>
      <c r="AO1433" s="53">
        <f t="shared" si="270"/>
        <v>2903041.88</v>
      </c>
      <c r="AY1433" s="41" t="s">
        <v>557</v>
      </c>
    </row>
    <row r="1434" spans="1:51" x14ac:dyDescent="0.2">
      <c r="A1434" s="41" t="s">
        <v>112</v>
      </c>
      <c r="B1434" s="41">
        <v>2014</v>
      </c>
      <c r="C1434" s="41" t="s">
        <v>87</v>
      </c>
      <c r="D1434" s="41" t="s">
        <v>113</v>
      </c>
      <c r="E1434" s="41">
        <v>100</v>
      </c>
      <c r="F1434" s="41" t="s">
        <v>9</v>
      </c>
      <c r="AI1434" s="53">
        <v>2496085.0574671873</v>
      </c>
      <c r="AJ1434" s="46">
        <v>0.91775718665793671</v>
      </c>
      <c r="AL1434" s="53">
        <v>17845</v>
      </c>
      <c r="AM1434" s="53">
        <v>4471564.25</v>
      </c>
      <c r="AO1434" s="53">
        <f t="shared" si="270"/>
        <v>2290800</v>
      </c>
      <c r="AY1434" s="41" t="s">
        <v>557</v>
      </c>
    </row>
    <row r="1435" spans="1:51" x14ac:dyDescent="0.2">
      <c r="A1435" s="41" t="s">
        <v>112</v>
      </c>
      <c r="B1435" s="41">
        <v>2015</v>
      </c>
      <c r="C1435" s="41" t="s">
        <v>87</v>
      </c>
      <c r="D1435" s="41" t="s">
        <v>113</v>
      </c>
      <c r="E1435" s="41">
        <v>100</v>
      </c>
      <c r="F1435" s="41" t="s">
        <v>9</v>
      </c>
      <c r="AI1435" s="53">
        <v>1596447.1100167569</v>
      </c>
      <c r="AJ1435" s="46">
        <v>0.58999762290284297</v>
      </c>
      <c r="AL1435" s="53">
        <v>8610</v>
      </c>
      <c r="AM1435" s="53">
        <v>2910014.0999999992</v>
      </c>
      <c r="AO1435" s="53">
        <f t="shared" si="270"/>
        <v>941900</v>
      </c>
      <c r="AY1435" s="41" t="s">
        <v>557</v>
      </c>
    </row>
    <row r="1436" spans="1:51" x14ac:dyDescent="0.2">
      <c r="A1436" s="41" t="s">
        <v>112</v>
      </c>
      <c r="B1436" s="60" t="s">
        <v>559</v>
      </c>
      <c r="C1436" s="60" t="s">
        <v>87</v>
      </c>
      <c r="D1436" s="60" t="s">
        <v>113</v>
      </c>
      <c r="E1436" s="60">
        <v>100</v>
      </c>
      <c r="F1436" s="60" t="s">
        <v>9</v>
      </c>
      <c r="AI1436" s="79">
        <f>SUM(AI1427:AI1435)</f>
        <v>15679237.856036689</v>
      </c>
      <c r="AJ1436" s="80">
        <f>AO1436/AI1436</f>
        <v>0.92111539620782734</v>
      </c>
      <c r="AL1436" s="79">
        <f>SUM(AL1427:AL1435)</f>
        <v>103660</v>
      </c>
      <c r="AM1436" s="79">
        <f>SUM(AM1427:AM1435)</f>
        <v>60647110.642647378</v>
      </c>
      <c r="AO1436" s="79">
        <f>SUM(AO1427:AO1435)</f>
        <v>14442387.390000001</v>
      </c>
      <c r="AY1436" s="41" t="s">
        <v>557</v>
      </c>
    </row>
    <row r="1437" spans="1:51" x14ac:dyDescent="0.2">
      <c r="A1437" s="41" t="s">
        <v>112</v>
      </c>
      <c r="B1437" s="43" t="s">
        <v>560</v>
      </c>
      <c r="AI1437" s="53">
        <f>STDEV(AI1427:AI1435)</f>
        <v>900713.75786324928</v>
      </c>
      <c r="AJ1437" s="46">
        <f>STDEV(AJ1427:AJ1435)</f>
        <v>0.14198646941636017</v>
      </c>
      <c r="AL1437" s="53">
        <f>STDEV(AL1427:AL1435)</f>
        <v>7948.7479337494224</v>
      </c>
      <c r="AM1437" s="53">
        <f>STDEV(AM1427:AM1435)</f>
        <v>4054669.4253050219</v>
      </c>
      <c r="AO1437" s="53"/>
      <c r="AP1437" s="53"/>
      <c r="AQ1437" s="53"/>
      <c r="AR1437" s="53"/>
      <c r="AS1437" s="53"/>
      <c r="AT1437" s="53"/>
      <c r="AU1437" s="53"/>
      <c r="AV1437" s="53"/>
      <c r="AW1437" s="53"/>
      <c r="AX1437" s="53"/>
      <c r="AY1437" s="41" t="s">
        <v>557</v>
      </c>
    </row>
    <row r="1438" spans="1:51" x14ac:dyDescent="0.2">
      <c r="A1438" s="41" t="s">
        <v>112</v>
      </c>
      <c r="B1438" s="81" t="s">
        <v>249</v>
      </c>
      <c r="AI1438" s="41">
        <f>COUNT(AI1427:AI1435)</f>
        <v>8</v>
      </c>
      <c r="AJ1438" s="41">
        <f>COUNT(AJ1427:AJ1435)</f>
        <v>8</v>
      </c>
      <c r="AL1438" s="41">
        <f>COUNT(AL1427:AL1435)</f>
        <v>8</v>
      </c>
      <c r="AM1438" s="41">
        <f>COUNT(AM1427:AM1435)</f>
        <v>8</v>
      </c>
      <c r="AO1438" s="53"/>
      <c r="AP1438" s="53"/>
      <c r="AQ1438" s="53"/>
      <c r="AR1438" s="53"/>
      <c r="AS1438" s="53"/>
      <c r="AT1438" s="53"/>
      <c r="AU1438" s="53"/>
      <c r="AV1438" s="53"/>
      <c r="AW1438" s="53"/>
      <c r="AX1438" s="53"/>
      <c r="AY1438" s="41" t="s">
        <v>557</v>
      </c>
    </row>
    <row r="1439" spans="1:51" x14ac:dyDescent="0.2">
      <c r="A1439" s="82"/>
      <c r="B1439" s="82"/>
      <c r="C1439" s="82"/>
      <c r="D1439" s="82"/>
      <c r="E1439" s="82"/>
      <c r="F1439" s="82"/>
      <c r="G1439" s="82"/>
      <c r="H1439" s="82"/>
      <c r="I1439" s="82"/>
      <c r="J1439" s="82"/>
      <c r="K1439" s="82"/>
      <c r="L1439" s="82"/>
      <c r="M1439" s="82"/>
      <c r="N1439" s="82"/>
      <c r="O1439" s="82"/>
      <c r="P1439" s="82"/>
      <c r="Q1439" s="82"/>
      <c r="R1439" s="82"/>
      <c r="S1439" s="82"/>
      <c r="T1439" s="82"/>
      <c r="U1439" s="82"/>
      <c r="V1439" s="82"/>
      <c r="W1439" s="82"/>
      <c r="X1439" s="82"/>
      <c r="Y1439" s="82"/>
      <c r="Z1439" s="82"/>
      <c r="AA1439" s="82"/>
      <c r="AB1439" s="82"/>
      <c r="AC1439" s="82"/>
      <c r="AD1439" s="82"/>
      <c r="AE1439" s="82"/>
      <c r="AF1439" s="82"/>
      <c r="AG1439" s="82"/>
      <c r="AH1439" s="82"/>
      <c r="AI1439" s="82"/>
      <c r="AJ1439" s="82"/>
      <c r="AK1439" s="82"/>
      <c r="AL1439" s="82"/>
      <c r="AM1439" s="82"/>
      <c r="AN1439" s="82"/>
      <c r="AO1439" s="82"/>
      <c r="AP1439" s="82"/>
      <c r="AQ1439" s="82"/>
      <c r="AR1439" s="82"/>
      <c r="AS1439" s="82"/>
      <c r="AT1439" s="82"/>
      <c r="AU1439" s="82"/>
      <c r="AV1439" s="82"/>
      <c r="AW1439" s="82"/>
      <c r="AX1439" s="82"/>
      <c r="AY1439" s="41" t="s">
        <v>557</v>
      </c>
    </row>
    <row r="1440" spans="1:51" x14ac:dyDescent="0.2">
      <c r="A1440" s="41" t="s">
        <v>448</v>
      </c>
      <c r="B1440" s="41">
        <v>2005</v>
      </c>
      <c r="C1440" s="41" t="s">
        <v>87</v>
      </c>
      <c r="D1440" s="41" t="s">
        <v>113</v>
      </c>
      <c r="E1440" s="41">
        <v>100</v>
      </c>
      <c r="F1440" s="41" t="s">
        <v>390</v>
      </c>
      <c r="G1440" s="53">
        <f>14269000*0.9072</f>
        <v>12944836.800000001</v>
      </c>
      <c r="I1440" s="46">
        <f>0.059*31.1/0.9072</f>
        <v>2.0225970017636685</v>
      </c>
      <c r="T1440" s="53">
        <f>550000*31.1/1000</f>
        <v>17105</v>
      </c>
      <c r="AM1440" s="53">
        <f>(23653000-14269000)*0.9072</f>
        <v>8513164.8000000007</v>
      </c>
      <c r="AO1440" s="53">
        <f t="shared" ref="AO1440:AW1451" si="271">$G1440*H1440</f>
        <v>0</v>
      </c>
      <c r="AP1440" s="53">
        <f t="shared" si="271"/>
        <v>26182188.100000001</v>
      </c>
      <c r="AQ1440" s="53">
        <f t="shared" si="271"/>
        <v>0</v>
      </c>
      <c r="AR1440" s="53">
        <f t="shared" si="271"/>
        <v>0</v>
      </c>
      <c r="AS1440" s="53">
        <f t="shared" si="271"/>
        <v>0</v>
      </c>
      <c r="AT1440" s="53">
        <f t="shared" si="271"/>
        <v>0</v>
      </c>
      <c r="AU1440" s="53">
        <f t="shared" si="271"/>
        <v>0</v>
      </c>
      <c r="AV1440" s="53">
        <f t="shared" si="271"/>
        <v>0</v>
      </c>
      <c r="AW1440" s="53">
        <f t="shared" si="271"/>
        <v>0</v>
      </c>
      <c r="AX1440" s="53">
        <f t="shared" ref="AX1440:AX1451" si="272">$G1440*E1440</f>
        <v>1294483680</v>
      </c>
      <c r="AY1440" s="41" t="s">
        <v>557</v>
      </c>
    </row>
    <row r="1441" spans="1:51" x14ac:dyDescent="0.2">
      <c r="A1441" s="41" t="s">
        <v>448</v>
      </c>
      <c r="B1441" s="41">
        <v>2006</v>
      </c>
      <c r="C1441" s="41" t="s">
        <v>87</v>
      </c>
      <c r="D1441" s="41" t="s">
        <v>113</v>
      </c>
      <c r="E1441" s="41">
        <v>100</v>
      </c>
      <c r="F1441" s="41" t="s">
        <v>390</v>
      </c>
      <c r="G1441" s="53">
        <f>16115000*0.9072</f>
        <v>14619528</v>
      </c>
      <c r="I1441" s="46">
        <f>0.067*31.1/0.9072</f>
        <v>2.2968474426807766</v>
      </c>
      <c r="T1441" s="53">
        <f>793000*31.1/1000</f>
        <v>24662.3</v>
      </c>
      <c r="AM1441" s="53">
        <f>(20192000-16115000)*0.9072</f>
        <v>3698654.4</v>
      </c>
      <c r="AO1441" s="53">
        <f t="shared" si="271"/>
        <v>0</v>
      </c>
      <c r="AP1441" s="53">
        <f t="shared" si="271"/>
        <v>33578825.500000007</v>
      </c>
      <c r="AQ1441" s="53">
        <f t="shared" si="271"/>
        <v>0</v>
      </c>
      <c r="AR1441" s="53">
        <f t="shared" si="271"/>
        <v>0</v>
      </c>
      <c r="AS1441" s="53">
        <f t="shared" si="271"/>
        <v>0</v>
      </c>
      <c r="AT1441" s="53">
        <f t="shared" si="271"/>
        <v>0</v>
      </c>
      <c r="AU1441" s="53">
        <f t="shared" si="271"/>
        <v>0</v>
      </c>
      <c r="AV1441" s="53">
        <f t="shared" si="271"/>
        <v>0</v>
      </c>
      <c r="AW1441" s="53">
        <f t="shared" si="271"/>
        <v>0</v>
      </c>
      <c r="AX1441" s="53">
        <f t="shared" si="272"/>
        <v>1461952800</v>
      </c>
      <c r="AY1441" s="41" t="s">
        <v>557</v>
      </c>
    </row>
    <row r="1442" spans="1:51" x14ac:dyDescent="0.2">
      <c r="A1442" s="41" t="s">
        <v>448</v>
      </c>
      <c r="B1442" s="41">
        <v>2007</v>
      </c>
      <c r="C1442" s="41" t="s">
        <v>87</v>
      </c>
      <c r="D1442" s="41" t="s">
        <v>113</v>
      </c>
      <c r="E1442" s="41">
        <v>100</v>
      </c>
      <c r="F1442" s="41" t="s">
        <v>390</v>
      </c>
      <c r="G1442" s="53">
        <f>15316000*0.9072</f>
        <v>13894675.199999999</v>
      </c>
      <c r="I1442" s="46">
        <f>0.062*31.1/0.9072</f>
        <v>2.1254409171075839</v>
      </c>
      <c r="T1442" s="53">
        <f>804000*31.1/1000</f>
        <v>25004.400000000001</v>
      </c>
      <c r="AM1442" s="53">
        <f>(18577000-15316000)*0.9072</f>
        <v>2958379.2</v>
      </c>
      <c r="AO1442" s="53">
        <f t="shared" si="271"/>
        <v>0</v>
      </c>
      <c r="AP1442" s="53">
        <f t="shared" si="271"/>
        <v>29532311.199999999</v>
      </c>
      <c r="AQ1442" s="53">
        <f t="shared" si="271"/>
        <v>0</v>
      </c>
      <c r="AR1442" s="53">
        <f t="shared" si="271"/>
        <v>0</v>
      </c>
      <c r="AS1442" s="53">
        <f t="shared" si="271"/>
        <v>0</v>
      </c>
      <c r="AT1442" s="53">
        <f t="shared" si="271"/>
        <v>0</v>
      </c>
      <c r="AU1442" s="53">
        <f t="shared" si="271"/>
        <v>0</v>
      </c>
      <c r="AV1442" s="53">
        <f t="shared" si="271"/>
        <v>0</v>
      </c>
      <c r="AW1442" s="53">
        <f t="shared" si="271"/>
        <v>0</v>
      </c>
      <c r="AX1442" s="53">
        <f t="shared" si="272"/>
        <v>1389467520</v>
      </c>
      <c r="AY1442" s="41" t="s">
        <v>557</v>
      </c>
    </row>
    <row r="1443" spans="1:51" x14ac:dyDescent="0.2">
      <c r="A1443" s="41" t="s">
        <v>448</v>
      </c>
      <c r="B1443" s="41">
        <v>2008</v>
      </c>
      <c r="C1443" s="41" t="s">
        <v>87</v>
      </c>
      <c r="D1443" s="41" t="s">
        <v>113</v>
      </c>
      <c r="E1443" s="41">
        <v>100</v>
      </c>
      <c r="F1443" s="41" t="s">
        <v>390</v>
      </c>
      <c r="G1443" s="53">
        <f>25203000*0.9072</f>
        <v>22864161.600000001</v>
      </c>
      <c r="I1443" s="46">
        <f>0.055*31.1/0.9072</f>
        <v>1.8854717813051147</v>
      </c>
      <c r="T1443" s="53">
        <f>1175000*31.1/1000</f>
        <v>36542.5</v>
      </c>
      <c r="AM1443" s="53">
        <f>(27245000-25203000)*0.9072</f>
        <v>1852502.4</v>
      </c>
      <c r="AO1443" s="53">
        <f t="shared" si="271"/>
        <v>0</v>
      </c>
      <c r="AP1443" s="53">
        <f t="shared" si="271"/>
        <v>43109731.500000007</v>
      </c>
      <c r="AQ1443" s="53">
        <f t="shared" si="271"/>
        <v>0</v>
      </c>
      <c r="AR1443" s="53">
        <f t="shared" si="271"/>
        <v>0</v>
      </c>
      <c r="AS1443" s="53">
        <f t="shared" si="271"/>
        <v>0</v>
      </c>
      <c r="AT1443" s="53">
        <f t="shared" si="271"/>
        <v>0</v>
      </c>
      <c r="AU1443" s="53">
        <f t="shared" si="271"/>
        <v>0</v>
      </c>
      <c r="AV1443" s="53">
        <f t="shared" si="271"/>
        <v>0</v>
      </c>
      <c r="AW1443" s="53">
        <f t="shared" si="271"/>
        <v>0</v>
      </c>
      <c r="AX1443" s="53">
        <f t="shared" si="272"/>
        <v>2286416160</v>
      </c>
      <c r="AY1443" s="41" t="s">
        <v>557</v>
      </c>
    </row>
    <row r="1444" spans="1:51" x14ac:dyDescent="0.2">
      <c r="A1444" s="41" t="s">
        <v>448</v>
      </c>
      <c r="B1444" s="41">
        <v>2009</v>
      </c>
      <c r="C1444" s="41" t="s">
        <v>87</v>
      </c>
      <c r="D1444" s="41" t="s">
        <v>113</v>
      </c>
      <c r="E1444" s="41">
        <v>100</v>
      </c>
      <c r="F1444" s="41" t="s">
        <v>390</v>
      </c>
      <c r="G1444" s="53">
        <f>25313000*0.9072</f>
        <v>22963953.600000001</v>
      </c>
      <c r="I1444" s="46">
        <f>0.048*31.1/0.9072</f>
        <v>1.6455026455026456</v>
      </c>
      <c r="T1444" s="53">
        <f>1007000*31.1/1000</f>
        <v>31317.7</v>
      </c>
      <c r="AM1444" s="53">
        <f>(30395000-25313000)*0.9072</f>
        <v>4610390.4000000004</v>
      </c>
      <c r="AO1444" s="53">
        <f t="shared" si="271"/>
        <v>0</v>
      </c>
      <c r="AP1444" s="53">
        <f t="shared" si="271"/>
        <v>37787246.400000006</v>
      </c>
      <c r="AQ1444" s="53">
        <f t="shared" si="271"/>
        <v>0</v>
      </c>
      <c r="AR1444" s="53">
        <f t="shared" si="271"/>
        <v>0</v>
      </c>
      <c r="AS1444" s="53">
        <f t="shared" si="271"/>
        <v>0</v>
      </c>
      <c r="AT1444" s="53">
        <f t="shared" si="271"/>
        <v>0</v>
      </c>
      <c r="AU1444" s="53">
        <f t="shared" si="271"/>
        <v>0</v>
      </c>
      <c r="AV1444" s="53">
        <f t="shared" si="271"/>
        <v>0</v>
      </c>
      <c r="AW1444" s="53">
        <f t="shared" si="271"/>
        <v>0</v>
      </c>
      <c r="AX1444" s="53">
        <f t="shared" si="272"/>
        <v>2296395360</v>
      </c>
      <c r="AY1444" s="41" t="s">
        <v>557</v>
      </c>
    </row>
    <row r="1445" spans="1:51" x14ac:dyDescent="0.2">
      <c r="A1445" s="41" t="s">
        <v>448</v>
      </c>
      <c r="B1445" s="41">
        <v>2010</v>
      </c>
      <c r="C1445" s="41" t="s">
        <v>87</v>
      </c>
      <c r="D1445" s="41" t="s">
        <v>113</v>
      </c>
      <c r="E1445" s="41">
        <v>100</v>
      </c>
      <c r="F1445" s="41" t="s">
        <v>390</v>
      </c>
      <c r="G1445" s="53">
        <f>22052000*0.9072</f>
        <v>20005574.399999999</v>
      </c>
      <c r="I1445" s="46">
        <f>0.039*31.1/0.9072</f>
        <v>1.3369708994708995</v>
      </c>
      <c r="T1445" s="53">
        <f>808000*31.1/1000</f>
        <v>25128.799999999999</v>
      </c>
      <c r="AM1445" s="53">
        <f>(29376000-22052000)*0.9072</f>
        <v>6644332.7999999998</v>
      </c>
      <c r="AO1445" s="53">
        <f t="shared" si="271"/>
        <v>0</v>
      </c>
      <c r="AP1445" s="53">
        <f t="shared" si="271"/>
        <v>26746870.800000001</v>
      </c>
      <c r="AQ1445" s="53">
        <f t="shared" si="271"/>
        <v>0</v>
      </c>
      <c r="AR1445" s="53">
        <f t="shared" si="271"/>
        <v>0</v>
      </c>
      <c r="AS1445" s="53">
        <f t="shared" si="271"/>
        <v>0</v>
      </c>
      <c r="AT1445" s="53">
        <f t="shared" si="271"/>
        <v>0</v>
      </c>
      <c r="AU1445" s="53">
        <f t="shared" si="271"/>
        <v>0</v>
      </c>
      <c r="AV1445" s="53">
        <f t="shared" si="271"/>
        <v>0</v>
      </c>
      <c r="AW1445" s="53">
        <f t="shared" si="271"/>
        <v>0</v>
      </c>
      <c r="AX1445" s="53">
        <f t="shared" si="272"/>
        <v>2000557439.9999998</v>
      </c>
      <c r="AY1445" s="41" t="s">
        <v>557</v>
      </c>
    </row>
    <row r="1446" spans="1:51" x14ac:dyDescent="0.2">
      <c r="A1446" s="41" t="s">
        <v>448</v>
      </c>
      <c r="B1446" s="41">
        <v>2011</v>
      </c>
      <c r="C1446" s="41" t="s">
        <v>87</v>
      </c>
      <c r="D1446" s="41" t="s">
        <v>113</v>
      </c>
      <c r="E1446" s="41">
        <v>100</v>
      </c>
      <c r="F1446" s="41" t="s">
        <v>390</v>
      </c>
      <c r="G1446" s="53">
        <f>21334000*0.9072</f>
        <v>19354204.800000001</v>
      </c>
      <c r="I1446" s="46">
        <f>0.043*31.1/0.9072</f>
        <v>1.4740961199294531</v>
      </c>
      <c r="T1446" s="53">
        <f>763000*31.1/1000</f>
        <v>23729.3</v>
      </c>
      <c r="AM1446" s="53">
        <f>(30898000-21334000)*0.9072</f>
        <v>8676460.8000000007</v>
      </c>
      <c r="AO1446" s="53">
        <f t="shared" si="271"/>
        <v>0</v>
      </c>
      <c r="AP1446" s="53">
        <f t="shared" si="271"/>
        <v>28529958.199999999</v>
      </c>
      <c r="AQ1446" s="53">
        <f t="shared" si="271"/>
        <v>0</v>
      </c>
      <c r="AR1446" s="53">
        <f t="shared" si="271"/>
        <v>0</v>
      </c>
      <c r="AS1446" s="53">
        <f t="shared" si="271"/>
        <v>0</v>
      </c>
      <c r="AT1446" s="53">
        <f t="shared" si="271"/>
        <v>0</v>
      </c>
      <c r="AU1446" s="53">
        <f t="shared" si="271"/>
        <v>0</v>
      </c>
      <c r="AV1446" s="53">
        <f t="shared" si="271"/>
        <v>0</v>
      </c>
      <c r="AW1446" s="53">
        <f t="shared" si="271"/>
        <v>0</v>
      </c>
      <c r="AX1446" s="53">
        <f t="shared" si="272"/>
        <v>1935420480</v>
      </c>
      <c r="AY1446" s="41" t="s">
        <v>557</v>
      </c>
    </row>
    <row r="1447" spans="1:51" x14ac:dyDescent="0.2">
      <c r="A1447" s="41" t="s">
        <v>448</v>
      </c>
      <c r="B1447" s="41">
        <v>2012</v>
      </c>
      <c r="C1447" s="41" t="s">
        <v>87</v>
      </c>
      <c r="D1447" s="41" t="s">
        <v>113</v>
      </c>
      <c r="E1447" s="41">
        <v>100</v>
      </c>
      <c r="F1447" s="41" t="s">
        <v>390</v>
      </c>
      <c r="G1447" s="53">
        <f>22634000*0.9072</f>
        <v>20533564.800000001</v>
      </c>
      <c r="I1447" s="46">
        <f>0.037*31.1/0.9072</f>
        <v>1.2684082892416226</v>
      </c>
      <c r="T1447" s="53">
        <f>754000*31.1/1000</f>
        <v>23449.4</v>
      </c>
      <c r="AM1447" s="53">
        <f>(34421000-22634000)*0.9072</f>
        <v>10693166.4</v>
      </c>
      <c r="AO1447" s="53">
        <f t="shared" si="271"/>
        <v>0</v>
      </c>
      <c r="AP1447" s="53">
        <f t="shared" si="271"/>
        <v>26044943.800000001</v>
      </c>
      <c r="AQ1447" s="53">
        <f t="shared" si="271"/>
        <v>0</v>
      </c>
      <c r="AR1447" s="53">
        <f t="shared" si="271"/>
        <v>0</v>
      </c>
      <c r="AS1447" s="53">
        <f t="shared" si="271"/>
        <v>0</v>
      </c>
      <c r="AT1447" s="53">
        <f t="shared" si="271"/>
        <v>0</v>
      </c>
      <c r="AU1447" s="53">
        <f t="shared" si="271"/>
        <v>0</v>
      </c>
      <c r="AV1447" s="53">
        <f t="shared" si="271"/>
        <v>0</v>
      </c>
      <c r="AW1447" s="53">
        <f t="shared" si="271"/>
        <v>0</v>
      </c>
      <c r="AX1447" s="53">
        <f t="shared" si="272"/>
        <v>2053356480</v>
      </c>
      <c r="AY1447" s="41" t="s">
        <v>557</v>
      </c>
    </row>
    <row r="1448" spans="1:51" x14ac:dyDescent="0.2">
      <c r="A1448" s="41" t="s">
        <v>448</v>
      </c>
      <c r="B1448" s="41">
        <v>2013</v>
      </c>
      <c r="C1448" s="41" t="s">
        <v>87</v>
      </c>
      <c r="D1448" s="41" t="s">
        <v>113</v>
      </c>
      <c r="E1448" s="41">
        <v>100</v>
      </c>
      <c r="F1448" s="41" t="s">
        <v>390</v>
      </c>
      <c r="G1448" s="53">
        <v>21089000</v>
      </c>
      <c r="I1448" s="41">
        <v>1.06</v>
      </c>
      <c r="T1448" s="53">
        <f>606000*31.1/1000</f>
        <v>18846.599999999999</v>
      </c>
      <c r="AM1448" s="53">
        <f>36934000-21089000</f>
        <v>15845000</v>
      </c>
      <c r="AO1448" s="53">
        <f t="shared" si="271"/>
        <v>0</v>
      </c>
      <c r="AP1448" s="53">
        <f t="shared" si="271"/>
        <v>22354340</v>
      </c>
      <c r="AQ1448" s="53">
        <f t="shared" si="271"/>
        <v>0</v>
      </c>
      <c r="AR1448" s="53">
        <f t="shared" si="271"/>
        <v>0</v>
      </c>
      <c r="AS1448" s="53">
        <f t="shared" si="271"/>
        <v>0</v>
      </c>
      <c r="AT1448" s="53">
        <f t="shared" si="271"/>
        <v>0</v>
      </c>
      <c r="AU1448" s="53">
        <f t="shared" si="271"/>
        <v>0</v>
      </c>
      <c r="AV1448" s="53">
        <f t="shared" si="271"/>
        <v>0</v>
      </c>
      <c r="AW1448" s="53">
        <f t="shared" si="271"/>
        <v>0</v>
      </c>
      <c r="AX1448" s="53">
        <f t="shared" si="272"/>
        <v>2108900000</v>
      </c>
      <c r="AY1448" s="41" t="s">
        <v>557</v>
      </c>
    </row>
    <row r="1449" spans="1:51" x14ac:dyDescent="0.2">
      <c r="A1449" s="41" t="s">
        <v>448</v>
      </c>
      <c r="B1449" s="41">
        <v>2014</v>
      </c>
      <c r="C1449" s="41" t="s">
        <v>87</v>
      </c>
      <c r="D1449" s="41" t="s">
        <v>113</v>
      </c>
      <c r="E1449" s="41">
        <v>100</v>
      </c>
      <c r="F1449" s="41" t="s">
        <v>390</v>
      </c>
      <c r="G1449" s="53">
        <v>22110000</v>
      </c>
      <c r="I1449" s="41">
        <v>0.99</v>
      </c>
      <c r="T1449" s="53">
        <f>582000*31.1/1000</f>
        <v>18100.2</v>
      </c>
      <c r="AM1449" s="53">
        <f>50030000-22110000</f>
        <v>27920000</v>
      </c>
      <c r="AO1449" s="53">
        <f t="shared" si="271"/>
        <v>0</v>
      </c>
      <c r="AP1449" s="53">
        <f t="shared" si="271"/>
        <v>21888900</v>
      </c>
      <c r="AQ1449" s="53">
        <f t="shared" si="271"/>
        <v>0</v>
      </c>
      <c r="AR1449" s="53">
        <f t="shared" si="271"/>
        <v>0</v>
      </c>
      <c r="AS1449" s="53">
        <f t="shared" si="271"/>
        <v>0</v>
      </c>
      <c r="AT1449" s="53">
        <f t="shared" si="271"/>
        <v>0</v>
      </c>
      <c r="AU1449" s="53">
        <f t="shared" si="271"/>
        <v>0</v>
      </c>
      <c r="AV1449" s="53">
        <f t="shared" si="271"/>
        <v>0</v>
      </c>
      <c r="AW1449" s="53">
        <f t="shared" si="271"/>
        <v>0</v>
      </c>
      <c r="AX1449" s="53">
        <f t="shared" si="272"/>
        <v>2211000000</v>
      </c>
      <c r="AY1449" s="41" t="s">
        <v>557</v>
      </c>
    </row>
    <row r="1450" spans="1:51" x14ac:dyDescent="0.2">
      <c r="A1450" s="41" t="s">
        <v>448</v>
      </c>
      <c r="B1450" s="41">
        <v>2015</v>
      </c>
      <c r="C1450" s="41" t="s">
        <v>87</v>
      </c>
      <c r="D1450" s="41" t="s">
        <v>113</v>
      </c>
      <c r="E1450" s="41">
        <v>100</v>
      </c>
      <c r="F1450" s="41" t="s">
        <v>390</v>
      </c>
      <c r="G1450" s="53">
        <v>21880000</v>
      </c>
      <c r="I1450" s="41">
        <v>1.02</v>
      </c>
      <c r="T1450" s="53">
        <f>560000*31.1/1000</f>
        <v>17416</v>
      </c>
      <c r="AM1450" s="53">
        <f>49126000-21880000</f>
        <v>27246000</v>
      </c>
      <c r="AO1450" s="53">
        <f t="shared" si="271"/>
        <v>0</v>
      </c>
      <c r="AP1450" s="53">
        <f t="shared" si="271"/>
        <v>22317600</v>
      </c>
      <c r="AQ1450" s="53">
        <f t="shared" si="271"/>
        <v>0</v>
      </c>
      <c r="AR1450" s="53">
        <f t="shared" si="271"/>
        <v>0</v>
      </c>
      <c r="AS1450" s="53">
        <f t="shared" si="271"/>
        <v>0</v>
      </c>
      <c r="AT1450" s="53">
        <f t="shared" si="271"/>
        <v>0</v>
      </c>
      <c r="AU1450" s="53">
        <f t="shared" si="271"/>
        <v>0</v>
      </c>
      <c r="AV1450" s="53">
        <f t="shared" si="271"/>
        <v>0</v>
      </c>
      <c r="AW1450" s="53">
        <f t="shared" si="271"/>
        <v>0</v>
      </c>
      <c r="AX1450" s="53">
        <f t="shared" si="272"/>
        <v>2188000000</v>
      </c>
      <c r="AY1450" s="41" t="s">
        <v>557</v>
      </c>
    </row>
    <row r="1451" spans="1:51" x14ac:dyDescent="0.2">
      <c r="A1451" s="41" t="s">
        <v>448</v>
      </c>
      <c r="B1451" s="41">
        <v>2016</v>
      </c>
      <c r="C1451" s="41" t="s">
        <v>87</v>
      </c>
      <c r="D1451" s="41" t="s">
        <v>113</v>
      </c>
      <c r="E1451" s="41">
        <v>100</v>
      </c>
      <c r="F1451" s="41" t="s">
        <v>390</v>
      </c>
      <c r="G1451" s="53">
        <v>17253000</v>
      </c>
      <c r="I1451" s="41">
        <v>1.1200000000000001</v>
      </c>
      <c r="T1451" s="53">
        <f>435000*31.1/1000</f>
        <v>13528.5</v>
      </c>
      <c r="AM1451" s="53">
        <f>40847000-17253000</f>
        <v>23594000</v>
      </c>
      <c r="AO1451" s="53">
        <f t="shared" si="271"/>
        <v>0</v>
      </c>
      <c r="AP1451" s="53">
        <f t="shared" si="271"/>
        <v>19323360</v>
      </c>
      <c r="AQ1451" s="53">
        <f t="shared" si="271"/>
        <v>0</v>
      </c>
      <c r="AR1451" s="53">
        <f t="shared" si="271"/>
        <v>0</v>
      </c>
      <c r="AS1451" s="53">
        <f t="shared" si="271"/>
        <v>0</v>
      </c>
      <c r="AT1451" s="53">
        <f t="shared" si="271"/>
        <v>0</v>
      </c>
      <c r="AU1451" s="53">
        <f t="shared" si="271"/>
        <v>0</v>
      </c>
      <c r="AV1451" s="53">
        <f t="shared" si="271"/>
        <v>0</v>
      </c>
      <c r="AW1451" s="53">
        <f t="shared" si="271"/>
        <v>0</v>
      </c>
      <c r="AX1451" s="53">
        <f t="shared" si="272"/>
        <v>1725300000</v>
      </c>
      <c r="AY1451" s="41" t="s">
        <v>557</v>
      </c>
    </row>
    <row r="1452" spans="1:51" x14ac:dyDescent="0.2">
      <c r="A1452" s="41" t="s">
        <v>448</v>
      </c>
      <c r="B1452" s="60" t="s">
        <v>559</v>
      </c>
      <c r="C1452" s="60" t="s">
        <v>87</v>
      </c>
      <c r="D1452" s="60" t="s">
        <v>113</v>
      </c>
      <c r="E1452" s="60">
        <v>100</v>
      </c>
      <c r="F1452" s="60" t="s">
        <v>390</v>
      </c>
      <c r="G1452" s="79">
        <f>SUM(G1440:G1450)+0.75*G1451</f>
        <v>225199249.19999999</v>
      </c>
      <c r="I1452" s="80">
        <f>AP1452/$G1452</f>
        <v>1.4767608536947112</v>
      </c>
      <c r="T1452" s="79">
        <f>SUM(T1440:T1450)+0.75*T1451</f>
        <v>271448.57500000001</v>
      </c>
      <c r="AM1452" s="79">
        <f>SUM(AM1440:AM1450)+0.75*AM1451</f>
        <v>136353551.19999999</v>
      </c>
      <c r="AO1452" s="79">
        <f t="shared" ref="AO1452:AX1452" si="273">SUM(AO1440:AO1450)+0.75*AO1451</f>
        <v>0</v>
      </c>
      <c r="AP1452" s="79">
        <f t="shared" si="273"/>
        <v>332565435.5</v>
      </c>
      <c r="AQ1452" s="79">
        <f t="shared" si="273"/>
        <v>0</v>
      </c>
      <c r="AR1452" s="79">
        <f t="shared" si="273"/>
        <v>0</v>
      </c>
      <c r="AS1452" s="79">
        <f t="shared" si="273"/>
        <v>0</v>
      </c>
      <c r="AT1452" s="79">
        <f t="shared" si="273"/>
        <v>0</v>
      </c>
      <c r="AU1452" s="79">
        <f t="shared" si="273"/>
        <v>0</v>
      </c>
      <c r="AV1452" s="79">
        <f t="shared" si="273"/>
        <v>0</v>
      </c>
      <c r="AW1452" s="79">
        <f t="shared" si="273"/>
        <v>0</v>
      </c>
      <c r="AX1452" s="79">
        <f t="shared" si="273"/>
        <v>22519924920</v>
      </c>
      <c r="AY1452" s="41" t="s">
        <v>557</v>
      </c>
    </row>
    <row r="1453" spans="1:51" x14ac:dyDescent="0.2">
      <c r="A1453" s="41" t="s">
        <v>448</v>
      </c>
      <c r="B1453" s="43" t="s">
        <v>560</v>
      </c>
      <c r="G1453" s="53">
        <f>STDEV(G1440:G1451)</f>
        <v>3583330.151735343</v>
      </c>
      <c r="I1453" s="46">
        <f>STDEV(I1440:I1451)</f>
        <v>0.4645014699338792</v>
      </c>
      <c r="T1453" s="53">
        <f>STDEV(T1440:T1451)</f>
        <v>6476.6444369481496</v>
      </c>
      <c r="AM1453" s="53">
        <f>STDEV(AM1440:AM1451)</f>
        <v>9518753.5823089089</v>
      </c>
      <c r="AY1453" s="41" t="s">
        <v>557</v>
      </c>
    </row>
    <row r="1454" spans="1:51" x14ac:dyDescent="0.2">
      <c r="A1454" s="41" t="s">
        <v>448</v>
      </c>
      <c r="B1454" s="81" t="s">
        <v>249</v>
      </c>
      <c r="G1454" s="41">
        <f>COUNT(G1440:G1451)</f>
        <v>12</v>
      </c>
      <c r="I1454" s="41">
        <f>COUNT(I1440:I1451)</f>
        <v>12</v>
      </c>
      <c r="T1454" s="41">
        <f>COUNT(T1440:T1451)</f>
        <v>12</v>
      </c>
      <c r="AM1454" s="41">
        <f>COUNT(AM1440:AM1451)</f>
        <v>12</v>
      </c>
      <c r="AY1454" s="41" t="s">
        <v>557</v>
      </c>
    </row>
    <row r="1455" spans="1:51" x14ac:dyDescent="0.2">
      <c r="A1455" s="82"/>
      <c r="B1455" s="82"/>
      <c r="C1455" s="82"/>
      <c r="D1455" s="82"/>
      <c r="E1455" s="82"/>
      <c r="F1455" s="82"/>
      <c r="G1455" s="82"/>
      <c r="H1455" s="82"/>
      <c r="I1455" s="82"/>
      <c r="J1455" s="82"/>
      <c r="K1455" s="82"/>
      <c r="L1455" s="82"/>
      <c r="M1455" s="82"/>
      <c r="N1455" s="82"/>
      <c r="O1455" s="82"/>
      <c r="P1455" s="82"/>
      <c r="Q1455" s="82"/>
      <c r="R1455" s="82"/>
      <c r="S1455" s="82"/>
      <c r="T1455" s="82"/>
      <c r="U1455" s="82"/>
      <c r="V1455" s="82"/>
      <c r="W1455" s="82"/>
      <c r="X1455" s="82"/>
      <c r="Y1455" s="82"/>
      <c r="Z1455" s="82"/>
      <c r="AA1455" s="82"/>
      <c r="AB1455" s="82"/>
      <c r="AC1455" s="82"/>
      <c r="AD1455" s="82"/>
      <c r="AE1455" s="82"/>
      <c r="AF1455" s="82"/>
      <c r="AG1455" s="82"/>
      <c r="AH1455" s="82"/>
      <c r="AI1455" s="82"/>
      <c r="AJ1455" s="82"/>
      <c r="AK1455" s="82"/>
      <c r="AL1455" s="82"/>
      <c r="AM1455" s="82"/>
      <c r="AN1455" s="82"/>
      <c r="AO1455" s="82"/>
      <c r="AP1455" s="82"/>
      <c r="AQ1455" s="82"/>
      <c r="AR1455" s="82"/>
      <c r="AS1455" s="82"/>
      <c r="AT1455" s="82"/>
      <c r="AU1455" s="82"/>
      <c r="AV1455" s="82"/>
      <c r="AW1455" s="82"/>
      <c r="AX1455" s="82"/>
      <c r="AY1455" s="41" t="s">
        <v>557</v>
      </c>
    </row>
    <row r="1456" spans="1:51" x14ac:dyDescent="0.2">
      <c r="A1456" s="41" t="s">
        <v>223</v>
      </c>
      <c r="B1456" s="41">
        <v>2006</v>
      </c>
      <c r="C1456" s="41" t="s">
        <v>87</v>
      </c>
      <c r="D1456" s="41" t="s">
        <v>175</v>
      </c>
      <c r="E1456" s="41">
        <v>100</v>
      </c>
      <c r="F1456" s="41" t="s">
        <v>9</v>
      </c>
      <c r="AM1456" s="53">
        <f>7900000*2.6</f>
        <v>20540000</v>
      </c>
      <c r="AO1456" s="53">
        <f t="shared" ref="AO1456:AW1467" si="274">$G1456*H1456</f>
        <v>0</v>
      </c>
      <c r="AP1456" s="53">
        <f t="shared" si="274"/>
        <v>0</v>
      </c>
      <c r="AQ1456" s="53">
        <f t="shared" si="274"/>
        <v>0</v>
      </c>
      <c r="AR1456" s="53">
        <f t="shared" si="274"/>
        <v>0</v>
      </c>
      <c r="AS1456" s="53">
        <f t="shared" si="274"/>
        <v>0</v>
      </c>
      <c r="AT1456" s="53">
        <f t="shared" si="274"/>
        <v>0</v>
      </c>
      <c r="AU1456" s="53">
        <f t="shared" si="274"/>
        <v>0</v>
      </c>
      <c r="AV1456" s="53">
        <f t="shared" si="274"/>
        <v>0</v>
      </c>
      <c r="AW1456" s="53">
        <f t="shared" si="274"/>
        <v>0</v>
      </c>
      <c r="AX1456" s="53">
        <f t="shared" ref="AX1456:AX1467" si="275">$G1456*E1456</f>
        <v>0</v>
      </c>
      <c r="AY1456" s="41" t="s">
        <v>557</v>
      </c>
    </row>
    <row r="1457" spans="1:51" x14ac:dyDescent="0.2">
      <c r="A1457" s="41" t="s">
        <v>223</v>
      </c>
      <c r="B1457" s="41">
        <v>2007</v>
      </c>
      <c r="C1457" s="41" t="s">
        <v>87</v>
      </c>
      <c r="D1457" s="41" t="s">
        <v>175</v>
      </c>
      <c r="E1457" s="41">
        <v>100</v>
      </c>
      <c r="F1457" s="41" t="s">
        <v>9</v>
      </c>
      <c r="AM1457" s="53">
        <f>19900000*2.6</f>
        <v>51740000</v>
      </c>
      <c r="AO1457" s="53">
        <f t="shared" si="274"/>
        <v>0</v>
      </c>
      <c r="AP1457" s="53">
        <f t="shared" si="274"/>
        <v>0</v>
      </c>
      <c r="AQ1457" s="53">
        <f t="shared" si="274"/>
        <v>0</v>
      </c>
      <c r="AR1457" s="53">
        <f t="shared" si="274"/>
        <v>0</v>
      </c>
      <c r="AS1457" s="53">
        <f t="shared" si="274"/>
        <v>0</v>
      </c>
      <c r="AT1457" s="53">
        <f t="shared" si="274"/>
        <v>0</v>
      </c>
      <c r="AU1457" s="53">
        <f t="shared" si="274"/>
        <v>0</v>
      </c>
      <c r="AV1457" s="53">
        <f t="shared" si="274"/>
        <v>0</v>
      </c>
      <c r="AW1457" s="53">
        <f t="shared" si="274"/>
        <v>0</v>
      </c>
      <c r="AX1457" s="53">
        <f t="shared" si="275"/>
        <v>0</v>
      </c>
      <c r="AY1457" s="41" t="s">
        <v>557</v>
      </c>
    </row>
    <row r="1458" spans="1:51" x14ac:dyDescent="0.2">
      <c r="A1458" s="41" t="s">
        <v>223</v>
      </c>
      <c r="B1458" s="41">
        <v>2008</v>
      </c>
      <c r="C1458" s="41" t="s">
        <v>87</v>
      </c>
      <c r="D1458" s="41" t="s">
        <v>175</v>
      </c>
      <c r="E1458" s="41">
        <v>100</v>
      </c>
      <c r="F1458" s="41" t="s">
        <v>9</v>
      </c>
      <c r="AM1458" s="53">
        <f>10700000*2.6</f>
        <v>27820000</v>
      </c>
      <c r="AO1458" s="53">
        <f t="shared" si="274"/>
        <v>0</v>
      </c>
      <c r="AP1458" s="53">
        <f t="shared" si="274"/>
        <v>0</v>
      </c>
      <c r="AQ1458" s="53">
        <f t="shared" si="274"/>
        <v>0</v>
      </c>
      <c r="AR1458" s="53">
        <f t="shared" si="274"/>
        <v>0</v>
      </c>
      <c r="AS1458" s="53">
        <f t="shared" si="274"/>
        <v>0</v>
      </c>
      <c r="AT1458" s="53">
        <f t="shared" si="274"/>
        <v>0</v>
      </c>
      <c r="AU1458" s="53">
        <f t="shared" si="274"/>
        <v>0</v>
      </c>
      <c r="AV1458" s="53">
        <f t="shared" si="274"/>
        <v>0</v>
      </c>
      <c r="AW1458" s="53">
        <f t="shared" si="274"/>
        <v>0</v>
      </c>
      <c r="AX1458" s="53">
        <f t="shared" si="275"/>
        <v>0</v>
      </c>
      <c r="AY1458" s="41" t="s">
        <v>557</v>
      </c>
    </row>
    <row r="1459" spans="1:51" x14ac:dyDescent="0.2">
      <c r="A1459" s="41" t="s">
        <v>223</v>
      </c>
      <c r="B1459" s="41">
        <v>2009</v>
      </c>
      <c r="C1459" s="41" t="s">
        <v>87</v>
      </c>
      <c r="D1459" s="41" t="s">
        <v>175</v>
      </c>
      <c r="E1459" s="41">
        <v>100</v>
      </c>
      <c r="F1459" s="41" t="s">
        <v>9</v>
      </c>
      <c r="G1459" s="53">
        <v>111000</v>
      </c>
      <c r="H1459" s="46">
        <v>6.5162162162162165</v>
      </c>
      <c r="S1459" s="53">
        <v>5682</v>
      </c>
      <c r="AM1459" s="53">
        <f>6200000*2.6-209000</f>
        <v>15911000</v>
      </c>
      <c r="AO1459" s="53">
        <f t="shared" si="274"/>
        <v>723300</v>
      </c>
      <c r="AP1459" s="53">
        <f t="shared" si="274"/>
        <v>0</v>
      </c>
      <c r="AQ1459" s="53">
        <f t="shared" si="274"/>
        <v>0</v>
      </c>
      <c r="AR1459" s="53">
        <f t="shared" si="274"/>
        <v>0</v>
      </c>
      <c r="AS1459" s="53">
        <f t="shared" si="274"/>
        <v>0</v>
      </c>
      <c r="AT1459" s="53">
        <f t="shared" si="274"/>
        <v>0</v>
      </c>
      <c r="AU1459" s="53">
        <f t="shared" si="274"/>
        <v>0</v>
      </c>
      <c r="AV1459" s="53">
        <f t="shared" si="274"/>
        <v>0</v>
      </c>
      <c r="AW1459" s="53">
        <f t="shared" si="274"/>
        <v>0</v>
      </c>
      <c r="AX1459" s="53">
        <f t="shared" si="275"/>
        <v>11100000</v>
      </c>
      <c r="AY1459" s="41" t="s">
        <v>557</v>
      </c>
    </row>
    <row r="1460" spans="1:51" x14ac:dyDescent="0.2">
      <c r="A1460" s="41" t="s">
        <v>223</v>
      </c>
      <c r="B1460" s="41">
        <v>2010</v>
      </c>
      <c r="C1460" s="41" t="s">
        <v>87</v>
      </c>
      <c r="D1460" s="41" t="s">
        <v>175</v>
      </c>
      <c r="E1460" s="41">
        <v>100</v>
      </c>
      <c r="F1460" s="41" t="s">
        <v>9</v>
      </c>
      <c r="G1460" s="53">
        <v>495000</v>
      </c>
      <c r="H1460" s="47">
        <v>7</v>
      </c>
      <c r="S1460" s="53">
        <v>28500</v>
      </c>
      <c r="AM1460" s="53">
        <f>12900000*2.6-700000</f>
        <v>32840000</v>
      </c>
      <c r="AO1460" s="53">
        <f t="shared" si="274"/>
        <v>3465000</v>
      </c>
      <c r="AP1460" s="53">
        <f t="shared" si="274"/>
        <v>0</v>
      </c>
      <c r="AQ1460" s="53">
        <f t="shared" si="274"/>
        <v>0</v>
      </c>
      <c r="AR1460" s="53">
        <f t="shared" si="274"/>
        <v>0</v>
      </c>
      <c r="AS1460" s="53">
        <f t="shared" si="274"/>
        <v>0</v>
      </c>
      <c r="AT1460" s="53">
        <f t="shared" si="274"/>
        <v>0</v>
      </c>
      <c r="AU1460" s="53">
        <f t="shared" si="274"/>
        <v>0</v>
      </c>
      <c r="AV1460" s="53">
        <f t="shared" si="274"/>
        <v>0</v>
      </c>
      <c r="AW1460" s="53">
        <f t="shared" si="274"/>
        <v>0</v>
      </c>
      <c r="AX1460" s="53">
        <f t="shared" si="275"/>
        <v>49500000</v>
      </c>
      <c r="AY1460" s="41" t="s">
        <v>557</v>
      </c>
    </row>
    <row r="1461" spans="1:51" x14ac:dyDescent="0.2">
      <c r="A1461" s="41" t="s">
        <v>223</v>
      </c>
      <c r="B1461" s="41">
        <v>2011</v>
      </c>
      <c r="C1461" s="41" t="s">
        <v>87</v>
      </c>
      <c r="D1461" s="41" t="s">
        <v>175</v>
      </c>
      <c r="E1461" s="41">
        <v>100</v>
      </c>
      <c r="F1461" s="41" t="s">
        <v>9</v>
      </c>
      <c r="G1461" s="53">
        <v>776000</v>
      </c>
      <c r="H1461" s="47">
        <v>6.5</v>
      </c>
      <c r="S1461" s="53">
        <v>42100</v>
      </c>
      <c r="AM1461" s="76">
        <f>(AM1460+AM1462)/2</f>
        <v>23652000</v>
      </c>
      <c r="AO1461" s="53">
        <f t="shared" si="274"/>
        <v>5044000</v>
      </c>
      <c r="AP1461" s="53">
        <f t="shared" si="274"/>
        <v>0</v>
      </c>
      <c r="AQ1461" s="53">
        <f t="shared" si="274"/>
        <v>0</v>
      </c>
      <c r="AR1461" s="53">
        <f t="shared" si="274"/>
        <v>0</v>
      </c>
      <c r="AS1461" s="53">
        <f t="shared" si="274"/>
        <v>0</v>
      </c>
      <c r="AT1461" s="53">
        <f t="shared" si="274"/>
        <v>0</v>
      </c>
      <c r="AU1461" s="53">
        <f t="shared" si="274"/>
        <v>0</v>
      </c>
      <c r="AV1461" s="53">
        <f t="shared" si="274"/>
        <v>0</v>
      </c>
      <c r="AW1461" s="53">
        <f t="shared" si="274"/>
        <v>0</v>
      </c>
      <c r="AX1461" s="53">
        <f t="shared" si="275"/>
        <v>77600000</v>
      </c>
      <c r="AY1461" s="41" t="s">
        <v>557</v>
      </c>
    </row>
    <row r="1462" spans="1:51" x14ac:dyDescent="0.2">
      <c r="A1462" s="41" t="s">
        <v>223</v>
      </c>
      <c r="B1462" s="41">
        <v>2012</v>
      </c>
      <c r="C1462" s="41" t="s">
        <v>87</v>
      </c>
      <c r="D1462" s="41" t="s">
        <v>175</v>
      </c>
      <c r="E1462" s="41">
        <v>100</v>
      </c>
      <c r="F1462" s="41" t="s">
        <v>9</v>
      </c>
      <c r="G1462" s="53">
        <v>1082000</v>
      </c>
      <c r="H1462" s="47">
        <v>7.1</v>
      </c>
      <c r="S1462" s="53">
        <v>67662</v>
      </c>
      <c r="AM1462" s="53">
        <v>14464000</v>
      </c>
      <c r="AO1462" s="53">
        <f t="shared" si="274"/>
        <v>7682200</v>
      </c>
      <c r="AP1462" s="53">
        <f t="shared" si="274"/>
        <v>0</v>
      </c>
      <c r="AQ1462" s="53">
        <f t="shared" si="274"/>
        <v>0</v>
      </c>
      <c r="AR1462" s="53">
        <f t="shared" si="274"/>
        <v>0</v>
      </c>
      <c r="AS1462" s="53">
        <f t="shared" si="274"/>
        <v>0</v>
      </c>
      <c r="AT1462" s="53">
        <f t="shared" si="274"/>
        <v>0</v>
      </c>
      <c r="AU1462" s="53">
        <f t="shared" si="274"/>
        <v>0</v>
      </c>
      <c r="AV1462" s="53">
        <f t="shared" si="274"/>
        <v>0</v>
      </c>
      <c r="AW1462" s="53">
        <f t="shared" si="274"/>
        <v>0</v>
      </c>
      <c r="AX1462" s="53">
        <f t="shared" si="275"/>
        <v>108200000</v>
      </c>
      <c r="AY1462" s="41" t="s">
        <v>557</v>
      </c>
    </row>
    <row r="1463" spans="1:51" x14ac:dyDescent="0.2">
      <c r="A1463" s="41" t="s">
        <v>223</v>
      </c>
      <c r="B1463" s="41">
        <v>2013</v>
      </c>
      <c r="C1463" s="41" t="s">
        <v>87</v>
      </c>
      <c r="D1463" s="41" t="s">
        <v>175</v>
      </c>
      <c r="E1463" s="41">
        <v>100</v>
      </c>
      <c r="F1463" s="41" t="s">
        <v>9</v>
      </c>
      <c r="G1463" s="53">
        <v>1253000</v>
      </c>
      <c r="H1463" s="47">
        <v>6.2</v>
      </c>
      <c r="S1463" s="53">
        <v>69304</v>
      </c>
      <c r="AM1463" s="53">
        <v>17066000</v>
      </c>
      <c r="AO1463" s="53">
        <f t="shared" si="274"/>
        <v>7768600</v>
      </c>
      <c r="AP1463" s="53">
        <f t="shared" si="274"/>
        <v>0</v>
      </c>
      <c r="AQ1463" s="53">
        <f t="shared" si="274"/>
        <v>0</v>
      </c>
      <c r="AR1463" s="53">
        <f t="shared" si="274"/>
        <v>0</v>
      </c>
      <c r="AS1463" s="53">
        <f t="shared" si="274"/>
        <v>0</v>
      </c>
      <c r="AT1463" s="53">
        <f t="shared" si="274"/>
        <v>0</v>
      </c>
      <c r="AU1463" s="53">
        <f t="shared" si="274"/>
        <v>0</v>
      </c>
      <c r="AV1463" s="53">
        <f t="shared" si="274"/>
        <v>0</v>
      </c>
      <c r="AW1463" s="53">
        <f t="shared" si="274"/>
        <v>0</v>
      </c>
      <c r="AX1463" s="53">
        <f t="shared" si="275"/>
        <v>125300000</v>
      </c>
      <c r="AY1463" s="41" t="s">
        <v>557</v>
      </c>
    </row>
    <row r="1464" spans="1:51" x14ac:dyDescent="0.2">
      <c r="A1464" s="41" t="s">
        <v>223</v>
      </c>
      <c r="B1464" s="41">
        <v>2014</v>
      </c>
      <c r="C1464" s="41" t="s">
        <v>87</v>
      </c>
      <c r="D1464" s="41" t="s">
        <v>175</v>
      </c>
      <c r="E1464" s="41">
        <v>100</v>
      </c>
      <c r="F1464" s="41" t="s">
        <v>9</v>
      </c>
      <c r="G1464" s="53">
        <v>1539000</v>
      </c>
      <c r="H1464" s="41">
        <v>5.0999999999999996</v>
      </c>
      <c r="S1464" s="53">
        <v>71090</v>
      </c>
      <c r="AM1464" s="53">
        <v>19053000</v>
      </c>
      <c r="AO1464" s="53">
        <f t="shared" si="274"/>
        <v>7848899.9999999991</v>
      </c>
      <c r="AP1464" s="53">
        <f t="shared" si="274"/>
        <v>0</v>
      </c>
      <c r="AQ1464" s="53">
        <f t="shared" si="274"/>
        <v>0</v>
      </c>
      <c r="AR1464" s="53">
        <f t="shared" si="274"/>
        <v>0</v>
      </c>
      <c r="AS1464" s="53">
        <f t="shared" si="274"/>
        <v>0</v>
      </c>
      <c r="AT1464" s="53">
        <f t="shared" si="274"/>
        <v>0</v>
      </c>
      <c r="AU1464" s="53">
        <f t="shared" si="274"/>
        <v>0</v>
      </c>
      <c r="AV1464" s="53">
        <f t="shared" si="274"/>
        <v>0</v>
      </c>
      <c r="AW1464" s="53">
        <f t="shared" si="274"/>
        <v>0</v>
      </c>
      <c r="AX1464" s="53">
        <f t="shared" si="275"/>
        <v>153900000</v>
      </c>
      <c r="AY1464" s="41" t="s">
        <v>557</v>
      </c>
    </row>
    <row r="1465" spans="1:51" x14ac:dyDescent="0.2">
      <c r="A1465" s="41" t="s">
        <v>223</v>
      </c>
      <c r="B1465" s="41">
        <v>2015</v>
      </c>
      <c r="C1465" s="41" t="s">
        <v>87</v>
      </c>
      <c r="D1465" s="41" t="s">
        <v>175</v>
      </c>
      <c r="E1465" s="41">
        <v>100</v>
      </c>
      <c r="F1465" s="41" t="s">
        <v>9</v>
      </c>
      <c r="G1465" s="53">
        <v>1500000</v>
      </c>
      <c r="H1465" s="41">
        <v>5.2</v>
      </c>
      <c r="S1465" s="53">
        <v>70029</v>
      </c>
      <c r="AM1465" s="53">
        <v>15459000</v>
      </c>
      <c r="AO1465" s="53">
        <f t="shared" si="274"/>
        <v>7800000</v>
      </c>
      <c r="AP1465" s="53">
        <f t="shared" si="274"/>
        <v>0</v>
      </c>
      <c r="AQ1465" s="53">
        <f t="shared" si="274"/>
        <v>0</v>
      </c>
      <c r="AR1465" s="53">
        <f t="shared" si="274"/>
        <v>0</v>
      </c>
      <c r="AS1465" s="53">
        <f t="shared" si="274"/>
        <v>0</v>
      </c>
      <c r="AT1465" s="53">
        <f t="shared" si="274"/>
        <v>0</v>
      </c>
      <c r="AU1465" s="53">
        <f t="shared" si="274"/>
        <v>0</v>
      </c>
      <c r="AV1465" s="53">
        <f t="shared" si="274"/>
        <v>0</v>
      </c>
      <c r="AW1465" s="53">
        <f t="shared" si="274"/>
        <v>0</v>
      </c>
      <c r="AX1465" s="53">
        <f t="shared" si="275"/>
        <v>150000000</v>
      </c>
      <c r="AY1465" s="41" t="s">
        <v>557</v>
      </c>
    </row>
    <row r="1466" spans="1:51" x14ac:dyDescent="0.2">
      <c r="A1466" s="41" t="s">
        <v>223</v>
      </c>
      <c r="B1466" s="41">
        <v>2016</v>
      </c>
      <c r="C1466" s="41" t="s">
        <v>87</v>
      </c>
      <c r="D1466" s="41" t="s">
        <v>175</v>
      </c>
      <c r="E1466" s="41">
        <v>100</v>
      </c>
      <c r="F1466" s="41" t="s">
        <v>9</v>
      </c>
      <c r="G1466" s="53">
        <v>1538000</v>
      </c>
      <c r="H1466" s="41">
        <v>5.2</v>
      </c>
      <c r="S1466" s="53">
        <v>73643</v>
      </c>
      <c r="AM1466" s="53">
        <v>13644000</v>
      </c>
      <c r="AO1466" s="53">
        <f t="shared" si="274"/>
        <v>7997600</v>
      </c>
      <c r="AP1466" s="53">
        <f t="shared" si="274"/>
        <v>0</v>
      </c>
      <c r="AQ1466" s="53">
        <f t="shared" si="274"/>
        <v>0</v>
      </c>
      <c r="AR1466" s="53">
        <f t="shared" si="274"/>
        <v>0</v>
      </c>
      <c r="AS1466" s="53">
        <f t="shared" si="274"/>
        <v>0</v>
      </c>
      <c r="AT1466" s="53">
        <f t="shared" si="274"/>
        <v>0</v>
      </c>
      <c r="AU1466" s="53">
        <f t="shared" si="274"/>
        <v>0</v>
      </c>
      <c r="AV1466" s="53">
        <f t="shared" si="274"/>
        <v>0</v>
      </c>
      <c r="AW1466" s="53">
        <f t="shared" si="274"/>
        <v>0</v>
      </c>
      <c r="AX1466" s="53">
        <f t="shared" si="275"/>
        <v>153800000</v>
      </c>
      <c r="AY1466" s="41" t="s">
        <v>557</v>
      </c>
    </row>
    <row r="1467" spans="1:51" x14ac:dyDescent="0.2">
      <c r="A1467" s="41" t="s">
        <v>223</v>
      </c>
      <c r="B1467" s="41" t="s">
        <v>558</v>
      </c>
      <c r="C1467" s="41" t="s">
        <v>87</v>
      </c>
      <c r="D1467" s="41" t="s">
        <v>175</v>
      </c>
      <c r="E1467" s="41">
        <v>100</v>
      </c>
      <c r="F1467" s="41" t="s">
        <v>9</v>
      </c>
      <c r="G1467" s="53">
        <v>752000</v>
      </c>
      <c r="H1467" s="41">
        <v>5.0999999999999996</v>
      </c>
      <c r="S1467" s="53">
        <v>37476</v>
      </c>
      <c r="AM1467" s="53">
        <v>6253000</v>
      </c>
      <c r="AO1467" s="53">
        <f t="shared" si="274"/>
        <v>3835199.9999999995</v>
      </c>
      <c r="AP1467" s="53">
        <f t="shared" si="274"/>
        <v>0</v>
      </c>
      <c r="AQ1467" s="53">
        <f t="shared" si="274"/>
        <v>0</v>
      </c>
      <c r="AR1467" s="53">
        <f t="shared" si="274"/>
        <v>0</v>
      </c>
      <c r="AS1467" s="53">
        <f t="shared" si="274"/>
        <v>0</v>
      </c>
      <c r="AT1467" s="53">
        <f t="shared" si="274"/>
        <v>0</v>
      </c>
      <c r="AU1467" s="53">
        <f t="shared" si="274"/>
        <v>0</v>
      </c>
      <c r="AV1467" s="53">
        <f t="shared" si="274"/>
        <v>0</v>
      </c>
      <c r="AW1467" s="53">
        <f t="shared" si="274"/>
        <v>0</v>
      </c>
      <c r="AX1467" s="53">
        <f t="shared" si="275"/>
        <v>75200000</v>
      </c>
      <c r="AY1467" s="41" t="s">
        <v>557</v>
      </c>
    </row>
    <row r="1468" spans="1:51" x14ac:dyDescent="0.2">
      <c r="A1468" s="41" t="s">
        <v>223</v>
      </c>
      <c r="B1468" s="60" t="s">
        <v>559</v>
      </c>
      <c r="C1468" s="60" t="s">
        <v>87</v>
      </c>
      <c r="D1468" s="60" t="s">
        <v>175</v>
      </c>
      <c r="E1468" s="60">
        <v>100</v>
      </c>
      <c r="F1468" s="60" t="s">
        <v>9</v>
      </c>
      <c r="G1468" s="79">
        <f>SUM(G1456:G1467)</f>
        <v>9046000</v>
      </c>
      <c r="H1468" s="78">
        <f>AO1468/G1468</f>
        <v>5.766615078487729</v>
      </c>
      <c r="S1468" s="79">
        <f>SUM(S1456:S1467)</f>
        <v>465486</v>
      </c>
      <c r="AM1468" s="79">
        <f>SUM(AM1456:AM1467)</f>
        <v>258442000</v>
      </c>
      <c r="AO1468" s="79">
        <f t="shared" ref="AO1468:AX1468" si="276">SUM(AO1456:AO1467)</f>
        <v>52164800</v>
      </c>
      <c r="AP1468" s="79">
        <f t="shared" si="276"/>
        <v>0</v>
      </c>
      <c r="AQ1468" s="79">
        <f t="shared" si="276"/>
        <v>0</v>
      </c>
      <c r="AR1468" s="79">
        <f t="shared" si="276"/>
        <v>0</v>
      </c>
      <c r="AS1468" s="79">
        <f t="shared" si="276"/>
        <v>0</v>
      </c>
      <c r="AT1468" s="79">
        <f t="shared" si="276"/>
        <v>0</v>
      </c>
      <c r="AU1468" s="79">
        <f t="shared" si="276"/>
        <v>0</v>
      </c>
      <c r="AV1468" s="79">
        <f t="shared" si="276"/>
        <v>0</v>
      </c>
      <c r="AW1468" s="79">
        <f t="shared" si="276"/>
        <v>0</v>
      </c>
      <c r="AX1468" s="79">
        <f t="shared" si="276"/>
        <v>904600000</v>
      </c>
      <c r="AY1468" s="41" t="s">
        <v>557</v>
      </c>
    </row>
    <row r="1469" spans="1:51" x14ac:dyDescent="0.2">
      <c r="A1469" s="41" t="s">
        <v>223</v>
      </c>
      <c r="B1469" s="43" t="s">
        <v>560</v>
      </c>
      <c r="G1469" s="53">
        <f>STDEV(G1456:G1467)</f>
        <v>507135.20003161987</v>
      </c>
      <c r="H1469" s="47">
        <f>STDEV(H1456:H1467)</f>
        <v>0.84155356430281003</v>
      </c>
      <c r="S1469" s="53">
        <f>STDEV(S1456:S1467)</f>
        <v>24260.256866941865</v>
      </c>
      <c r="AM1469" s="53">
        <f>STDEV(AM1456:AM1467)</f>
        <v>11776725.241944063</v>
      </c>
      <c r="AY1469" s="41" t="s">
        <v>557</v>
      </c>
    </row>
    <row r="1470" spans="1:51" x14ac:dyDescent="0.2">
      <c r="A1470" s="41" t="s">
        <v>223</v>
      </c>
      <c r="B1470" s="81" t="s">
        <v>249</v>
      </c>
      <c r="G1470" s="41">
        <f>COUNT(G1456:G1467)</f>
        <v>9</v>
      </c>
      <c r="H1470" s="41">
        <f>COUNT(H1456:H1467)</f>
        <v>9</v>
      </c>
      <c r="S1470" s="41">
        <f>COUNT(S1456:S1467)</f>
        <v>9</v>
      </c>
      <c r="AM1470" s="41">
        <f>COUNT(AM1456:AM1467)</f>
        <v>12</v>
      </c>
      <c r="AY1470" s="41" t="s">
        <v>557</v>
      </c>
    </row>
    <row r="1471" spans="1:51" x14ac:dyDescent="0.2">
      <c r="A1471" s="82"/>
      <c r="B1471" s="82"/>
      <c r="C1471" s="82"/>
      <c r="D1471" s="82"/>
      <c r="E1471" s="82"/>
      <c r="F1471" s="82"/>
      <c r="G1471" s="82"/>
      <c r="H1471" s="82"/>
      <c r="I1471" s="82"/>
      <c r="J1471" s="82"/>
      <c r="K1471" s="82"/>
      <c r="L1471" s="82"/>
      <c r="M1471" s="82"/>
      <c r="N1471" s="82"/>
      <c r="O1471" s="82"/>
      <c r="P1471" s="82"/>
      <c r="Q1471" s="82"/>
      <c r="R1471" s="82"/>
      <c r="S1471" s="82"/>
      <c r="T1471" s="82"/>
      <c r="U1471" s="82"/>
      <c r="V1471" s="82"/>
      <c r="W1471" s="82"/>
      <c r="X1471" s="82"/>
      <c r="Y1471" s="82"/>
      <c r="Z1471" s="82"/>
      <c r="AA1471" s="82"/>
      <c r="AB1471" s="82"/>
      <c r="AC1471" s="82"/>
      <c r="AD1471" s="82"/>
      <c r="AE1471" s="82"/>
      <c r="AF1471" s="82"/>
      <c r="AG1471" s="82"/>
      <c r="AH1471" s="82"/>
      <c r="AI1471" s="82"/>
      <c r="AJ1471" s="82"/>
      <c r="AK1471" s="82"/>
      <c r="AL1471" s="82"/>
      <c r="AM1471" s="82"/>
      <c r="AN1471" s="82"/>
      <c r="AO1471" s="82"/>
      <c r="AP1471" s="82"/>
      <c r="AQ1471" s="82"/>
      <c r="AR1471" s="82"/>
      <c r="AS1471" s="82"/>
      <c r="AT1471" s="82"/>
      <c r="AU1471" s="82"/>
      <c r="AV1471" s="82"/>
      <c r="AW1471" s="82"/>
      <c r="AX1471" s="82"/>
      <c r="AY1471" s="41" t="s">
        <v>557</v>
      </c>
    </row>
    <row r="1472" spans="1:51" x14ac:dyDescent="0.2">
      <c r="A1472" s="86" t="s">
        <v>649</v>
      </c>
      <c r="B1472" s="121" t="s">
        <v>650</v>
      </c>
      <c r="AY1472" s="41" t="s">
        <v>557</v>
      </c>
    </row>
    <row r="1473" spans="1:51" x14ac:dyDescent="0.2">
      <c r="A1473" s="86" t="s">
        <v>649</v>
      </c>
      <c r="B1473" s="41">
        <v>2002</v>
      </c>
      <c r="C1473" s="41" t="s">
        <v>91</v>
      </c>
      <c r="D1473" s="41" t="s">
        <v>401</v>
      </c>
      <c r="E1473" s="41">
        <v>0</v>
      </c>
      <c r="F1473" s="41" t="s">
        <v>390</v>
      </c>
      <c r="G1473" s="53">
        <f>718000*0.9072</f>
        <v>651369.6</v>
      </c>
      <c r="I1473" s="46">
        <f>0.162*31.1/0.9072</f>
        <v>5.5535714285714297</v>
      </c>
      <c r="T1473" s="53">
        <f>113000*31.1/1000</f>
        <v>3514.3</v>
      </c>
      <c r="AO1473" s="53">
        <f t="shared" ref="AO1473:AW1474" si="277">$G1473*H1473</f>
        <v>0</v>
      </c>
      <c r="AP1473" s="53">
        <f t="shared" si="277"/>
        <v>3617427.6000000006</v>
      </c>
      <c r="AQ1473" s="53">
        <f t="shared" si="277"/>
        <v>0</v>
      </c>
      <c r="AR1473" s="53">
        <f t="shared" si="277"/>
        <v>0</v>
      </c>
      <c r="AS1473" s="53">
        <f t="shared" si="277"/>
        <v>0</v>
      </c>
      <c r="AT1473" s="53">
        <f t="shared" si="277"/>
        <v>0</v>
      </c>
      <c r="AU1473" s="53">
        <f t="shared" si="277"/>
        <v>0</v>
      </c>
      <c r="AV1473" s="53">
        <f t="shared" si="277"/>
        <v>0</v>
      </c>
      <c r="AW1473" s="53">
        <f t="shared" si="277"/>
        <v>0</v>
      </c>
      <c r="AX1473" s="53">
        <f>$G1473*E1473</f>
        <v>0</v>
      </c>
      <c r="AY1473" s="41" t="s">
        <v>557</v>
      </c>
    </row>
    <row r="1474" spans="1:51" x14ac:dyDescent="0.2">
      <c r="A1474" s="86" t="s">
        <v>649</v>
      </c>
      <c r="B1474" s="41">
        <v>2003</v>
      </c>
      <c r="C1474" s="41" t="s">
        <v>91</v>
      </c>
      <c r="D1474" s="41" t="s">
        <v>401</v>
      </c>
      <c r="E1474" s="41">
        <v>0</v>
      </c>
      <c r="F1474" s="41" t="s">
        <v>390</v>
      </c>
      <c r="G1474" s="53">
        <f>806000*0.9072</f>
        <v>731203.2</v>
      </c>
      <c r="I1474" s="46">
        <f>0.128*31.1/0.9072</f>
        <v>4.3880070546737215</v>
      </c>
      <c r="T1474" s="53">
        <f>99000*31.1/1000</f>
        <v>3078.9</v>
      </c>
      <c r="AO1474" s="53">
        <f t="shared" si="277"/>
        <v>0</v>
      </c>
      <c r="AP1474" s="53">
        <f t="shared" si="277"/>
        <v>3208524.8</v>
      </c>
      <c r="AQ1474" s="53">
        <f t="shared" si="277"/>
        <v>0</v>
      </c>
      <c r="AR1474" s="53">
        <f t="shared" si="277"/>
        <v>0</v>
      </c>
      <c r="AS1474" s="53">
        <f t="shared" si="277"/>
        <v>0</v>
      </c>
      <c r="AT1474" s="53">
        <f t="shared" si="277"/>
        <v>0</v>
      </c>
      <c r="AU1474" s="53">
        <f t="shared" si="277"/>
        <v>0</v>
      </c>
      <c r="AV1474" s="53">
        <f t="shared" si="277"/>
        <v>0</v>
      </c>
      <c r="AW1474" s="53">
        <f t="shared" si="277"/>
        <v>0</v>
      </c>
      <c r="AX1474" s="53">
        <f>$G1474*E1474</f>
        <v>0</v>
      </c>
      <c r="AY1474" s="41" t="s">
        <v>557</v>
      </c>
    </row>
    <row r="1475" spans="1:51" x14ac:dyDescent="0.2">
      <c r="A1475" s="86" t="s">
        <v>649</v>
      </c>
      <c r="B1475" s="60" t="s">
        <v>248</v>
      </c>
      <c r="C1475" s="60" t="s">
        <v>91</v>
      </c>
      <c r="D1475" s="60" t="s">
        <v>401</v>
      </c>
      <c r="E1475" s="60">
        <v>0</v>
      </c>
      <c r="F1475" s="60" t="s">
        <v>390</v>
      </c>
      <c r="G1475" s="79">
        <f>AVERAGE(G1473:G1474)</f>
        <v>691286.39999999991</v>
      </c>
      <c r="I1475" s="80">
        <f>AP1475/SUM($G1473:$G1474)</f>
        <v>4.9371377767593874</v>
      </c>
      <c r="T1475" s="79">
        <f>AVERAGE(T1473:T1474)</f>
        <v>3296.6000000000004</v>
      </c>
      <c r="AO1475" s="79">
        <f t="shared" ref="AO1475:AX1475" si="278">SUM(AO1473:AO1474)</f>
        <v>0</v>
      </c>
      <c r="AP1475" s="79">
        <f t="shared" si="278"/>
        <v>6825952.4000000004</v>
      </c>
      <c r="AQ1475" s="79">
        <f t="shared" si="278"/>
        <v>0</v>
      </c>
      <c r="AR1475" s="79">
        <f t="shared" si="278"/>
        <v>0</v>
      </c>
      <c r="AS1475" s="79">
        <f t="shared" si="278"/>
        <v>0</v>
      </c>
      <c r="AT1475" s="79">
        <f t="shared" si="278"/>
        <v>0</v>
      </c>
      <c r="AU1475" s="79">
        <f t="shared" si="278"/>
        <v>0</v>
      </c>
      <c r="AV1475" s="79">
        <f t="shared" si="278"/>
        <v>0</v>
      </c>
      <c r="AW1475" s="79">
        <f t="shared" si="278"/>
        <v>0</v>
      </c>
      <c r="AX1475" s="79">
        <f t="shared" si="278"/>
        <v>0</v>
      </c>
      <c r="AY1475" s="41" t="s">
        <v>557</v>
      </c>
    </row>
    <row r="1476" spans="1:51" x14ac:dyDescent="0.2">
      <c r="A1476" s="86" t="s">
        <v>649</v>
      </c>
      <c r="B1476" s="43" t="s">
        <v>560</v>
      </c>
      <c r="G1476" s="53">
        <f>STDEV(G1473:G1474)</f>
        <v>56450.879926534348</v>
      </c>
      <c r="I1476" s="46">
        <f>STDEV(I1473:I1474)</f>
        <v>0.82417847269251554</v>
      </c>
      <c r="T1476" s="53">
        <f>STDEV(T1473:T1474)</f>
        <v>307.87429252862285</v>
      </c>
      <c r="AY1476" s="41" t="s">
        <v>557</v>
      </c>
    </row>
    <row r="1477" spans="1:51" x14ac:dyDescent="0.2">
      <c r="A1477" s="86" t="s">
        <v>649</v>
      </c>
      <c r="B1477" s="81" t="s">
        <v>249</v>
      </c>
      <c r="G1477" s="41">
        <f>COUNT(G1473:G1474)</f>
        <v>2</v>
      </c>
      <c r="I1477" s="41">
        <f>COUNT(I1473:I1474)</f>
        <v>2</v>
      </c>
      <c r="T1477" s="41">
        <f>COUNT(T1473:T1474)</f>
        <v>2</v>
      </c>
      <c r="AY1477" s="41" t="s">
        <v>557</v>
      </c>
    </row>
    <row r="1478" spans="1:51" x14ac:dyDescent="0.2">
      <c r="A1478" s="82"/>
      <c r="B1478" s="82"/>
      <c r="C1478" s="82"/>
      <c r="D1478" s="82"/>
      <c r="E1478" s="82"/>
      <c r="F1478" s="82"/>
      <c r="G1478" s="82"/>
      <c r="H1478" s="82"/>
      <c r="I1478" s="82"/>
      <c r="J1478" s="82"/>
      <c r="K1478" s="82"/>
      <c r="L1478" s="82"/>
      <c r="M1478" s="82"/>
      <c r="N1478" s="82"/>
      <c r="O1478" s="82"/>
      <c r="P1478" s="82"/>
      <c r="Q1478" s="82"/>
      <c r="R1478" s="82"/>
      <c r="S1478" s="82"/>
      <c r="T1478" s="82"/>
      <c r="U1478" s="82"/>
      <c r="V1478" s="82"/>
      <c r="W1478" s="82"/>
      <c r="X1478" s="82"/>
      <c r="Y1478" s="82"/>
      <c r="Z1478" s="82"/>
      <c r="AA1478" s="82"/>
      <c r="AB1478" s="82"/>
      <c r="AC1478" s="82"/>
      <c r="AD1478" s="82"/>
      <c r="AE1478" s="82"/>
      <c r="AF1478" s="82"/>
      <c r="AG1478" s="82"/>
      <c r="AH1478" s="82"/>
      <c r="AI1478" s="82"/>
      <c r="AJ1478" s="82"/>
      <c r="AK1478" s="82"/>
      <c r="AL1478" s="82"/>
      <c r="AM1478" s="82"/>
      <c r="AN1478" s="82"/>
      <c r="AO1478" s="82"/>
      <c r="AP1478" s="82"/>
      <c r="AQ1478" s="82"/>
      <c r="AR1478" s="82"/>
      <c r="AS1478" s="82"/>
      <c r="AT1478" s="82"/>
      <c r="AU1478" s="82"/>
      <c r="AV1478" s="82"/>
      <c r="AW1478" s="82"/>
      <c r="AX1478" s="82"/>
      <c r="AY1478" s="41" t="s">
        <v>557</v>
      </c>
    </row>
    <row r="1479" spans="1:51" x14ac:dyDescent="0.2">
      <c r="A1479" s="41" t="s">
        <v>445</v>
      </c>
      <c r="B1479" s="41">
        <v>1997</v>
      </c>
      <c r="C1479" s="41" t="s">
        <v>87</v>
      </c>
      <c r="D1479" s="41" t="s">
        <v>440</v>
      </c>
      <c r="E1479" s="41">
        <v>100</v>
      </c>
      <c r="F1479" s="41" t="s">
        <v>577</v>
      </c>
      <c r="G1479" s="53">
        <v>1967000</v>
      </c>
      <c r="H1479" s="53"/>
      <c r="I1479" s="41">
        <v>4.2699999999999996</v>
      </c>
      <c r="J1479" s="77">
        <v>0.25</v>
      </c>
      <c r="K1479" s="53"/>
      <c r="L1479" s="53"/>
      <c r="M1479" s="53"/>
      <c r="N1479" s="53"/>
      <c r="O1479" s="53"/>
      <c r="P1479" s="53"/>
      <c r="Q1479" s="53"/>
      <c r="R1479" s="53"/>
      <c r="S1479" s="53"/>
      <c r="T1479" s="53">
        <v>6593.2</v>
      </c>
      <c r="U1479" s="76">
        <f t="shared" ref="U1479:U1493" si="279">0.4*G1479*J1479/1000</f>
        <v>196.7</v>
      </c>
      <c r="AM1479" s="53">
        <v>12613000</v>
      </c>
      <c r="AN1479" s="53"/>
      <c r="AO1479" s="53">
        <f t="shared" ref="AO1479:AW1497" si="280">$G1479*H1479</f>
        <v>0</v>
      </c>
      <c r="AP1479" s="53">
        <f t="shared" si="280"/>
        <v>8399090</v>
      </c>
      <c r="AQ1479" s="53">
        <f t="shared" si="280"/>
        <v>491750</v>
      </c>
      <c r="AR1479" s="53">
        <f t="shared" si="280"/>
        <v>0</v>
      </c>
      <c r="AS1479" s="53">
        <f t="shared" si="280"/>
        <v>0</v>
      </c>
      <c r="AT1479" s="53">
        <f t="shared" si="280"/>
        <v>0</v>
      </c>
      <c r="AU1479" s="53">
        <f t="shared" si="280"/>
        <v>0</v>
      </c>
      <c r="AV1479" s="53">
        <f t="shared" si="280"/>
        <v>0</v>
      </c>
      <c r="AW1479" s="53">
        <f t="shared" si="280"/>
        <v>0</v>
      </c>
      <c r="AX1479" s="53">
        <f t="shared" ref="AX1479:AX1497" si="281">$G1479*E1479</f>
        <v>196700000</v>
      </c>
      <c r="AY1479" s="41" t="s">
        <v>557</v>
      </c>
    </row>
    <row r="1480" spans="1:51" x14ac:dyDescent="0.2">
      <c r="A1480" s="41" t="s">
        <v>445</v>
      </c>
      <c r="B1480" s="41">
        <v>1998</v>
      </c>
      <c r="C1480" s="41" t="s">
        <v>87</v>
      </c>
      <c r="D1480" s="41" t="s">
        <v>440</v>
      </c>
      <c r="E1480" s="41">
        <v>100</v>
      </c>
      <c r="F1480" s="41" t="s">
        <v>577</v>
      </c>
      <c r="G1480" s="53">
        <v>2353000</v>
      </c>
      <c r="H1480" s="53"/>
      <c r="I1480" s="41">
        <v>6.94</v>
      </c>
      <c r="J1480" s="77">
        <v>0.25</v>
      </c>
      <c r="T1480" s="53">
        <v>16172</v>
      </c>
      <c r="U1480" s="76">
        <f t="shared" si="279"/>
        <v>235.3</v>
      </c>
      <c r="AM1480" s="53">
        <v>21071000</v>
      </c>
      <c r="AO1480" s="53">
        <f t="shared" si="280"/>
        <v>0</v>
      </c>
      <c r="AP1480" s="53">
        <f t="shared" si="280"/>
        <v>16329820</v>
      </c>
      <c r="AQ1480" s="53">
        <f t="shared" si="280"/>
        <v>588250</v>
      </c>
      <c r="AR1480" s="53">
        <f t="shared" si="280"/>
        <v>0</v>
      </c>
      <c r="AS1480" s="53">
        <f t="shared" si="280"/>
        <v>0</v>
      </c>
      <c r="AT1480" s="53">
        <f t="shared" si="280"/>
        <v>0</v>
      </c>
      <c r="AU1480" s="53">
        <f t="shared" si="280"/>
        <v>0</v>
      </c>
      <c r="AV1480" s="53">
        <f t="shared" si="280"/>
        <v>0</v>
      </c>
      <c r="AW1480" s="53">
        <f t="shared" si="280"/>
        <v>0</v>
      </c>
      <c r="AX1480" s="53">
        <f t="shared" si="281"/>
        <v>235300000</v>
      </c>
      <c r="AY1480" s="41" t="s">
        <v>557</v>
      </c>
    </row>
    <row r="1481" spans="1:51" x14ac:dyDescent="0.2">
      <c r="A1481" s="41" t="s">
        <v>445</v>
      </c>
      <c r="B1481" s="41">
        <v>1999</v>
      </c>
      <c r="C1481" s="41" t="s">
        <v>87</v>
      </c>
      <c r="D1481" s="41" t="s">
        <v>440</v>
      </c>
      <c r="E1481" s="41">
        <v>100</v>
      </c>
      <c r="F1481" s="41" t="s">
        <v>577</v>
      </c>
      <c r="G1481" s="53">
        <v>2911000</v>
      </c>
      <c r="H1481" s="53"/>
      <c r="I1481" s="41">
        <v>7.04</v>
      </c>
      <c r="J1481" s="77">
        <v>0.25</v>
      </c>
      <c r="T1481" s="53">
        <v>19437.5</v>
      </c>
      <c r="U1481" s="76">
        <f t="shared" si="279"/>
        <v>291.10000000000002</v>
      </c>
      <c r="AM1481" s="53">
        <v>29505000</v>
      </c>
      <c r="AO1481" s="53">
        <f t="shared" si="280"/>
        <v>0</v>
      </c>
      <c r="AP1481" s="53">
        <f t="shared" si="280"/>
        <v>20493440</v>
      </c>
      <c r="AQ1481" s="53">
        <f t="shared" si="280"/>
        <v>727750</v>
      </c>
      <c r="AR1481" s="53">
        <f t="shared" si="280"/>
        <v>0</v>
      </c>
      <c r="AS1481" s="53">
        <f t="shared" si="280"/>
        <v>0</v>
      </c>
      <c r="AT1481" s="53">
        <f t="shared" si="280"/>
        <v>0</v>
      </c>
      <c r="AU1481" s="53">
        <f t="shared" si="280"/>
        <v>0</v>
      </c>
      <c r="AV1481" s="53">
        <f t="shared" si="280"/>
        <v>0</v>
      </c>
      <c r="AW1481" s="53">
        <f t="shared" si="280"/>
        <v>0</v>
      </c>
      <c r="AX1481" s="53">
        <f t="shared" si="281"/>
        <v>291100000</v>
      </c>
      <c r="AY1481" s="41" t="s">
        <v>557</v>
      </c>
    </row>
    <row r="1482" spans="1:51" x14ac:dyDescent="0.2">
      <c r="A1482" s="41" t="s">
        <v>445</v>
      </c>
      <c r="B1482" s="41">
        <v>2000</v>
      </c>
      <c r="C1482" s="41" t="s">
        <v>87</v>
      </c>
      <c r="D1482" s="41" t="s">
        <v>440</v>
      </c>
      <c r="E1482" s="41">
        <v>100</v>
      </c>
      <c r="F1482" s="41" t="s">
        <v>577</v>
      </c>
      <c r="G1482" s="53">
        <v>3413000</v>
      </c>
      <c r="H1482" s="53"/>
      <c r="I1482" s="41">
        <v>6.01</v>
      </c>
      <c r="J1482" s="77">
        <v>0.25</v>
      </c>
      <c r="T1482" s="53">
        <v>18846.599999999999</v>
      </c>
      <c r="U1482" s="76">
        <f t="shared" si="279"/>
        <v>341.3</v>
      </c>
      <c r="AM1482" s="53">
        <v>25696000</v>
      </c>
      <c r="AO1482" s="53">
        <f t="shared" si="280"/>
        <v>0</v>
      </c>
      <c r="AP1482" s="53">
        <f t="shared" si="280"/>
        <v>20512130</v>
      </c>
      <c r="AQ1482" s="53">
        <f t="shared" si="280"/>
        <v>853250</v>
      </c>
      <c r="AR1482" s="53">
        <f t="shared" si="280"/>
        <v>0</v>
      </c>
      <c r="AS1482" s="53">
        <f t="shared" si="280"/>
        <v>0</v>
      </c>
      <c r="AT1482" s="53">
        <f t="shared" si="280"/>
        <v>0</v>
      </c>
      <c r="AU1482" s="53">
        <f t="shared" si="280"/>
        <v>0</v>
      </c>
      <c r="AV1482" s="53">
        <f t="shared" si="280"/>
        <v>0</v>
      </c>
      <c r="AW1482" s="53">
        <f t="shared" si="280"/>
        <v>0</v>
      </c>
      <c r="AX1482" s="53">
        <f t="shared" si="281"/>
        <v>341300000</v>
      </c>
      <c r="AY1482" s="41" t="s">
        <v>557</v>
      </c>
    </row>
    <row r="1483" spans="1:51" x14ac:dyDescent="0.2">
      <c r="A1483" s="41" t="s">
        <v>445</v>
      </c>
      <c r="B1483" s="41">
        <v>2001</v>
      </c>
      <c r="C1483" s="41" t="s">
        <v>87</v>
      </c>
      <c r="D1483" s="41" t="s">
        <v>440</v>
      </c>
      <c r="E1483" s="41">
        <v>100</v>
      </c>
      <c r="F1483" s="41" t="s">
        <v>577</v>
      </c>
      <c r="G1483" s="53">
        <v>3619000</v>
      </c>
      <c r="H1483" s="53"/>
      <c r="I1483" s="41">
        <v>6.18</v>
      </c>
      <c r="J1483" s="77">
        <v>0.25</v>
      </c>
      <c r="T1483" s="53">
        <v>20152.8</v>
      </c>
      <c r="U1483" s="76">
        <f t="shared" si="279"/>
        <v>361.9</v>
      </c>
      <c r="AM1483" s="53">
        <v>24082000</v>
      </c>
      <c r="AO1483" s="53">
        <f t="shared" si="280"/>
        <v>0</v>
      </c>
      <c r="AP1483" s="53">
        <f t="shared" si="280"/>
        <v>22365420</v>
      </c>
      <c r="AQ1483" s="53">
        <f t="shared" si="280"/>
        <v>904750</v>
      </c>
      <c r="AR1483" s="53">
        <f t="shared" si="280"/>
        <v>0</v>
      </c>
      <c r="AS1483" s="53">
        <f t="shared" si="280"/>
        <v>0</v>
      </c>
      <c r="AT1483" s="53">
        <f t="shared" si="280"/>
        <v>0</v>
      </c>
      <c r="AU1483" s="53">
        <f t="shared" si="280"/>
        <v>0</v>
      </c>
      <c r="AV1483" s="53">
        <f t="shared" si="280"/>
        <v>0</v>
      </c>
      <c r="AW1483" s="53">
        <f t="shared" si="280"/>
        <v>0</v>
      </c>
      <c r="AX1483" s="53">
        <f t="shared" si="281"/>
        <v>361900000</v>
      </c>
      <c r="AY1483" s="41" t="s">
        <v>557</v>
      </c>
    </row>
    <row r="1484" spans="1:51" x14ac:dyDescent="0.2">
      <c r="A1484" s="41" t="s">
        <v>445</v>
      </c>
      <c r="B1484" s="41">
        <v>2002</v>
      </c>
      <c r="C1484" s="41" t="s">
        <v>87</v>
      </c>
      <c r="D1484" s="41" t="s">
        <v>440</v>
      </c>
      <c r="E1484" s="41">
        <v>100</v>
      </c>
      <c r="F1484" s="41" t="s">
        <v>577</v>
      </c>
      <c r="G1484" s="53">
        <v>3828000</v>
      </c>
      <c r="H1484" s="53"/>
      <c r="I1484" s="41">
        <v>5.46</v>
      </c>
      <c r="J1484" s="77">
        <v>0.25</v>
      </c>
      <c r="T1484" s="53">
        <v>18877.7</v>
      </c>
      <c r="U1484" s="76">
        <f t="shared" si="279"/>
        <v>382.8</v>
      </c>
      <c r="AM1484" s="53">
        <v>30723000</v>
      </c>
      <c r="AO1484" s="53">
        <f t="shared" si="280"/>
        <v>0</v>
      </c>
      <c r="AP1484" s="53">
        <f t="shared" si="280"/>
        <v>20900880</v>
      </c>
      <c r="AQ1484" s="53">
        <f t="shared" si="280"/>
        <v>957000</v>
      </c>
      <c r="AR1484" s="53">
        <f t="shared" si="280"/>
        <v>0</v>
      </c>
      <c r="AS1484" s="53">
        <f t="shared" si="280"/>
        <v>0</v>
      </c>
      <c r="AT1484" s="53">
        <f t="shared" si="280"/>
        <v>0</v>
      </c>
      <c r="AU1484" s="53">
        <f t="shared" si="280"/>
        <v>0</v>
      </c>
      <c r="AV1484" s="53">
        <f t="shared" si="280"/>
        <v>0</v>
      </c>
      <c r="AW1484" s="53">
        <f t="shared" si="280"/>
        <v>0</v>
      </c>
      <c r="AX1484" s="53">
        <f t="shared" si="281"/>
        <v>382800000</v>
      </c>
      <c r="AY1484" s="41" t="s">
        <v>557</v>
      </c>
    </row>
    <row r="1485" spans="1:51" x14ac:dyDescent="0.2">
      <c r="A1485" s="41" t="s">
        <v>445</v>
      </c>
      <c r="B1485" s="41">
        <v>2003</v>
      </c>
      <c r="C1485" s="41" t="s">
        <v>87</v>
      </c>
      <c r="D1485" s="41" t="s">
        <v>440</v>
      </c>
      <c r="E1485" s="41">
        <v>100</v>
      </c>
      <c r="F1485" s="41" t="s">
        <v>577</v>
      </c>
      <c r="G1485" s="53">
        <v>3926000</v>
      </c>
      <c r="H1485" s="53"/>
      <c r="I1485" s="41">
        <v>4.9400000000000004</v>
      </c>
      <c r="J1485" s="77">
        <v>0.25</v>
      </c>
      <c r="T1485" s="53">
        <v>17136.099999999999</v>
      </c>
      <c r="U1485" s="76">
        <f t="shared" si="279"/>
        <v>392.6</v>
      </c>
      <c r="AM1485" s="53">
        <v>23945000</v>
      </c>
      <c r="AO1485" s="53">
        <f t="shared" si="280"/>
        <v>0</v>
      </c>
      <c r="AP1485" s="53">
        <f t="shared" si="280"/>
        <v>19394440</v>
      </c>
      <c r="AQ1485" s="53">
        <f t="shared" si="280"/>
        <v>981500</v>
      </c>
      <c r="AR1485" s="53">
        <f t="shared" si="280"/>
        <v>0</v>
      </c>
      <c r="AS1485" s="53">
        <f t="shared" si="280"/>
        <v>0</v>
      </c>
      <c r="AT1485" s="53">
        <f t="shared" si="280"/>
        <v>0</v>
      </c>
      <c r="AU1485" s="53">
        <f t="shared" si="280"/>
        <v>0</v>
      </c>
      <c r="AV1485" s="53">
        <f t="shared" si="280"/>
        <v>0</v>
      </c>
      <c r="AW1485" s="53">
        <f t="shared" si="280"/>
        <v>0</v>
      </c>
      <c r="AX1485" s="53">
        <f t="shared" si="281"/>
        <v>392600000</v>
      </c>
      <c r="AY1485" s="41" t="s">
        <v>557</v>
      </c>
    </row>
    <row r="1486" spans="1:51" x14ac:dyDescent="0.2">
      <c r="A1486" s="41" t="s">
        <v>445</v>
      </c>
      <c r="B1486" s="41">
        <v>2004</v>
      </c>
      <c r="C1486" s="41" t="s">
        <v>87</v>
      </c>
      <c r="D1486" s="41" t="s">
        <v>440</v>
      </c>
      <c r="E1486" s="41">
        <v>100</v>
      </c>
      <c r="F1486" s="41" t="s">
        <v>577</v>
      </c>
      <c r="G1486" s="53">
        <v>4091000</v>
      </c>
      <c r="H1486" s="53"/>
      <c r="I1486" s="41">
        <v>5.1100000000000003</v>
      </c>
      <c r="J1486" s="77">
        <v>0.25</v>
      </c>
      <c r="T1486" s="53">
        <v>18628.900000000001</v>
      </c>
      <c r="U1486" s="76">
        <f t="shared" si="279"/>
        <v>409.1</v>
      </c>
      <c r="AM1486" s="53">
        <v>35170000</v>
      </c>
      <c r="AO1486" s="53">
        <f t="shared" si="280"/>
        <v>0</v>
      </c>
      <c r="AP1486" s="53">
        <f t="shared" si="280"/>
        <v>20905010</v>
      </c>
      <c r="AQ1486" s="53">
        <f t="shared" si="280"/>
        <v>1022750</v>
      </c>
      <c r="AR1486" s="53">
        <f t="shared" si="280"/>
        <v>0</v>
      </c>
      <c r="AS1486" s="53">
        <f t="shared" si="280"/>
        <v>0</v>
      </c>
      <c r="AT1486" s="53">
        <f t="shared" si="280"/>
        <v>0</v>
      </c>
      <c r="AU1486" s="53">
        <f t="shared" si="280"/>
        <v>0</v>
      </c>
      <c r="AV1486" s="53">
        <f t="shared" si="280"/>
        <v>0</v>
      </c>
      <c r="AW1486" s="53">
        <f t="shared" si="280"/>
        <v>0</v>
      </c>
      <c r="AX1486" s="53">
        <f t="shared" si="281"/>
        <v>409100000</v>
      </c>
      <c r="AY1486" s="41" t="s">
        <v>557</v>
      </c>
    </row>
    <row r="1487" spans="1:51" x14ac:dyDescent="0.2">
      <c r="A1487" s="41" t="s">
        <v>445</v>
      </c>
      <c r="B1487" s="41">
        <v>2005</v>
      </c>
      <c r="C1487" s="41" t="s">
        <v>87</v>
      </c>
      <c r="D1487" s="41" t="s">
        <v>440</v>
      </c>
      <c r="E1487" s="41">
        <v>100</v>
      </c>
      <c r="F1487" s="41" t="s">
        <v>577</v>
      </c>
      <c r="G1487" s="53">
        <v>3482000</v>
      </c>
      <c r="H1487" s="53"/>
      <c r="I1487" s="41">
        <v>5.94</v>
      </c>
      <c r="J1487" s="77">
        <v>0.25</v>
      </c>
      <c r="T1487" s="53">
        <v>18535.599999999999</v>
      </c>
      <c r="U1487" s="76">
        <f t="shared" si="279"/>
        <v>348.2</v>
      </c>
      <c r="AM1487" s="53">
        <v>32183000</v>
      </c>
      <c r="AO1487" s="53">
        <f t="shared" si="280"/>
        <v>0</v>
      </c>
      <c r="AP1487" s="53">
        <f t="shared" si="280"/>
        <v>20683080</v>
      </c>
      <c r="AQ1487" s="53">
        <f t="shared" si="280"/>
        <v>870500</v>
      </c>
      <c r="AR1487" s="53">
        <f t="shared" si="280"/>
        <v>0</v>
      </c>
      <c r="AS1487" s="53">
        <f t="shared" si="280"/>
        <v>0</v>
      </c>
      <c r="AT1487" s="53">
        <f t="shared" si="280"/>
        <v>0</v>
      </c>
      <c r="AU1487" s="53">
        <f t="shared" si="280"/>
        <v>0</v>
      </c>
      <c r="AV1487" s="53">
        <f t="shared" si="280"/>
        <v>0</v>
      </c>
      <c r="AW1487" s="53">
        <f t="shared" si="280"/>
        <v>0</v>
      </c>
      <c r="AX1487" s="53">
        <f t="shared" si="281"/>
        <v>348200000</v>
      </c>
      <c r="AY1487" s="41" t="s">
        <v>557</v>
      </c>
    </row>
    <row r="1488" spans="1:51" x14ac:dyDescent="0.2">
      <c r="A1488" s="41" t="s">
        <v>445</v>
      </c>
      <c r="B1488" s="41">
        <v>2006</v>
      </c>
      <c r="C1488" s="41" t="s">
        <v>87</v>
      </c>
      <c r="D1488" s="41" t="s">
        <v>440</v>
      </c>
      <c r="E1488" s="41">
        <v>100</v>
      </c>
      <c r="F1488" s="41" t="s">
        <v>577</v>
      </c>
      <c r="G1488" s="53">
        <v>4344000</v>
      </c>
      <c r="H1488" s="53"/>
      <c r="I1488" s="46">
        <v>5.14</v>
      </c>
      <c r="J1488" s="77">
        <v>0.25</v>
      </c>
      <c r="T1488" s="53">
        <v>20240.222100000003</v>
      </c>
      <c r="U1488" s="76">
        <f t="shared" si="279"/>
        <v>434.4</v>
      </c>
      <c r="AM1488" s="53">
        <v>51806000</v>
      </c>
      <c r="AO1488" s="53">
        <f t="shared" si="280"/>
        <v>0</v>
      </c>
      <c r="AP1488" s="53">
        <f t="shared" si="280"/>
        <v>22328160</v>
      </c>
      <c r="AQ1488" s="53">
        <f t="shared" si="280"/>
        <v>1086000</v>
      </c>
      <c r="AR1488" s="53">
        <f t="shared" si="280"/>
        <v>0</v>
      </c>
      <c r="AS1488" s="53">
        <f t="shared" si="280"/>
        <v>0</v>
      </c>
      <c r="AT1488" s="53">
        <f t="shared" si="280"/>
        <v>0</v>
      </c>
      <c r="AU1488" s="53">
        <f t="shared" si="280"/>
        <v>0</v>
      </c>
      <c r="AV1488" s="53">
        <f t="shared" si="280"/>
        <v>0</v>
      </c>
      <c r="AW1488" s="53">
        <f t="shared" si="280"/>
        <v>0</v>
      </c>
      <c r="AX1488" s="53">
        <f t="shared" si="281"/>
        <v>434400000</v>
      </c>
      <c r="AY1488" s="41" t="s">
        <v>557</v>
      </c>
    </row>
    <row r="1489" spans="1:51" x14ac:dyDescent="0.2">
      <c r="A1489" s="41" t="s">
        <v>445</v>
      </c>
      <c r="B1489" s="41">
        <v>2007</v>
      </c>
      <c r="C1489" s="41" t="s">
        <v>87</v>
      </c>
      <c r="D1489" s="41" t="s">
        <v>440</v>
      </c>
      <c r="E1489" s="41">
        <v>100</v>
      </c>
      <c r="F1489" s="41" t="s">
        <v>577</v>
      </c>
      <c r="G1489" s="53">
        <v>4816000</v>
      </c>
      <c r="H1489" s="53"/>
      <c r="I1489" s="46">
        <v>5.51</v>
      </c>
      <c r="J1489" s="77">
        <v>0.25</v>
      </c>
      <c r="T1489" s="53">
        <v>21776.562100000003</v>
      </c>
      <c r="U1489" s="76">
        <f t="shared" si="279"/>
        <v>481.6</v>
      </c>
      <c r="AM1489" s="53">
        <v>51334000</v>
      </c>
      <c r="AO1489" s="53">
        <f t="shared" si="280"/>
        <v>0</v>
      </c>
      <c r="AP1489" s="53">
        <f t="shared" si="280"/>
        <v>26536160</v>
      </c>
      <c r="AQ1489" s="53">
        <f t="shared" si="280"/>
        <v>1204000</v>
      </c>
      <c r="AR1489" s="53">
        <f t="shared" si="280"/>
        <v>0</v>
      </c>
      <c r="AS1489" s="53">
        <f t="shared" si="280"/>
        <v>0</v>
      </c>
      <c r="AT1489" s="53">
        <f t="shared" si="280"/>
        <v>0</v>
      </c>
      <c r="AU1489" s="53">
        <f t="shared" si="280"/>
        <v>0</v>
      </c>
      <c r="AV1489" s="53">
        <f t="shared" si="280"/>
        <v>0</v>
      </c>
      <c r="AW1489" s="53">
        <f t="shared" si="280"/>
        <v>0</v>
      </c>
      <c r="AX1489" s="53">
        <f t="shared" si="281"/>
        <v>481600000</v>
      </c>
      <c r="AY1489" s="41" t="s">
        <v>557</v>
      </c>
    </row>
    <row r="1490" spans="1:51" x14ac:dyDescent="0.2">
      <c r="A1490" s="41" t="s">
        <v>445</v>
      </c>
      <c r="B1490" s="41">
        <v>2008</v>
      </c>
      <c r="C1490" s="41" t="s">
        <v>87</v>
      </c>
      <c r="D1490" s="41" t="s">
        <v>440</v>
      </c>
      <c r="E1490" s="41">
        <v>100</v>
      </c>
      <c r="F1490" s="41" t="s">
        <v>577</v>
      </c>
      <c r="G1490" s="53">
        <v>4803000</v>
      </c>
      <c r="H1490" s="53"/>
      <c r="I1490" s="46">
        <v>5.86</v>
      </c>
      <c r="J1490" s="77">
        <v>0.25</v>
      </c>
      <c r="T1490" s="53">
        <v>23992.281600000002</v>
      </c>
      <c r="U1490" s="76">
        <f t="shared" si="279"/>
        <v>480.3</v>
      </c>
      <c r="AM1490" s="53">
        <v>36144000</v>
      </c>
      <c r="AO1490" s="53">
        <f t="shared" si="280"/>
        <v>0</v>
      </c>
      <c r="AP1490" s="53">
        <f t="shared" si="280"/>
        <v>28145580</v>
      </c>
      <c r="AQ1490" s="53">
        <f t="shared" si="280"/>
        <v>1200750</v>
      </c>
      <c r="AR1490" s="53">
        <f t="shared" si="280"/>
        <v>0</v>
      </c>
      <c r="AS1490" s="53">
        <f t="shared" si="280"/>
        <v>0</v>
      </c>
      <c r="AT1490" s="53">
        <f t="shared" si="280"/>
        <v>0</v>
      </c>
      <c r="AU1490" s="53">
        <f t="shared" si="280"/>
        <v>0</v>
      </c>
      <c r="AV1490" s="53">
        <f t="shared" si="280"/>
        <v>0</v>
      </c>
      <c r="AW1490" s="53">
        <f t="shared" si="280"/>
        <v>0</v>
      </c>
      <c r="AX1490" s="53">
        <f t="shared" si="281"/>
        <v>480300000</v>
      </c>
      <c r="AY1490" s="41" t="s">
        <v>557</v>
      </c>
    </row>
    <row r="1491" spans="1:51" x14ac:dyDescent="0.2">
      <c r="A1491" s="41" t="s">
        <v>445</v>
      </c>
      <c r="B1491" s="41">
        <v>2009</v>
      </c>
      <c r="C1491" s="41" t="s">
        <v>87</v>
      </c>
      <c r="D1491" s="41" t="s">
        <v>440</v>
      </c>
      <c r="E1491" s="41">
        <v>100</v>
      </c>
      <c r="F1491" s="41" t="s">
        <v>577</v>
      </c>
      <c r="G1491" s="53">
        <v>4843000</v>
      </c>
      <c r="H1491" s="53"/>
      <c r="I1491" s="46">
        <v>6.41</v>
      </c>
      <c r="J1491" s="77">
        <v>0.25</v>
      </c>
      <c r="T1491" s="53">
        <v>26540.4601</v>
      </c>
      <c r="U1491" s="76">
        <f t="shared" si="279"/>
        <v>484.3</v>
      </c>
      <c r="AM1491" s="53">
        <v>33649000</v>
      </c>
      <c r="AO1491" s="53">
        <f t="shared" si="280"/>
        <v>0</v>
      </c>
      <c r="AP1491" s="53">
        <f t="shared" si="280"/>
        <v>31043630</v>
      </c>
      <c r="AQ1491" s="53">
        <f t="shared" si="280"/>
        <v>1210750</v>
      </c>
      <c r="AR1491" s="53">
        <f t="shared" si="280"/>
        <v>0</v>
      </c>
      <c r="AS1491" s="53">
        <f t="shared" si="280"/>
        <v>0</v>
      </c>
      <c r="AT1491" s="53">
        <f t="shared" si="280"/>
        <v>0</v>
      </c>
      <c r="AU1491" s="53">
        <f t="shared" si="280"/>
        <v>0</v>
      </c>
      <c r="AV1491" s="53">
        <f t="shared" si="280"/>
        <v>0</v>
      </c>
      <c r="AW1491" s="53">
        <f t="shared" si="280"/>
        <v>0</v>
      </c>
      <c r="AX1491" s="53">
        <f t="shared" si="281"/>
        <v>484300000</v>
      </c>
      <c r="AY1491" s="41" t="s">
        <v>557</v>
      </c>
    </row>
    <row r="1492" spans="1:51" x14ac:dyDescent="0.2">
      <c r="A1492" s="41" t="s">
        <v>445</v>
      </c>
      <c r="B1492" s="41">
        <v>2010</v>
      </c>
      <c r="C1492" s="41" t="s">
        <v>87</v>
      </c>
      <c r="D1492" s="41" t="s">
        <v>440</v>
      </c>
      <c r="E1492" s="41">
        <v>100</v>
      </c>
      <c r="F1492" s="41" t="s">
        <v>577</v>
      </c>
      <c r="G1492" s="53">
        <v>5687000</v>
      </c>
      <c r="H1492" s="53"/>
      <c r="I1492" s="46">
        <v>5.2186759275540711</v>
      </c>
      <c r="J1492" s="77">
        <v>0.25</v>
      </c>
      <c r="T1492" s="53">
        <v>25093.8747</v>
      </c>
      <c r="U1492" s="76">
        <f t="shared" si="279"/>
        <v>568.70000000000005</v>
      </c>
      <c r="AM1492" s="53">
        <v>38690000</v>
      </c>
      <c r="AO1492" s="53">
        <f t="shared" si="280"/>
        <v>0</v>
      </c>
      <c r="AP1492" s="53">
        <f t="shared" si="280"/>
        <v>29678610.000000004</v>
      </c>
      <c r="AQ1492" s="53">
        <f t="shared" si="280"/>
        <v>1421750</v>
      </c>
      <c r="AR1492" s="53">
        <f t="shared" si="280"/>
        <v>0</v>
      </c>
      <c r="AS1492" s="53">
        <f t="shared" si="280"/>
        <v>0</v>
      </c>
      <c r="AT1492" s="53">
        <f t="shared" si="280"/>
        <v>0</v>
      </c>
      <c r="AU1492" s="53">
        <f t="shared" si="280"/>
        <v>0</v>
      </c>
      <c r="AV1492" s="53">
        <f t="shared" si="280"/>
        <v>0</v>
      </c>
      <c r="AW1492" s="53">
        <f t="shared" si="280"/>
        <v>0</v>
      </c>
      <c r="AX1492" s="53">
        <f t="shared" si="281"/>
        <v>568700000</v>
      </c>
      <c r="AY1492" s="41" t="s">
        <v>557</v>
      </c>
    </row>
    <row r="1493" spans="1:51" x14ac:dyDescent="0.2">
      <c r="A1493" s="41" t="s">
        <v>445</v>
      </c>
      <c r="B1493" s="41">
        <v>2011</v>
      </c>
      <c r="C1493" s="41" t="s">
        <v>87</v>
      </c>
      <c r="D1493" s="41" t="s">
        <v>440</v>
      </c>
      <c r="E1493" s="41">
        <v>100</v>
      </c>
      <c r="F1493" s="41" t="s">
        <v>577</v>
      </c>
      <c r="G1493" s="53">
        <v>6128000</v>
      </c>
      <c r="H1493" s="53"/>
      <c r="I1493" s="46">
        <v>4.0584970626631858</v>
      </c>
      <c r="J1493" s="77">
        <v>0.25</v>
      </c>
      <c r="T1493" s="53">
        <v>20309.544000000002</v>
      </c>
      <c r="U1493" s="76">
        <f t="shared" si="279"/>
        <v>612.79999999999995</v>
      </c>
      <c r="AM1493" s="53">
        <v>38897000</v>
      </c>
      <c r="AO1493" s="53">
        <f t="shared" si="280"/>
        <v>0</v>
      </c>
      <c r="AP1493" s="53">
        <f t="shared" si="280"/>
        <v>24870470.000000004</v>
      </c>
      <c r="AQ1493" s="53">
        <f t="shared" si="280"/>
        <v>1532000</v>
      </c>
      <c r="AR1493" s="53">
        <f t="shared" si="280"/>
        <v>0</v>
      </c>
      <c r="AS1493" s="53">
        <f t="shared" si="280"/>
        <v>0</v>
      </c>
      <c r="AT1493" s="53">
        <f t="shared" si="280"/>
        <v>0</v>
      </c>
      <c r="AU1493" s="53">
        <f t="shared" si="280"/>
        <v>0</v>
      </c>
      <c r="AV1493" s="53">
        <f t="shared" si="280"/>
        <v>0</v>
      </c>
      <c r="AW1493" s="53">
        <f t="shared" si="280"/>
        <v>0</v>
      </c>
      <c r="AX1493" s="53">
        <f t="shared" si="281"/>
        <v>612800000</v>
      </c>
      <c r="AY1493" s="41" t="s">
        <v>557</v>
      </c>
    </row>
    <row r="1494" spans="1:51" x14ac:dyDescent="0.2">
      <c r="A1494" s="41" t="s">
        <v>445</v>
      </c>
      <c r="B1494" s="41">
        <v>2012</v>
      </c>
      <c r="C1494" s="41" t="s">
        <v>87</v>
      </c>
      <c r="D1494" s="41" t="s">
        <v>440</v>
      </c>
      <c r="E1494" s="41">
        <v>100</v>
      </c>
      <c r="F1494" s="41" t="s">
        <v>577</v>
      </c>
      <c r="G1494" s="53">
        <v>5849000</v>
      </c>
      <c r="H1494" s="53"/>
      <c r="I1494" s="46">
        <v>3.7461343819456316</v>
      </c>
      <c r="J1494" s="56">
        <f>(1000*U1494)/G1494/0.25</f>
        <v>0.22455380406907163</v>
      </c>
      <c r="T1494" s="53">
        <v>18318.801900000002</v>
      </c>
      <c r="U1494" s="53">
        <f>10558*31.1/1000</f>
        <v>328.35379999999998</v>
      </c>
      <c r="AM1494" s="53">
        <v>21908000</v>
      </c>
      <c r="AO1494" s="53">
        <f t="shared" si="280"/>
        <v>0</v>
      </c>
      <c r="AP1494" s="53">
        <f t="shared" si="280"/>
        <v>21911140</v>
      </c>
      <c r="AQ1494" s="53">
        <f t="shared" si="280"/>
        <v>1313415.2</v>
      </c>
      <c r="AR1494" s="53">
        <f t="shared" si="280"/>
        <v>0</v>
      </c>
      <c r="AS1494" s="53">
        <f t="shared" si="280"/>
        <v>0</v>
      </c>
      <c r="AT1494" s="53">
        <f t="shared" si="280"/>
        <v>0</v>
      </c>
      <c r="AU1494" s="53">
        <f t="shared" si="280"/>
        <v>0</v>
      </c>
      <c r="AV1494" s="53">
        <f t="shared" si="280"/>
        <v>0</v>
      </c>
      <c r="AW1494" s="53">
        <f t="shared" si="280"/>
        <v>0</v>
      </c>
      <c r="AX1494" s="53">
        <f t="shared" si="281"/>
        <v>584900000</v>
      </c>
      <c r="AY1494" s="41" t="s">
        <v>557</v>
      </c>
    </row>
    <row r="1495" spans="1:51" x14ac:dyDescent="0.2">
      <c r="A1495" s="41" t="s">
        <v>445</v>
      </c>
      <c r="B1495" s="41">
        <v>2013</v>
      </c>
      <c r="C1495" s="41" t="s">
        <v>87</v>
      </c>
      <c r="D1495" s="41" t="s">
        <v>440</v>
      </c>
      <c r="E1495" s="41">
        <v>100</v>
      </c>
      <c r="F1495" s="41" t="s">
        <v>577</v>
      </c>
      <c r="G1495" s="53">
        <v>9380000</v>
      </c>
      <c r="H1495" s="53"/>
      <c r="I1495" s="46">
        <v>2.993673773987207</v>
      </c>
      <c r="J1495" s="56">
        <f>(1000*U1495)/G1495/0.25</f>
        <v>0.2621948827292111</v>
      </c>
      <c r="T1495" s="53">
        <v>23486.937699999999</v>
      </c>
      <c r="U1495" s="53">
        <f>19770*31.1/1000</f>
        <v>614.84699999999998</v>
      </c>
      <c r="AM1495" s="53">
        <v>17588000</v>
      </c>
      <c r="AO1495" s="53">
        <f t="shared" si="280"/>
        <v>0</v>
      </c>
      <c r="AP1495" s="53">
        <f t="shared" si="280"/>
        <v>28080660</v>
      </c>
      <c r="AQ1495" s="53">
        <f t="shared" si="280"/>
        <v>2459388</v>
      </c>
      <c r="AR1495" s="53">
        <f t="shared" si="280"/>
        <v>0</v>
      </c>
      <c r="AS1495" s="53">
        <f t="shared" si="280"/>
        <v>0</v>
      </c>
      <c r="AT1495" s="53">
        <f t="shared" si="280"/>
        <v>0</v>
      </c>
      <c r="AU1495" s="53">
        <f t="shared" si="280"/>
        <v>0</v>
      </c>
      <c r="AV1495" s="53">
        <f t="shared" si="280"/>
        <v>0</v>
      </c>
      <c r="AW1495" s="53">
        <f t="shared" si="280"/>
        <v>0</v>
      </c>
      <c r="AX1495" s="53">
        <f t="shared" si="281"/>
        <v>938000000</v>
      </c>
      <c r="AY1495" s="41" t="s">
        <v>557</v>
      </c>
    </row>
    <row r="1496" spans="1:51" x14ac:dyDescent="0.2">
      <c r="A1496" s="41" t="s">
        <v>445</v>
      </c>
      <c r="B1496" s="41">
        <v>2014</v>
      </c>
      <c r="C1496" s="41" t="s">
        <v>87</v>
      </c>
      <c r="D1496" s="41" t="s">
        <v>440</v>
      </c>
      <c r="E1496" s="41">
        <v>100</v>
      </c>
      <c r="F1496" s="41" t="s">
        <v>577</v>
      </c>
      <c r="G1496" s="53">
        <v>9967000</v>
      </c>
      <c r="H1496" s="53"/>
      <c r="I1496" s="46">
        <v>2.5086625865355674</v>
      </c>
      <c r="J1496" s="56">
        <f>(1000*U1496)/G1496/0.25</f>
        <v>0.32831764823918935</v>
      </c>
      <c r="T1496" s="53">
        <v>20326.617900000001</v>
      </c>
      <c r="U1496" s="53">
        <f>26305*31.1/1000</f>
        <v>818.08550000000002</v>
      </c>
      <c r="AM1496" s="53">
        <v>1413000</v>
      </c>
      <c r="AO1496" s="53">
        <f t="shared" si="280"/>
        <v>0</v>
      </c>
      <c r="AP1496" s="53">
        <f t="shared" si="280"/>
        <v>25003840</v>
      </c>
      <c r="AQ1496" s="53">
        <f t="shared" si="280"/>
        <v>3272342.0000000005</v>
      </c>
      <c r="AR1496" s="53">
        <f t="shared" si="280"/>
        <v>0</v>
      </c>
      <c r="AS1496" s="53">
        <f t="shared" si="280"/>
        <v>0</v>
      </c>
      <c r="AT1496" s="53">
        <f t="shared" si="280"/>
        <v>0</v>
      </c>
      <c r="AU1496" s="53">
        <f t="shared" si="280"/>
        <v>0</v>
      </c>
      <c r="AV1496" s="53">
        <f t="shared" si="280"/>
        <v>0</v>
      </c>
      <c r="AW1496" s="53">
        <f t="shared" si="280"/>
        <v>0</v>
      </c>
      <c r="AX1496" s="53">
        <f t="shared" si="281"/>
        <v>996700000</v>
      </c>
      <c r="AY1496" s="41" t="s">
        <v>557</v>
      </c>
    </row>
    <row r="1497" spans="1:51" x14ac:dyDescent="0.2">
      <c r="A1497" s="41" t="s">
        <v>445</v>
      </c>
      <c r="B1497" s="41">
        <v>2015</v>
      </c>
      <c r="C1497" s="41" t="s">
        <v>87</v>
      </c>
      <c r="D1497" s="41" t="s">
        <v>440</v>
      </c>
      <c r="E1497" s="41">
        <v>100</v>
      </c>
      <c r="F1497" s="41" t="s">
        <v>577</v>
      </c>
      <c r="G1497" s="53">
        <v>11596000</v>
      </c>
      <c r="H1497" s="53"/>
      <c r="I1497" s="46">
        <v>2.7526483270093136</v>
      </c>
      <c r="J1497" s="56">
        <f>(1000*U1497)/G1497/0.25</f>
        <v>0.17787826836840293</v>
      </c>
      <c r="T1497" s="53">
        <v>25038.205700000002</v>
      </c>
      <c r="U1497" s="53">
        <f>16581*31.1/1000</f>
        <v>515.66910000000007</v>
      </c>
      <c r="AM1497" s="53">
        <v>9504000</v>
      </c>
      <c r="AO1497" s="53">
        <f t="shared" si="280"/>
        <v>0</v>
      </c>
      <c r="AP1497" s="53">
        <f t="shared" si="280"/>
        <v>31919710</v>
      </c>
      <c r="AQ1497" s="53">
        <f t="shared" si="280"/>
        <v>2062676.4000000004</v>
      </c>
      <c r="AR1497" s="53">
        <f t="shared" si="280"/>
        <v>0</v>
      </c>
      <c r="AS1497" s="53">
        <f t="shared" si="280"/>
        <v>0</v>
      </c>
      <c r="AT1497" s="53">
        <f t="shared" si="280"/>
        <v>0</v>
      </c>
      <c r="AU1497" s="53">
        <f t="shared" si="280"/>
        <v>0</v>
      </c>
      <c r="AV1497" s="53">
        <f t="shared" si="280"/>
        <v>0</v>
      </c>
      <c r="AW1497" s="53">
        <f t="shared" si="280"/>
        <v>0</v>
      </c>
      <c r="AX1497" s="53">
        <f t="shared" si="281"/>
        <v>1159600000</v>
      </c>
      <c r="AY1497" s="41" t="s">
        <v>557</v>
      </c>
    </row>
    <row r="1498" spans="1:51" x14ac:dyDescent="0.2">
      <c r="A1498" s="41" t="s">
        <v>445</v>
      </c>
      <c r="B1498" s="60" t="s">
        <v>559</v>
      </c>
      <c r="C1498" s="60" t="s">
        <v>87</v>
      </c>
      <c r="D1498" s="60" t="s">
        <v>440</v>
      </c>
      <c r="E1498" s="60">
        <v>100</v>
      </c>
      <c r="F1498" s="60" t="s">
        <v>577</v>
      </c>
      <c r="G1498" s="79">
        <f>SUM(G1479:G1497)</f>
        <v>97003000</v>
      </c>
      <c r="I1498" s="80">
        <f>AP1498/$G1498</f>
        <v>4.5308007999752586</v>
      </c>
      <c r="J1498" s="80">
        <f>AQ1498/$G1498</f>
        <v>0.2490703545251178</v>
      </c>
      <c r="T1498" s="79">
        <f>SUM(T1479:T1497)</f>
        <v>379503.90780000004</v>
      </c>
      <c r="U1498" s="79">
        <f>SUM(U1479:U1497)</f>
        <v>8298.0554000000011</v>
      </c>
      <c r="AM1498" s="79">
        <f>SUM(AM1479:AM1497)</f>
        <v>535921000</v>
      </c>
      <c r="AO1498" s="79">
        <f t="shared" ref="AO1498:AX1498" si="282">SUM(AO1479:AO1497)</f>
        <v>0</v>
      </c>
      <c r="AP1498" s="79">
        <f t="shared" si="282"/>
        <v>439501270</v>
      </c>
      <c r="AQ1498" s="79">
        <f t="shared" si="282"/>
        <v>24160571.600000001</v>
      </c>
      <c r="AR1498" s="79">
        <f t="shared" si="282"/>
        <v>0</v>
      </c>
      <c r="AS1498" s="79">
        <f t="shared" si="282"/>
        <v>0</v>
      </c>
      <c r="AT1498" s="79">
        <f t="shared" si="282"/>
        <v>0</v>
      </c>
      <c r="AU1498" s="79">
        <f t="shared" si="282"/>
        <v>0</v>
      </c>
      <c r="AV1498" s="79">
        <f t="shared" si="282"/>
        <v>0</v>
      </c>
      <c r="AW1498" s="79">
        <f t="shared" si="282"/>
        <v>0</v>
      </c>
      <c r="AX1498" s="79">
        <f t="shared" si="282"/>
        <v>9700300000</v>
      </c>
      <c r="AY1498" s="41" t="s">
        <v>557</v>
      </c>
    </row>
    <row r="1499" spans="1:51" x14ac:dyDescent="0.2">
      <c r="A1499" s="41" t="s">
        <v>445</v>
      </c>
      <c r="B1499" s="43" t="s">
        <v>560</v>
      </c>
      <c r="G1499" s="53">
        <f>STDEV(G1479:G1497)</f>
        <v>2590552.9721961655</v>
      </c>
      <c r="I1499" s="46">
        <f>STDEV(I1479:I1497)</f>
        <v>1.3481610260040497</v>
      </c>
      <c r="J1499" s="46">
        <f>STDEV(J1479:J1497)</f>
        <v>2.5958088360498038E-2</v>
      </c>
      <c r="T1499" s="53">
        <f>STDEV(T1479:T1497)</f>
        <v>4333.252631502135</v>
      </c>
      <c r="U1499" s="53">
        <f>STDEV(U1479:U1497)</f>
        <v>148.56555249664211</v>
      </c>
      <c r="AM1499" s="53">
        <f>STDEV(AM1479:AM1497)</f>
        <v>12988457.650333349</v>
      </c>
      <c r="AY1499" s="41" t="s">
        <v>557</v>
      </c>
    </row>
    <row r="1500" spans="1:51" x14ac:dyDescent="0.2">
      <c r="A1500" s="41" t="s">
        <v>445</v>
      </c>
      <c r="B1500" s="81" t="s">
        <v>249</v>
      </c>
      <c r="G1500" s="41">
        <f>COUNT(G1479:G1497)</f>
        <v>19</v>
      </c>
      <c r="I1500" s="41">
        <f>COUNT(I1479:I1497)</f>
        <v>19</v>
      </c>
      <c r="J1500" s="41">
        <f>COUNT(J1479:J1497)</f>
        <v>19</v>
      </c>
      <c r="T1500" s="41">
        <f>COUNT(T1479:T1497)</f>
        <v>19</v>
      </c>
      <c r="U1500" s="41">
        <f>COUNT(U1479:U1497)</f>
        <v>19</v>
      </c>
      <c r="AM1500" s="41">
        <f>COUNT(AM1479:AM1497)</f>
        <v>19</v>
      </c>
      <c r="AY1500" s="41" t="s">
        <v>557</v>
      </c>
    </row>
    <row r="1501" spans="1:51" x14ac:dyDescent="0.2">
      <c r="A1501" s="82"/>
      <c r="B1501" s="82"/>
      <c r="C1501" s="82"/>
      <c r="D1501" s="82"/>
      <c r="E1501" s="82"/>
      <c r="F1501" s="82"/>
      <c r="G1501" s="82"/>
      <c r="H1501" s="82"/>
      <c r="I1501" s="82"/>
      <c r="J1501" s="82"/>
      <c r="K1501" s="82"/>
      <c r="L1501" s="82"/>
      <c r="M1501" s="82"/>
      <c r="N1501" s="82"/>
      <c r="O1501" s="82"/>
      <c r="P1501" s="82"/>
      <c r="Q1501" s="82"/>
      <c r="R1501" s="82"/>
      <c r="S1501" s="82"/>
      <c r="T1501" s="82"/>
      <c r="U1501" s="82"/>
      <c r="V1501" s="82"/>
      <c r="W1501" s="82"/>
      <c r="X1501" s="82"/>
      <c r="Y1501" s="82"/>
      <c r="Z1501" s="82"/>
      <c r="AA1501" s="82"/>
      <c r="AB1501" s="82"/>
      <c r="AC1501" s="82"/>
      <c r="AD1501" s="82"/>
      <c r="AE1501" s="82"/>
      <c r="AF1501" s="82"/>
      <c r="AG1501" s="82"/>
      <c r="AH1501" s="82"/>
      <c r="AI1501" s="82"/>
      <c r="AJ1501" s="82"/>
      <c r="AK1501" s="82"/>
      <c r="AL1501" s="82"/>
      <c r="AM1501" s="82"/>
      <c r="AN1501" s="82"/>
      <c r="AO1501" s="82"/>
      <c r="AP1501" s="82"/>
      <c r="AQ1501" s="82"/>
      <c r="AR1501" s="82"/>
      <c r="AS1501" s="82"/>
      <c r="AT1501" s="82"/>
      <c r="AU1501" s="82"/>
      <c r="AV1501" s="82"/>
      <c r="AW1501" s="82"/>
      <c r="AX1501" s="82"/>
      <c r="AY1501" s="41" t="s">
        <v>557</v>
      </c>
    </row>
    <row r="1502" spans="1:51" x14ac:dyDescent="0.2">
      <c r="A1502" s="41" t="s">
        <v>263</v>
      </c>
      <c r="B1502" s="41">
        <v>1999</v>
      </c>
      <c r="C1502" s="41" t="s">
        <v>91</v>
      </c>
      <c r="D1502" s="41" t="s">
        <v>88</v>
      </c>
      <c r="E1502" s="41">
        <v>0</v>
      </c>
      <c r="F1502" s="41" t="s">
        <v>599</v>
      </c>
      <c r="G1502" s="53">
        <v>144259.66740132237</v>
      </c>
      <c r="L1502" s="41">
        <v>2.1</v>
      </c>
      <c r="M1502" s="41">
        <v>11.5</v>
      </c>
      <c r="X1502" s="53">
        <v>9728.2860585836115</v>
      </c>
      <c r="Y1502" s="53">
        <v>5967.7419354838712</v>
      </c>
      <c r="Z1502" s="53">
        <v>21744.098277518697</v>
      </c>
      <c r="AA1502" s="53">
        <v>11612.903225806451</v>
      </c>
      <c r="AO1502" s="53">
        <f t="shared" ref="AO1502:AW1517" si="283">$G1502*H1502</f>
        <v>0</v>
      </c>
      <c r="AP1502" s="53">
        <f t="shared" si="283"/>
        <v>0</v>
      </c>
      <c r="AQ1502" s="53">
        <f t="shared" si="283"/>
        <v>0</v>
      </c>
      <c r="AR1502" s="53">
        <f t="shared" si="283"/>
        <v>0</v>
      </c>
      <c r="AS1502" s="53">
        <f t="shared" si="283"/>
        <v>302945.30154277699</v>
      </c>
      <c r="AT1502" s="53">
        <f t="shared" si="283"/>
        <v>1658986.1751152072</v>
      </c>
      <c r="AU1502" s="53">
        <f t="shared" si="283"/>
        <v>0</v>
      </c>
      <c r="AV1502" s="53">
        <f t="shared" si="283"/>
        <v>0</v>
      </c>
      <c r="AW1502" s="53">
        <f t="shared" si="283"/>
        <v>0</v>
      </c>
      <c r="AX1502" s="53">
        <f t="shared" ref="AX1502:AX1518" si="284">$G1502*E1502</f>
        <v>0</v>
      </c>
      <c r="AY1502" s="41" t="s">
        <v>557</v>
      </c>
    </row>
    <row r="1503" spans="1:51" x14ac:dyDescent="0.2">
      <c r="A1503" s="41" t="s">
        <v>263</v>
      </c>
      <c r="B1503" s="41">
        <v>2000</v>
      </c>
      <c r="C1503" s="41" t="s">
        <v>91</v>
      </c>
      <c r="D1503" s="41" t="s">
        <v>88</v>
      </c>
      <c r="E1503" s="41">
        <v>0</v>
      </c>
      <c r="F1503" s="41" t="s">
        <v>599</v>
      </c>
      <c r="G1503" s="53">
        <v>662442.39631336415</v>
      </c>
      <c r="L1503" s="41">
        <v>2.1</v>
      </c>
      <c r="M1503" s="41">
        <v>11.2</v>
      </c>
      <c r="X1503" s="53">
        <v>28133.151574822878</v>
      </c>
      <c r="Y1503" s="53">
        <v>17258.064516129034</v>
      </c>
      <c r="Z1503" s="53">
        <v>97244.439518903077</v>
      </c>
      <c r="AA1503" s="53">
        <v>51935.483870967742</v>
      </c>
      <c r="AO1503" s="53">
        <f t="shared" si="283"/>
        <v>0</v>
      </c>
      <c r="AP1503" s="53">
        <f t="shared" si="283"/>
        <v>0</v>
      </c>
      <c r="AQ1503" s="53">
        <f t="shared" si="283"/>
        <v>0</v>
      </c>
      <c r="AR1503" s="53">
        <f t="shared" si="283"/>
        <v>0</v>
      </c>
      <c r="AS1503" s="53">
        <f t="shared" si="283"/>
        <v>1391129.0322580647</v>
      </c>
      <c r="AT1503" s="53">
        <f t="shared" si="283"/>
        <v>7419354.8387096776</v>
      </c>
      <c r="AU1503" s="53">
        <f t="shared" si="283"/>
        <v>0</v>
      </c>
      <c r="AV1503" s="53">
        <f t="shared" si="283"/>
        <v>0</v>
      </c>
      <c r="AW1503" s="53">
        <f t="shared" si="283"/>
        <v>0</v>
      </c>
      <c r="AX1503" s="53">
        <f t="shared" si="284"/>
        <v>0</v>
      </c>
      <c r="AY1503" s="41" t="s">
        <v>557</v>
      </c>
    </row>
    <row r="1504" spans="1:51" x14ac:dyDescent="0.2">
      <c r="A1504" s="41" t="s">
        <v>263</v>
      </c>
      <c r="B1504" s="41">
        <v>2001</v>
      </c>
      <c r="C1504" s="41" t="s">
        <v>91</v>
      </c>
      <c r="D1504" s="41" t="s">
        <v>88</v>
      </c>
      <c r="E1504" s="41">
        <v>0</v>
      </c>
      <c r="F1504" s="41" t="s">
        <v>599</v>
      </c>
      <c r="G1504" s="53">
        <v>1145600</v>
      </c>
      <c r="L1504" s="41">
        <v>2.1</v>
      </c>
      <c r="M1504" s="41">
        <v>11.1</v>
      </c>
      <c r="X1504" s="53">
        <v>27549.454411307859</v>
      </c>
      <c r="Y1504" s="53">
        <v>16900</v>
      </c>
      <c r="Z1504" s="53">
        <v>198100.81536279398</v>
      </c>
      <c r="AA1504" s="53">
        <v>105800</v>
      </c>
      <c r="AO1504" s="53">
        <f t="shared" si="283"/>
        <v>0</v>
      </c>
      <c r="AP1504" s="53">
        <f t="shared" si="283"/>
        <v>0</v>
      </c>
      <c r="AQ1504" s="53">
        <f t="shared" si="283"/>
        <v>0</v>
      </c>
      <c r="AR1504" s="53">
        <f t="shared" si="283"/>
        <v>0</v>
      </c>
      <c r="AS1504" s="53">
        <f t="shared" si="283"/>
        <v>2405760</v>
      </c>
      <c r="AT1504" s="53">
        <f t="shared" si="283"/>
        <v>12716160</v>
      </c>
      <c r="AU1504" s="53">
        <f t="shared" si="283"/>
        <v>0</v>
      </c>
      <c r="AV1504" s="53">
        <f t="shared" si="283"/>
        <v>0</v>
      </c>
      <c r="AW1504" s="53">
        <f t="shared" si="283"/>
        <v>0</v>
      </c>
      <c r="AX1504" s="53">
        <f t="shared" si="284"/>
        <v>0</v>
      </c>
      <c r="AY1504" s="41" t="s">
        <v>557</v>
      </c>
    </row>
    <row r="1505" spans="1:51" x14ac:dyDescent="0.2">
      <c r="A1505" s="41" t="s">
        <v>263</v>
      </c>
      <c r="B1505" s="41">
        <v>2002</v>
      </c>
      <c r="C1505" s="41" t="s">
        <v>91</v>
      </c>
      <c r="D1505" s="41" t="s">
        <v>88</v>
      </c>
      <c r="E1505" s="41">
        <v>0</v>
      </c>
      <c r="F1505" s="41" t="s">
        <v>599</v>
      </c>
      <c r="G1505" s="53">
        <v>1541300</v>
      </c>
      <c r="L1505" s="41">
        <v>2.1</v>
      </c>
      <c r="M1505" s="41">
        <v>11.2</v>
      </c>
      <c r="X1505" s="53">
        <v>35863.195091643371</v>
      </c>
      <c r="Y1505" s="53">
        <v>22000</v>
      </c>
      <c r="Z1505" s="53">
        <v>283669.88211212936</v>
      </c>
      <c r="AA1505" s="53">
        <v>151500</v>
      </c>
      <c r="AO1505" s="53">
        <f t="shared" si="283"/>
        <v>0</v>
      </c>
      <c r="AP1505" s="53">
        <f t="shared" si="283"/>
        <v>0</v>
      </c>
      <c r="AQ1505" s="53">
        <f t="shared" si="283"/>
        <v>0</v>
      </c>
      <c r="AR1505" s="53">
        <f t="shared" si="283"/>
        <v>0</v>
      </c>
      <c r="AS1505" s="53">
        <f t="shared" si="283"/>
        <v>3236730</v>
      </c>
      <c r="AT1505" s="53">
        <f t="shared" si="283"/>
        <v>17262560</v>
      </c>
      <c r="AU1505" s="53">
        <f t="shared" si="283"/>
        <v>0</v>
      </c>
      <c r="AV1505" s="53">
        <f t="shared" si="283"/>
        <v>0</v>
      </c>
      <c r="AW1505" s="53">
        <f t="shared" si="283"/>
        <v>0</v>
      </c>
      <c r="AX1505" s="53">
        <f t="shared" si="284"/>
        <v>0</v>
      </c>
      <c r="AY1505" s="41" t="s">
        <v>557</v>
      </c>
    </row>
    <row r="1506" spans="1:51" x14ac:dyDescent="0.2">
      <c r="A1506" s="41" t="s">
        <v>263</v>
      </c>
      <c r="B1506" s="41">
        <v>2003</v>
      </c>
      <c r="C1506" s="41" t="s">
        <v>91</v>
      </c>
      <c r="D1506" s="41" t="s">
        <v>88</v>
      </c>
      <c r="E1506" s="41">
        <v>0</v>
      </c>
      <c r="F1506" s="41" t="s">
        <v>599</v>
      </c>
      <c r="G1506" s="53">
        <v>1521000</v>
      </c>
      <c r="L1506" s="41">
        <v>2.1</v>
      </c>
      <c r="M1506" s="41">
        <v>12.3</v>
      </c>
      <c r="X1506" s="53">
        <v>33907.020813917363</v>
      </c>
      <c r="Y1506" s="53">
        <v>20800</v>
      </c>
      <c r="Z1506" s="53">
        <v>316998.75274972606</v>
      </c>
      <c r="AA1506" s="53">
        <v>169300</v>
      </c>
      <c r="AO1506" s="53">
        <f t="shared" si="283"/>
        <v>0</v>
      </c>
      <c r="AP1506" s="53">
        <f t="shared" si="283"/>
        <v>0</v>
      </c>
      <c r="AQ1506" s="53">
        <f t="shared" si="283"/>
        <v>0</v>
      </c>
      <c r="AR1506" s="53">
        <f t="shared" si="283"/>
        <v>0</v>
      </c>
      <c r="AS1506" s="53">
        <f t="shared" si="283"/>
        <v>3194100</v>
      </c>
      <c r="AT1506" s="53">
        <f t="shared" si="283"/>
        <v>18708300</v>
      </c>
      <c r="AU1506" s="53">
        <f t="shared" si="283"/>
        <v>0</v>
      </c>
      <c r="AV1506" s="53">
        <f t="shared" si="283"/>
        <v>0</v>
      </c>
      <c r="AW1506" s="53">
        <f t="shared" si="283"/>
        <v>0</v>
      </c>
      <c r="AX1506" s="53">
        <f t="shared" si="284"/>
        <v>0</v>
      </c>
      <c r="AY1506" s="41" t="s">
        <v>557</v>
      </c>
    </row>
    <row r="1507" spans="1:51" x14ac:dyDescent="0.2">
      <c r="A1507" s="41" t="s">
        <v>263</v>
      </c>
      <c r="B1507" s="41">
        <v>2004</v>
      </c>
      <c r="C1507" s="41" t="s">
        <v>91</v>
      </c>
      <c r="D1507" s="41" t="s">
        <v>88</v>
      </c>
      <c r="E1507" s="41">
        <v>0</v>
      </c>
      <c r="F1507" s="41" t="s">
        <v>599</v>
      </c>
      <c r="G1507" s="53">
        <v>1460000</v>
      </c>
      <c r="L1507" s="41">
        <v>1.8</v>
      </c>
      <c r="M1507" s="41">
        <v>11.7</v>
      </c>
      <c r="X1507" s="53">
        <v>28038.497980739361</v>
      </c>
      <c r="Y1507" s="53">
        <v>17200</v>
      </c>
      <c r="Z1507" s="53">
        <v>292657.44273350376</v>
      </c>
      <c r="AA1507" s="53">
        <v>156300</v>
      </c>
      <c r="AO1507" s="53">
        <f t="shared" si="283"/>
        <v>0</v>
      </c>
      <c r="AP1507" s="53">
        <f t="shared" si="283"/>
        <v>0</v>
      </c>
      <c r="AQ1507" s="53">
        <f t="shared" si="283"/>
        <v>0</v>
      </c>
      <c r="AR1507" s="53">
        <f t="shared" si="283"/>
        <v>0</v>
      </c>
      <c r="AS1507" s="53">
        <f t="shared" si="283"/>
        <v>2628000</v>
      </c>
      <c r="AT1507" s="53">
        <f t="shared" si="283"/>
        <v>17082000</v>
      </c>
      <c r="AU1507" s="53">
        <f t="shared" si="283"/>
        <v>0</v>
      </c>
      <c r="AV1507" s="53">
        <f t="shared" si="283"/>
        <v>0</v>
      </c>
      <c r="AW1507" s="53">
        <f t="shared" si="283"/>
        <v>0</v>
      </c>
      <c r="AX1507" s="53">
        <f t="shared" si="284"/>
        <v>0</v>
      </c>
      <c r="AY1507" s="41" t="s">
        <v>557</v>
      </c>
    </row>
    <row r="1508" spans="1:51" x14ac:dyDescent="0.2">
      <c r="A1508" s="41" t="s">
        <v>263</v>
      </c>
      <c r="B1508" s="41">
        <v>2005</v>
      </c>
      <c r="C1508" s="41" t="s">
        <v>91</v>
      </c>
      <c r="D1508" s="41" t="s">
        <v>88</v>
      </c>
      <c r="E1508" s="41">
        <v>0</v>
      </c>
      <c r="F1508" s="41" t="s">
        <v>599</v>
      </c>
      <c r="G1508" s="53">
        <v>1461000</v>
      </c>
      <c r="L1508" s="47">
        <v>2</v>
      </c>
      <c r="M1508" s="47">
        <v>12</v>
      </c>
      <c r="X1508" s="53">
        <v>33907.020813917363</v>
      </c>
      <c r="Y1508" s="53">
        <v>20800</v>
      </c>
      <c r="Z1508" s="53">
        <v>298274.66812186275</v>
      </c>
      <c r="AA1508" s="53">
        <v>159300</v>
      </c>
      <c r="AO1508" s="53">
        <f t="shared" si="283"/>
        <v>0</v>
      </c>
      <c r="AP1508" s="53">
        <f t="shared" si="283"/>
        <v>0</v>
      </c>
      <c r="AQ1508" s="53">
        <f t="shared" si="283"/>
        <v>0</v>
      </c>
      <c r="AR1508" s="53">
        <f t="shared" si="283"/>
        <v>0</v>
      </c>
      <c r="AS1508" s="53">
        <f t="shared" si="283"/>
        <v>2922000</v>
      </c>
      <c r="AT1508" s="53">
        <f t="shared" si="283"/>
        <v>17532000</v>
      </c>
      <c r="AU1508" s="53">
        <f t="shared" si="283"/>
        <v>0</v>
      </c>
      <c r="AV1508" s="53">
        <f t="shared" si="283"/>
        <v>0</v>
      </c>
      <c r="AW1508" s="53">
        <f t="shared" si="283"/>
        <v>0</v>
      </c>
      <c r="AX1508" s="53">
        <f t="shared" si="284"/>
        <v>0</v>
      </c>
      <c r="AY1508" s="41" t="s">
        <v>557</v>
      </c>
    </row>
    <row r="1509" spans="1:51" x14ac:dyDescent="0.2">
      <c r="A1509" s="41" t="s">
        <v>263</v>
      </c>
      <c r="B1509" s="41">
        <v>2006</v>
      </c>
      <c r="C1509" s="41" t="s">
        <v>91</v>
      </c>
      <c r="D1509" s="41" t="s">
        <v>88</v>
      </c>
      <c r="E1509" s="41">
        <v>0</v>
      </c>
      <c r="F1509" s="41" t="s">
        <v>599</v>
      </c>
      <c r="G1509" s="53">
        <v>1527600</v>
      </c>
      <c r="L1509" s="41">
        <v>2.1</v>
      </c>
      <c r="M1509" s="41">
        <v>12.3</v>
      </c>
      <c r="X1509" s="53">
        <v>37656.354846225535</v>
      </c>
      <c r="Y1509" s="53">
        <v>23100</v>
      </c>
      <c r="Z1509" s="53">
        <v>319620.12459762697</v>
      </c>
      <c r="AA1509" s="53">
        <v>170700</v>
      </c>
      <c r="AO1509" s="53">
        <f t="shared" si="283"/>
        <v>0</v>
      </c>
      <c r="AP1509" s="53">
        <f t="shared" si="283"/>
        <v>0</v>
      </c>
      <c r="AQ1509" s="53">
        <f t="shared" si="283"/>
        <v>0</v>
      </c>
      <c r="AR1509" s="53">
        <f t="shared" si="283"/>
        <v>0</v>
      </c>
      <c r="AS1509" s="53">
        <f t="shared" si="283"/>
        <v>3207960</v>
      </c>
      <c r="AT1509" s="53">
        <f t="shared" si="283"/>
        <v>18789480</v>
      </c>
      <c r="AU1509" s="53">
        <f t="shared" si="283"/>
        <v>0</v>
      </c>
      <c r="AV1509" s="53">
        <f t="shared" si="283"/>
        <v>0</v>
      </c>
      <c r="AW1509" s="53">
        <f t="shared" si="283"/>
        <v>0</v>
      </c>
      <c r="AX1509" s="53">
        <f t="shared" si="284"/>
        <v>0</v>
      </c>
      <c r="AY1509" s="41" t="s">
        <v>557</v>
      </c>
    </row>
    <row r="1510" spans="1:51" x14ac:dyDescent="0.2">
      <c r="A1510" s="41" t="s">
        <v>263</v>
      </c>
      <c r="B1510" s="41">
        <v>2007</v>
      </c>
      <c r="C1510" s="41" t="s">
        <v>91</v>
      </c>
      <c r="D1510" s="41" t="s">
        <v>88</v>
      </c>
      <c r="E1510" s="41">
        <v>0</v>
      </c>
      <c r="F1510" s="41" t="s">
        <v>599</v>
      </c>
      <c r="G1510" s="53">
        <v>1513600</v>
      </c>
      <c r="L1510" s="41">
        <v>1.9</v>
      </c>
      <c r="M1510" s="47">
        <v>12</v>
      </c>
      <c r="X1510" s="53">
        <v>32928.933675054366</v>
      </c>
      <c r="Y1510" s="53">
        <v>20200</v>
      </c>
      <c r="Z1510" s="53">
        <v>308385.67382090894</v>
      </c>
      <c r="AA1510" s="53">
        <v>164700</v>
      </c>
      <c r="AO1510" s="53">
        <f t="shared" si="283"/>
        <v>0</v>
      </c>
      <c r="AP1510" s="53">
        <f t="shared" si="283"/>
        <v>0</v>
      </c>
      <c r="AQ1510" s="53">
        <f t="shared" si="283"/>
        <v>0</v>
      </c>
      <c r="AR1510" s="53">
        <f t="shared" si="283"/>
        <v>0</v>
      </c>
      <c r="AS1510" s="53">
        <f t="shared" si="283"/>
        <v>2875840</v>
      </c>
      <c r="AT1510" s="53">
        <f t="shared" si="283"/>
        <v>18163200</v>
      </c>
      <c r="AU1510" s="53">
        <f t="shared" si="283"/>
        <v>0</v>
      </c>
      <c r="AV1510" s="53">
        <f t="shared" si="283"/>
        <v>0</v>
      </c>
      <c r="AW1510" s="53">
        <f t="shared" si="283"/>
        <v>0</v>
      </c>
      <c r="AX1510" s="53">
        <f t="shared" si="284"/>
        <v>0</v>
      </c>
      <c r="AY1510" s="41" t="s">
        <v>557</v>
      </c>
    </row>
    <row r="1511" spans="1:51" x14ac:dyDescent="0.2">
      <c r="A1511" s="41" t="s">
        <v>263</v>
      </c>
      <c r="B1511" s="41">
        <v>2008</v>
      </c>
      <c r="C1511" s="41" t="s">
        <v>91</v>
      </c>
      <c r="D1511" s="41" t="s">
        <v>88</v>
      </c>
      <c r="E1511" s="41">
        <v>0</v>
      </c>
      <c r="F1511" s="41" t="s">
        <v>599</v>
      </c>
      <c r="G1511" s="53">
        <v>1516900</v>
      </c>
      <c r="L1511" s="41">
        <v>1.6</v>
      </c>
      <c r="M1511" s="41">
        <v>12.1</v>
      </c>
      <c r="X1511" s="53">
        <v>25919.309179869524</v>
      </c>
      <c r="Y1511" s="53">
        <v>15900</v>
      </c>
      <c r="Z1511" s="53">
        <v>313066.69497787481</v>
      </c>
      <c r="AA1511" s="53">
        <v>167200</v>
      </c>
      <c r="AO1511" s="53">
        <f t="shared" si="283"/>
        <v>0</v>
      </c>
      <c r="AP1511" s="53">
        <f t="shared" si="283"/>
        <v>0</v>
      </c>
      <c r="AQ1511" s="53">
        <f t="shared" si="283"/>
        <v>0</v>
      </c>
      <c r="AR1511" s="53">
        <f t="shared" si="283"/>
        <v>0</v>
      </c>
      <c r="AS1511" s="53">
        <f t="shared" si="283"/>
        <v>2427040</v>
      </c>
      <c r="AT1511" s="53">
        <f t="shared" si="283"/>
        <v>18354490</v>
      </c>
      <c r="AU1511" s="53">
        <f t="shared" si="283"/>
        <v>0</v>
      </c>
      <c r="AV1511" s="53">
        <f t="shared" si="283"/>
        <v>0</v>
      </c>
      <c r="AW1511" s="53">
        <f t="shared" si="283"/>
        <v>0</v>
      </c>
      <c r="AX1511" s="53">
        <f t="shared" si="284"/>
        <v>0</v>
      </c>
      <c r="AY1511" s="41" t="s">
        <v>557</v>
      </c>
    </row>
    <row r="1512" spans="1:51" x14ac:dyDescent="0.2">
      <c r="A1512" s="41" t="s">
        <v>263</v>
      </c>
      <c r="B1512" s="41">
        <v>2009</v>
      </c>
      <c r="C1512" s="41" t="s">
        <v>91</v>
      </c>
      <c r="D1512" s="41" t="s">
        <v>88</v>
      </c>
      <c r="E1512" s="41">
        <v>0</v>
      </c>
      <c r="F1512" s="41" t="s">
        <v>599</v>
      </c>
      <c r="G1512" s="53">
        <v>1526200</v>
      </c>
      <c r="L1512" s="41">
        <v>1.8</v>
      </c>
      <c r="M1512" s="41">
        <v>12.4</v>
      </c>
      <c r="X1512" s="53">
        <v>31298.788443616031</v>
      </c>
      <c r="Y1512" s="53">
        <v>19200</v>
      </c>
      <c r="Z1512" s="53">
        <v>321679.77390669193</v>
      </c>
      <c r="AA1512" s="53">
        <v>171800</v>
      </c>
      <c r="AO1512" s="53">
        <f t="shared" si="283"/>
        <v>0</v>
      </c>
      <c r="AP1512" s="53">
        <f t="shared" si="283"/>
        <v>0</v>
      </c>
      <c r="AQ1512" s="53">
        <f t="shared" si="283"/>
        <v>0</v>
      </c>
      <c r="AR1512" s="53">
        <f t="shared" si="283"/>
        <v>0</v>
      </c>
      <c r="AS1512" s="53">
        <f t="shared" si="283"/>
        <v>2747160</v>
      </c>
      <c r="AT1512" s="53">
        <f t="shared" si="283"/>
        <v>18924880</v>
      </c>
      <c r="AU1512" s="53">
        <f t="shared" si="283"/>
        <v>0</v>
      </c>
      <c r="AV1512" s="53">
        <f t="shared" si="283"/>
        <v>0</v>
      </c>
      <c r="AW1512" s="53">
        <f t="shared" si="283"/>
        <v>0</v>
      </c>
      <c r="AX1512" s="53">
        <f t="shared" si="284"/>
        <v>0</v>
      </c>
      <c r="AY1512" s="41" t="s">
        <v>557</v>
      </c>
    </row>
    <row r="1513" spans="1:51" x14ac:dyDescent="0.2">
      <c r="A1513" s="41" t="s">
        <v>263</v>
      </c>
      <c r="B1513" s="41">
        <v>2010</v>
      </c>
      <c r="C1513" s="41" t="s">
        <v>91</v>
      </c>
      <c r="D1513" s="41" t="s">
        <v>88</v>
      </c>
      <c r="E1513" s="41">
        <v>0</v>
      </c>
      <c r="F1513" s="41" t="s">
        <v>599</v>
      </c>
      <c r="G1513" s="53">
        <v>1587600</v>
      </c>
      <c r="L1513" s="41">
        <v>1.9</v>
      </c>
      <c r="M1513" s="41">
        <v>12.2</v>
      </c>
      <c r="X1513" s="53">
        <v>33580.991767629697</v>
      </c>
      <c r="Y1513" s="53">
        <v>20600</v>
      </c>
      <c r="Z1513" s="53">
        <v>327858.72183388681</v>
      </c>
      <c r="AA1513" s="53">
        <v>175100</v>
      </c>
      <c r="AO1513" s="53">
        <f t="shared" si="283"/>
        <v>0</v>
      </c>
      <c r="AP1513" s="53">
        <f t="shared" si="283"/>
        <v>0</v>
      </c>
      <c r="AQ1513" s="53">
        <f t="shared" si="283"/>
        <v>0</v>
      </c>
      <c r="AR1513" s="53">
        <f t="shared" si="283"/>
        <v>0</v>
      </c>
      <c r="AS1513" s="53">
        <f t="shared" si="283"/>
        <v>3016440</v>
      </c>
      <c r="AT1513" s="53">
        <f t="shared" si="283"/>
        <v>19368720</v>
      </c>
      <c r="AU1513" s="53">
        <f t="shared" si="283"/>
        <v>0</v>
      </c>
      <c r="AV1513" s="53">
        <f t="shared" si="283"/>
        <v>0</v>
      </c>
      <c r="AW1513" s="53">
        <f t="shared" si="283"/>
        <v>0</v>
      </c>
      <c r="AX1513" s="53">
        <f t="shared" si="284"/>
        <v>0</v>
      </c>
      <c r="AY1513" s="41" t="s">
        <v>557</v>
      </c>
    </row>
    <row r="1514" spans="1:51" x14ac:dyDescent="0.2">
      <c r="A1514" s="41" t="s">
        <v>263</v>
      </c>
      <c r="B1514" s="41">
        <v>2011</v>
      </c>
      <c r="C1514" s="41" t="s">
        <v>91</v>
      </c>
      <c r="D1514" s="41" t="s">
        <v>88</v>
      </c>
      <c r="E1514" s="41">
        <v>0</v>
      </c>
      <c r="F1514" s="41" t="s">
        <v>599</v>
      </c>
      <c r="G1514" s="53">
        <v>1397697</v>
      </c>
      <c r="L1514" s="47">
        <v>3.1499129687661482</v>
      </c>
      <c r="M1514" s="47">
        <v>14.56411670213374</v>
      </c>
      <c r="X1514" s="53">
        <v>49053</v>
      </c>
      <c r="Y1514" s="53">
        <v>30202</v>
      </c>
      <c r="Z1514" s="53">
        <v>343196</v>
      </c>
      <c r="AA1514" s="53">
        <v>183206</v>
      </c>
      <c r="AO1514" s="53">
        <f t="shared" si="283"/>
        <v>0</v>
      </c>
      <c r="AP1514" s="53">
        <f t="shared" si="283"/>
        <v>0</v>
      </c>
      <c r="AQ1514" s="53">
        <f t="shared" si="283"/>
        <v>0</v>
      </c>
      <c r="AR1514" s="53">
        <f t="shared" si="283"/>
        <v>0</v>
      </c>
      <c r="AS1514" s="53">
        <f t="shared" si="283"/>
        <v>4402623.9067055387</v>
      </c>
      <c r="AT1514" s="53">
        <f t="shared" si="283"/>
        <v>20356222.22222222</v>
      </c>
      <c r="AU1514" s="53">
        <f t="shared" si="283"/>
        <v>0</v>
      </c>
      <c r="AV1514" s="53">
        <f t="shared" si="283"/>
        <v>0</v>
      </c>
      <c r="AW1514" s="53">
        <f t="shared" si="283"/>
        <v>0</v>
      </c>
      <c r="AX1514" s="53">
        <f t="shared" si="284"/>
        <v>0</v>
      </c>
      <c r="AY1514" s="41" t="s">
        <v>557</v>
      </c>
    </row>
    <row r="1515" spans="1:51" x14ac:dyDescent="0.2">
      <c r="A1515" s="41" t="s">
        <v>263</v>
      </c>
      <c r="B1515" s="41">
        <v>2012</v>
      </c>
      <c r="C1515" s="41" t="s">
        <v>91</v>
      </c>
      <c r="D1515" s="41" t="s">
        <v>88</v>
      </c>
      <c r="E1515" s="41">
        <v>0</v>
      </c>
      <c r="F1515" s="41" t="s">
        <v>599</v>
      </c>
      <c r="G1515" s="53">
        <v>1458396</v>
      </c>
      <c r="L1515" s="47">
        <v>2.3396245775251927</v>
      </c>
      <c r="M1515" s="47">
        <v>12.912587984790596</v>
      </c>
      <c r="X1515" s="53">
        <v>39129</v>
      </c>
      <c r="Y1515" s="53">
        <v>23407</v>
      </c>
      <c r="Z1515" s="53">
        <v>317413</v>
      </c>
      <c r="AA1515" s="53">
        <v>169485</v>
      </c>
      <c r="AO1515" s="53">
        <f t="shared" si="283"/>
        <v>0</v>
      </c>
      <c r="AP1515" s="53">
        <f t="shared" si="283"/>
        <v>0</v>
      </c>
      <c r="AQ1515" s="53">
        <f t="shared" si="283"/>
        <v>0</v>
      </c>
      <c r="AR1515" s="53">
        <f t="shared" si="283"/>
        <v>0</v>
      </c>
      <c r="AS1515" s="53">
        <f t="shared" si="283"/>
        <v>3412099.1253644307</v>
      </c>
      <c r="AT1515" s="53">
        <f t="shared" si="283"/>
        <v>18831666.666666664</v>
      </c>
      <c r="AU1515" s="53">
        <f t="shared" si="283"/>
        <v>0</v>
      </c>
      <c r="AV1515" s="53">
        <f t="shared" si="283"/>
        <v>0</v>
      </c>
      <c r="AW1515" s="53">
        <f t="shared" si="283"/>
        <v>0</v>
      </c>
      <c r="AX1515" s="53">
        <f t="shared" si="284"/>
        <v>0</v>
      </c>
      <c r="AY1515" s="41" t="s">
        <v>557</v>
      </c>
    </row>
    <row r="1516" spans="1:51" x14ac:dyDescent="0.2">
      <c r="A1516" s="41" t="s">
        <v>263</v>
      </c>
      <c r="B1516" s="41">
        <v>2013</v>
      </c>
      <c r="C1516" s="41" t="s">
        <v>91</v>
      </c>
      <c r="D1516" s="41" t="s">
        <v>88</v>
      </c>
      <c r="E1516" s="41">
        <v>0</v>
      </c>
      <c r="F1516" s="41" t="s">
        <v>599</v>
      </c>
      <c r="G1516" s="53">
        <v>1287932</v>
      </c>
      <c r="L1516" s="47">
        <v>2.4230314243724127</v>
      </c>
      <c r="M1516" s="47">
        <v>13.02872442886046</v>
      </c>
      <c r="X1516" s="53">
        <v>34409</v>
      </c>
      <c r="Y1516" s="53">
        <v>21408</v>
      </c>
      <c r="Z1516" s="53">
        <v>282159</v>
      </c>
      <c r="AA1516" s="53">
        <v>151021</v>
      </c>
      <c r="AO1516" s="53">
        <f t="shared" si="283"/>
        <v>0</v>
      </c>
      <c r="AP1516" s="53">
        <f t="shared" si="283"/>
        <v>0</v>
      </c>
      <c r="AQ1516" s="53">
        <f t="shared" si="283"/>
        <v>0</v>
      </c>
      <c r="AR1516" s="53">
        <f t="shared" si="283"/>
        <v>0</v>
      </c>
      <c r="AS1516" s="53">
        <f t="shared" si="283"/>
        <v>3120699.7084548101</v>
      </c>
      <c r="AT1516" s="53">
        <f t="shared" si="283"/>
        <v>16780111.111111112</v>
      </c>
      <c r="AU1516" s="53">
        <f t="shared" si="283"/>
        <v>0</v>
      </c>
      <c r="AV1516" s="53">
        <f t="shared" si="283"/>
        <v>0</v>
      </c>
      <c r="AW1516" s="53">
        <f t="shared" si="283"/>
        <v>0</v>
      </c>
      <c r="AX1516" s="53">
        <f t="shared" si="284"/>
        <v>0</v>
      </c>
      <c r="AY1516" s="41" t="s">
        <v>557</v>
      </c>
    </row>
    <row r="1517" spans="1:51" x14ac:dyDescent="0.2">
      <c r="A1517" s="41" t="s">
        <v>263</v>
      </c>
      <c r="B1517" s="41">
        <v>2014</v>
      </c>
      <c r="C1517" s="41" t="s">
        <v>91</v>
      </c>
      <c r="D1517" s="41" t="s">
        <v>88</v>
      </c>
      <c r="E1517" s="41">
        <v>0</v>
      </c>
      <c r="F1517" s="41" t="s">
        <v>599</v>
      </c>
      <c r="G1517" s="53">
        <v>1362776</v>
      </c>
      <c r="L1517" s="47">
        <v>2.0607268090286843</v>
      </c>
      <c r="M1517" s="47">
        <v>10.67241506389246</v>
      </c>
      <c r="X1517" s="53">
        <v>30956</v>
      </c>
      <c r="Y1517" s="53">
        <v>19265</v>
      </c>
      <c r="Z1517" s="53">
        <v>244354</v>
      </c>
      <c r="AA1517" s="53">
        <v>130897</v>
      </c>
      <c r="AO1517" s="53">
        <f t="shared" si="283"/>
        <v>0</v>
      </c>
      <c r="AP1517" s="53">
        <f t="shared" si="283"/>
        <v>0</v>
      </c>
      <c r="AQ1517" s="53">
        <f t="shared" si="283"/>
        <v>0</v>
      </c>
      <c r="AR1517" s="53">
        <f t="shared" si="283"/>
        <v>0</v>
      </c>
      <c r="AS1517" s="53">
        <f t="shared" si="283"/>
        <v>2808309.0379008744</v>
      </c>
      <c r="AT1517" s="53">
        <f t="shared" si="283"/>
        <v>14544111.111111112</v>
      </c>
      <c r="AU1517" s="53">
        <f t="shared" si="283"/>
        <v>0</v>
      </c>
      <c r="AV1517" s="53">
        <f t="shared" si="283"/>
        <v>0</v>
      </c>
      <c r="AW1517" s="53">
        <f t="shared" si="283"/>
        <v>0</v>
      </c>
      <c r="AX1517" s="53">
        <f t="shared" si="284"/>
        <v>0</v>
      </c>
      <c r="AY1517" s="41" t="s">
        <v>557</v>
      </c>
    </row>
    <row r="1518" spans="1:51" x14ac:dyDescent="0.2">
      <c r="A1518" s="41" t="s">
        <v>263</v>
      </c>
      <c r="B1518" s="41">
        <v>2015</v>
      </c>
      <c r="C1518" s="41" t="s">
        <v>91</v>
      </c>
      <c r="D1518" s="41" t="s">
        <v>88</v>
      </c>
      <c r="E1518" s="41">
        <v>0</v>
      </c>
      <c r="F1518" s="41" t="s">
        <v>599</v>
      </c>
      <c r="G1518" s="53">
        <v>752749</v>
      </c>
      <c r="L1518" s="47">
        <v>1.6898217889463554</v>
      </c>
      <c r="M1518" s="47">
        <v>10.601881311772656</v>
      </c>
      <c r="X1518" s="53">
        <v>14371</v>
      </c>
      <c r="Y1518" s="53">
        <v>8726</v>
      </c>
      <c r="Z1518" s="53">
        <v>135611</v>
      </c>
      <c r="AA1518" s="53">
        <v>71825</v>
      </c>
      <c r="AO1518" s="53">
        <f t="shared" ref="AO1518:AW1518" si="285">$G1518*H1518</f>
        <v>0</v>
      </c>
      <c r="AP1518" s="53">
        <f t="shared" si="285"/>
        <v>0</v>
      </c>
      <c r="AQ1518" s="53">
        <f t="shared" si="285"/>
        <v>0</v>
      </c>
      <c r="AR1518" s="53">
        <f t="shared" si="285"/>
        <v>0</v>
      </c>
      <c r="AS1518" s="53">
        <f t="shared" si="285"/>
        <v>1272011.6618075802</v>
      </c>
      <c r="AT1518" s="53">
        <f t="shared" si="285"/>
        <v>7980555.555555555</v>
      </c>
      <c r="AU1518" s="53">
        <f t="shared" si="285"/>
        <v>0</v>
      </c>
      <c r="AV1518" s="53">
        <f t="shared" si="285"/>
        <v>0</v>
      </c>
      <c r="AW1518" s="53">
        <f t="shared" si="285"/>
        <v>0</v>
      </c>
      <c r="AX1518" s="53">
        <f t="shared" si="284"/>
        <v>0</v>
      </c>
      <c r="AY1518" s="41" t="s">
        <v>557</v>
      </c>
    </row>
    <row r="1519" spans="1:51" x14ac:dyDescent="0.2">
      <c r="A1519" s="41" t="s">
        <v>263</v>
      </c>
      <c r="B1519" s="60" t="s">
        <v>559</v>
      </c>
      <c r="C1519" s="60" t="s">
        <v>91</v>
      </c>
      <c r="D1519" s="60" t="s">
        <v>88</v>
      </c>
      <c r="E1519" s="60">
        <v>0</v>
      </c>
      <c r="F1519" s="60" t="s">
        <v>599</v>
      </c>
      <c r="G1519" s="79">
        <f>SUM(G1502:G1518)</f>
        <v>21867052.063714687</v>
      </c>
      <c r="L1519" s="78">
        <f>AS1519/$G1519</f>
        <v>2.0748497621826516</v>
      </c>
      <c r="M1519" s="78">
        <f>AT1519/$G1519</f>
        <v>12.094579411522375</v>
      </c>
      <c r="X1519" s="79">
        <f>SUM(X1502:X1518)</f>
        <v>526429.00465732696</v>
      </c>
      <c r="Y1519" s="79">
        <f>SUM(Y1502:Y1518)</f>
        <v>322933.80645161291</v>
      </c>
      <c r="Z1519" s="79">
        <f>SUM(Z1502:Z1518)</f>
        <v>4422034.0880134273</v>
      </c>
      <c r="AA1519" s="79">
        <f>SUM(AA1502:AA1518)</f>
        <v>2361682.3870967743</v>
      </c>
      <c r="AO1519" s="79">
        <f t="shared" ref="AO1519:AX1519" si="286">SUM(AO1502:AO1518)</f>
        <v>0</v>
      </c>
      <c r="AP1519" s="79">
        <f t="shared" si="286"/>
        <v>0</v>
      </c>
      <c r="AQ1519" s="79">
        <f t="shared" si="286"/>
        <v>0</v>
      </c>
      <c r="AR1519" s="79">
        <f t="shared" si="286"/>
        <v>0</v>
      </c>
      <c r="AS1519" s="79">
        <f t="shared" si="286"/>
        <v>45370847.774034075</v>
      </c>
      <c r="AT1519" s="79">
        <f t="shared" si="286"/>
        <v>264472797.68049151</v>
      </c>
      <c r="AU1519" s="79">
        <f t="shared" si="286"/>
        <v>0</v>
      </c>
      <c r="AV1519" s="79">
        <f t="shared" si="286"/>
        <v>0</v>
      </c>
      <c r="AW1519" s="79">
        <f t="shared" si="286"/>
        <v>0</v>
      </c>
      <c r="AX1519" s="79">
        <f t="shared" si="286"/>
        <v>0</v>
      </c>
      <c r="AY1519" s="41" t="s">
        <v>557</v>
      </c>
    </row>
    <row r="1520" spans="1:51" x14ac:dyDescent="0.2">
      <c r="A1520" s="41" t="s">
        <v>263</v>
      </c>
      <c r="B1520" s="43" t="s">
        <v>560</v>
      </c>
      <c r="G1520" s="53">
        <f>STDEV(G1502:G1518)</f>
        <v>398278.09593694692</v>
      </c>
      <c r="L1520" s="47">
        <f>STDEV(L1502:L1518)</f>
        <v>0.34844723440497882</v>
      </c>
      <c r="M1520" s="47">
        <f>STDEV(M1502:M1518)</f>
        <v>0.96825063592305827</v>
      </c>
      <c r="X1520" s="53">
        <f>STDEV(X1502:X1518)</f>
        <v>8953.5076441202218</v>
      </c>
      <c r="Y1520" s="53">
        <f>STDEV(Y1502:Y1518)</f>
        <v>5493.1437364555368</v>
      </c>
      <c r="Z1520" s="53">
        <f>STDEV(Z1502:Z1518)</f>
        <v>92525.121289356452</v>
      </c>
      <c r="AA1520" s="53">
        <f>STDEV(AA1502:AA1518)</f>
        <v>49460.451123593142</v>
      </c>
      <c r="AY1520" s="41" t="s">
        <v>557</v>
      </c>
    </row>
    <row r="1521" spans="1:51" x14ac:dyDescent="0.2">
      <c r="A1521" s="41" t="s">
        <v>263</v>
      </c>
      <c r="B1521" s="81" t="s">
        <v>249</v>
      </c>
      <c r="G1521" s="41">
        <f>COUNT(G1502:G1518)</f>
        <v>17</v>
      </c>
      <c r="L1521" s="41">
        <f>COUNT(L1502:L1518)</f>
        <v>17</v>
      </c>
      <c r="M1521" s="41">
        <f>COUNT(M1502:M1518)</f>
        <v>17</v>
      </c>
      <c r="X1521" s="41">
        <f>COUNT(X1502:X1518)</f>
        <v>17</v>
      </c>
      <c r="Y1521" s="41">
        <f>COUNT(Y1502:Y1518)</f>
        <v>17</v>
      </c>
      <c r="Z1521" s="41">
        <f>COUNT(Z1502:Z1518)</f>
        <v>17</v>
      </c>
      <c r="AA1521" s="41">
        <f>COUNT(AA1502:AA1518)</f>
        <v>17</v>
      </c>
      <c r="AY1521" s="41" t="s">
        <v>557</v>
      </c>
    </row>
    <row r="1522" spans="1:51" x14ac:dyDescent="0.2">
      <c r="A1522" s="82"/>
      <c r="B1522" s="82"/>
      <c r="C1522" s="82"/>
      <c r="D1522" s="82"/>
      <c r="E1522" s="82"/>
      <c r="F1522" s="82"/>
      <c r="G1522" s="82"/>
      <c r="H1522" s="82"/>
      <c r="I1522" s="82"/>
      <c r="J1522" s="82"/>
      <c r="K1522" s="82"/>
      <c r="L1522" s="82"/>
      <c r="M1522" s="82"/>
      <c r="N1522" s="82"/>
      <c r="O1522" s="82"/>
      <c r="P1522" s="82"/>
      <c r="Q1522" s="82"/>
      <c r="R1522" s="82"/>
      <c r="S1522" s="82"/>
      <c r="T1522" s="82"/>
      <c r="U1522" s="82"/>
      <c r="V1522" s="82"/>
      <c r="W1522" s="82"/>
      <c r="X1522" s="82"/>
      <c r="Y1522" s="82"/>
      <c r="Z1522" s="82"/>
      <c r="AA1522" s="82"/>
      <c r="AB1522" s="82"/>
      <c r="AC1522" s="82"/>
      <c r="AD1522" s="82"/>
      <c r="AE1522" s="82"/>
      <c r="AF1522" s="82"/>
      <c r="AG1522" s="82"/>
      <c r="AH1522" s="82"/>
      <c r="AI1522" s="82"/>
      <c r="AJ1522" s="82"/>
      <c r="AK1522" s="82"/>
      <c r="AL1522" s="82"/>
      <c r="AM1522" s="82"/>
      <c r="AN1522" s="82"/>
      <c r="AO1522" s="82"/>
      <c r="AP1522" s="82"/>
      <c r="AQ1522" s="82"/>
      <c r="AR1522" s="82"/>
      <c r="AS1522" s="82"/>
      <c r="AT1522" s="82"/>
      <c r="AU1522" s="82"/>
      <c r="AV1522" s="82"/>
      <c r="AW1522" s="82"/>
      <c r="AX1522" s="82"/>
      <c r="AY1522" s="41" t="s">
        <v>557</v>
      </c>
    </row>
    <row r="1523" spans="1:51" x14ac:dyDescent="0.2">
      <c r="A1523" s="41" t="s">
        <v>153</v>
      </c>
      <c r="B1523" s="41">
        <v>1998</v>
      </c>
      <c r="C1523" s="41" t="s">
        <v>87</v>
      </c>
      <c r="D1523" s="41" t="s">
        <v>113</v>
      </c>
      <c r="E1523" s="41">
        <v>100</v>
      </c>
      <c r="F1523" s="41" t="s">
        <v>9</v>
      </c>
      <c r="AI1523" s="53">
        <v>2648000</v>
      </c>
      <c r="AJ1523" s="59">
        <v>0.77</v>
      </c>
      <c r="AK1523" s="59"/>
      <c r="AL1523" s="53">
        <v>19297</v>
      </c>
      <c r="AM1523" s="91">
        <v>953280</v>
      </c>
      <c r="AO1523" s="53">
        <f t="shared" ref="AO1523:AO1541" si="287">$AI1523*AJ1523</f>
        <v>2038960</v>
      </c>
      <c r="AX1523" s="53">
        <f>$AI1523*E1523</f>
        <v>264800000</v>
      </c>
      <c r="AY1523" s="41" t="s">
        <v>557</v>
      </c>
    </row>
    <row r="1524" spans="1:51" x14ac:dyDescent="0.2">
      <c r="A1524" s="41" t="s">
        <v>153</v>
      </c>
      <c r="B1524" s="41">
        <v>1999</v>
      </c>
      <c r="C1524" s="41" t="s">
        <v>87</v>
      </c>
      <c r="D1524" s="41" t="s">
        <v>113</v>
      </c>
      <c r="E1524" s="41">
        <v>100</v>
      </c>
      <c r="F1524" s="41" t="s">
        <v>9</v>
      </c>
      <c r="AI1524" s="53">
        <v>8081000</v>
      </c>
      <c r="AJ1524" s="59">
        <v>0.59</v>
      </c>
      <c r="AK1524" s="59"/>
      <c r="AL1524" s="53">
        <v>44640</v>
      </c>
      <c r="AM1524" s="91">
        <v>2909160</v>
      </c>
      <c r="AO1524" s="53">
        <f t="shared" si="287"/>
        <v>4767790</v>
      </c>
      <c r="AX1524" s="53">
        <f t="shared" ref="AX1524:AX1541" si="288">$AI1524*E1524</f>
        <v>808100000</v>
      </c>
      <c r="AY1524" s="41" t="s">
        <v>557</v>
      </c>
    </row>
    <row r="1525" spans="1:51" x14ac:dyDescent="0.2">
      <c r="A1525" s="41" t="s">
        <v>153</v>
      </c>
      <c r="B1525" s="41">
        <v>2000</v>
      </c>
      <c r="C1525" s="41" t="s">
        <v>87</v>
      </c>
      <c r="D1525" s="41" t="s">
        <v>113</v>
      </c>
      <c r="E1525" s="41">
        <v>100</v>
      </c>
      <c r="F1525" s="41" t="s">
        <v>9</v>
      </c>
      <c r="AI1525" s="53">
        <v>10006000</v>
      </c>
      <c r="AJ1525" s="59">
        <v>0.48</v>
      </c>
      <c r="AK1525" s="59"/>
      <c r="AL1525" s="53">
        <v>51292</v>
      </c>
      <c r="AM1525" s="91">
        <v>3602160</v>
      </c>
      <c r="AO1525" s="53">
        <f t="shared" si="287"/>
        <v>4802880</v>
      </c>
      <c r="AX1525" s="53">
        <f t="shared" si="288"/>
        <v>1000600000</v>
      </c>
      <c r="AY1525" s="41" t="s">
        <v>557</v>
      </c>
    </row>
    <row r="1526" spans="1:51" x14ac:dyDescent="0.2">
      <c r="A1526" s="41" t="s">
        <v>153</v>
      </c>
      <c r="B1526" s="41">
        <v>2001</v>
      </c>
      <c r="C1526" s="41" t="s">
        <v>87</v>
      </c>
      <c r="D1526" s="41" t="s">
        <v>113</v>
      </c>
      <c r="E1526" s="41">
        <v>100</v>
      </c>
      <c r="F1526" s="41" t="s">
        <v>9</v>
      </c>
      <c r="AI1526" s="92">
        <v>21700000</v>
      </c>
      <c r="AJ1526" s="122">
        <v>0.37063857801184996</v>
      </c>
      <c r="AK1526" s="122"/>
      <c r="AL1526" s="53">
        <v>56300</v>
      </c>
      <c r="AM1526" s="91">
        <v>7812000</v>
      </c>
      <c r="AO1526" s="53">
        <f t="shared" si="287"/>
        <v>8042857.1428571446</v>
      </c>
      <c r="AX1526" s="53">
        <f t="shared" si="288"/>
        <v>2170000000</v>
      </c>
      <c r="AY1526" s="41" t="s">
        <v>557</v>
      </c>
    </row>
    <row r="1527" spans="1:51" x14ac:dyDescent="0.2">
      <c r="A1527" s="41" t="s">
        <v>153</v>
      </c>
      <c r="B1527" s="41">
        <v>2002</v>
      </c>
      <c r="C1527" s="41" t="s">
        <v>87</v>
      </c>
      <c r="D1527" s="41" t="s">
        <v>113</v>
      </c>
      <c r="E1527" s="41">
        <v>100</v>
      </c>
      <c r="F1527" s="41" t="s">
        <v>9</v>
      </c>
      <c r="AI1527" s="92">
        <v>26700000</v>
      </c>
      <c r="AJ1527" s="122">
        <v>0.31728196896736227</v>
      </c>
      <c r="AK1527" s="122"/>
      <c r="AL1527" s="53">
        <v>59300</v>
      </c>
      <c r="AM1527" s="91">
        <v>9612000</v>
      </c>
      <c r="AO1527" s="53">
        <f t="shared" si="287"/>
        <v>8471428.5714285728</v>
      </c>
      <c r="AX1527" s="53">
        <f t="shared" si="288"/>
        <v>2670000000</v>
      </c>
      <c r="AY1527" s="41" t="s">
        <v>557</v>
      </c>
    </row>
    <row r="1528" spans="1:51" x14ac:dyDescent="0.2">
      <c r="A1528" s="41" t="s">
        <v>153</v>
      </c>
      <c r="B1528" s="41">
        <v>2003</v>
      </c>
      <c r="C1528" s="41" t="s">
        <v>87</v>
      </c>
      <c r="D1528" s="41" t="s">
        <v>113</v>
      </c>
      <c r="E1528" s="41">
        <v>100</v>
      </c>
      <c r="F1528" s="41" t="s">
        <v>9</v>
      </c>
      <c r="AI1528" s="92">
        <v>30400000</v>
      </c>
      <c r="AJ1528" s="122">
        <v>0.30580465587044531</v>
      </c>
      <c r="AK1528" s="122"/>
      <c r="AL1528" s="53">
        <v>60427</v>
      </c>
      <c r="AM1528" s="91">
        <v>10944000</v>
      </c>
      <c r="AO1528" s="53">
        <f t="shared" si="287"/>
        <v>9296461.538461538</v>
      </c>
      <c r="AX1528" s="53">
        <f t="shared" si="288"/>
        <v>3040000000</v>
      </c>
      <c r="AY1528" s="41" t="s">
        <v>557</v>
      </c>
    </row>
    <row r="1529" spans="1:51" x14ac:dyDescent="0.2">
      <c r="A1529" s="41" t="s">
        <v>153</v>
      </c>
      <c r="B1529" s="41">
        <v>2004</v>
      </c>
      <c r="C1529" s="41" t="s">
        <v>87</v>
      </c>
      <c r="D1529" s="41" t="s">
        <v>113</v>
      </c>
      <c r="E1529" s="41">
        <v>100</v>
      </c>
      <c r="F1529" s="41" t="s">
        <v>9</v>
      </c>
      <c r="AI1529" s="92">
        <v>29600000</v>
      </c>
      <c r="AJ1529" s="122">
        <v>0.32245841995841995</v>
      </c>
      <c r="AK1529" s="122"/>
      <c r="AL1529" s="53">
        <v>62041</v>
      </c>
      <c r="AM1529" s="91">
        <v>10656000</v>
      </c>
      <c r="AO1529" s="53">
        <f t="shared" si="287"/>
        <v>9544769.2307692301</v>
      </c>
      <c r="AX1529" s="53">
        <f t="shared" si="288"/>
        <v>2960000000</v>
      </c>
      <c r="AY1529" s="41" t="s">
        <v>557</v>
      </c>
    </row>
    <row r="1530" spans="1:51" x14ac:dyDescent="0.2">
      <c r="A1530" s="41" t="s">
        <v>153</v>
      </c>
      <c r="B1530" s="41">
        <v>2005</v>
      </c>
      <c r="C1530" s="41" t="s">
        <v>87</v>
      </c>
      <c r="D1530" s="41" t="s">
        <v>113</v>
      </c>
      <c r="E1530" s="41">
        <v>100</v>
      </c>
      <c r="F1530" s="41" t="s">
        <v>9</v>
      </c>
      <c r="AI1530" s="53">
        <v>37911430</v>
      </c>
      <c r="AJ1530" s="46">
        <v>0.31508968667233073</v>
      </c>
      <c r="AK1530" s="46"/>
      <c r="AL1530" s="53">
        <v>63147</v>
      </c>
      <c r="AM1530" s="53">
        <v>2705910</v>
      </c>
      <c r="AO1530" s="53">
        <f t="shared" si="287"/>
        <v>11945500.6</v>
      </c>
      <c r="AX1530" s="53">
        <f t="shared" si="288"/>
        <v>3791143000</v>
      </c>
      <c r="AY1530" s="41" t="s">
        <v>557</v>
      </c>
    </row>
    <row r="1531" spans="1:51" x14ac:dyDescent="0.2">
      <c r="A1531" s="41" t="s">
        <v>153</v>
      </c>
      <c r="B1531" s="41">
        <v>2006</v>
      </c>
      <c r="C1531" s="41" t="s">
        <v>87</v>
      </c>
      <c r="D1531" s="41" t="s">
        <v>113</v>
      </c>
      <c r="E1531" s="41">
        <v>100</v>
      </c>
      <c r="F1531" s="41" t="s">
        <v>9</v>
      </c>
      <c r="AI1531" s="53">
        <v>28708321</v>
      </c>
      <c r="AJ1531" s="46">
        <v>0.36012545665767082</v>
      </c>
      <c r="AK1531" s="46"/>
      <c r="AL1531" s="53">
        <v>64312</v>
      </c>
      <c r="AM1531" s="53">
        <v>12950310</v>
      </c>
      <c r="AO1531" s="53">
        <f t="shared" si="287"/>
        <v>10338597.210000001</v>
      </c>
      <c r="AX1531" s="53">
        <f t="shared" si="288"/>
        <v>2870832100</v>
      </c>
      <c r="AY1531" s="41" t="s">
        <v>557</v>
      </c>
    </row>
    <row r="1532" spans="1:51" x14ac:dyDescent="0.2">
      <c r="A1532" s="41" t="s">
        <v>153</v>
      </c>
      <c r="B1532" s="41">
        <v>2007</v>
      </c>
      <c r="C1532" s="41" t="s">
        <v>87</v>
      </c>
      <c r="D1532" s="41" t="s">
        <v>113</v>
      </c>
      <c r="E1532" s="41">
        <v>100</v>
      </c>
      <c r="F1532" s="41" t="s">
        <v>9</v>
      </c>
      <c r="AI1532" s="53">
        <v>35539546</v>
      </c>
      <c r="AJ1532" s="46">
        <v>0.30896786638748847</v>
      </c>
      <c r="AK1532" s="46"/>
      <c r="AL1532" s="53">
        <v>61401</v>
      </c>
      <c r="AM1532" s="53">
        <v>12457829</v>
      </c>
      <c r="AO1532" s="53">
        <f t="shared" si="287"/>
        <v>10980577.699999999</v>
      </c>
      <c r="AX1532" s="53">
        <f t="shared" si="288"/>
        <v>3553954600</v>
      </c>
      <c r="AY1532" s="41" t="s">
        <v>557</v>
      </c>
    </row>
    <row r="1533" spans="1:51" x14ac:dyDescent="0.2">
      <c r="A1533" s="41" t="s">
        <v>153</v>
      </c>
      <c r="B1533" s="41">
        <v>2008</v>
      </c>
      <c r="C1533" s="41" t="s">
        <v>87</v>
      </c>
      <c r="D1533" s="41" t="s">
        <v>113</v>
      </c>
      <c r="E1533" s="41">
        <v>100</v>
      </c>
      <c r="F1533" s="41" t="s">
        <v>9</v>
      </c>
      <c r="AI1533" s="53">
        <v>44779539</v>
      </c>
      <c r="AJ1533" s="46">
        <v>0.28494985064495637</v>
      </c>
      <c r="AK1533" s="46"/>
      <c r="AL1533" s="53">
        <v>59134</v>
      </c>
      <c r="AM1533" s="53">
        <v>7565814</v>
      </c>
      <c r="AO1533" s="53">
        <f t="shared" si="287"/>
        <v>12759922.949999999</v>
      </c>
      <c r="AX1533" s="53">
        <f t="shared" si="288"/>
        <v>4477953900</v>
      </c>
      <c r="AY1533" s="41" t="s">
        <v>557</v>
      </c>
    </row>
    <row r="1534" spans="1:51" x14ac:dyDescent="0.2">
      <c r="A1534" s="41" t="s">
        <v>153</v>
      </c>
      <c r="B1534" s="41">
        <v>2009</v>
      </c>
      <c r="C1534" s="41" t="s">
        <v>87</v>
      </c>
      <c r="D1534" s="41" t="s">
        <v>113</v>
      </c>
      <c r="E1534" s="41">
        <v>100</v>
      </c>
      <c r="F1534" s="41" t="s">
        <v>9</v>
      </c>
      <c r="AI1534" s="53">
        <v>50997825</v>
      </c>
      <c r="AJ1534" s="46">
        <v>0.31403927775351204</v>
      </c>
      <c r="AK1534" s="46"/>
      <c r="AL1534" s="53">
        <v>73043</v>
      </c>
      <c r="AM1534" s="53">
        <v>3377131</v>
      </c>
      <c r="AO1534" s="53">
        <f t="shared" si="287"/>
        <v>16015320.130000001</v>
      </c>
      <c r="AX1534" s="53">
        <f t="shared" si="288"/>
        <v>5099782500</v>
      </c>
      <c r="AY1534" s="41" t="s">
        <v>557</v>
      </c>
    </row>
    <row r="1535" spans="1:51" x14ac:dyDescent="0.2">
      <c r="A1535" s="41" t="s">
        <v>153</v>
      </c>
      <c r="B1535" s="41">
        <v>2010</v>
      </c>
      <c r="C1535" s="41" t="s">
        <v>87</v>
      </c>
      <c r="D1535" s="41" t="s">
        <v>113</v>
      </c>
      <c r="E1535" s="41">
        <v>100</v>
      </c>
      <c r="F1535" s="41" t="s">
        <v>9</v>
      </c>
      <c r="AI1535" s="53">
        <v>49143981</v>
      </c>
      <c r="AJ1535" s="46">
        <v>0.29765651280876088</v>
      </c>
      <c r="AK1535" s="46"/>
      <c r="AL1535" s="53">
        <v>71795</v>
      </c>
      <c r="AM1535" s="53">
        <v>7494870</v>
      </c>
      <c r="AO1535" s="53">
        <f t="shared" si="287"/>
        <v>14628026.010000002</v>
      </c>
      <c r="AX1535" s="53">
        <f t="shared" si="288"/>
        <v>4914398100</v>
      </c>
      <c r="AY1535" s="41" t="s">
        <v>557</v>
      </c>
    </row>
    <row r="1536" spans="1:51" x14ac:dyDescent="0.2">
      <c r="A1536" s="41" t="s">
        <v>153</v>
      </c>
      <c r="B1536" s="41">
        <v>2011</v>
      </c>
      <c r="C1536" s="41" t="s">
        <v>87</v>
      </c>
      <c r="D1536" s="41" t="s">
        <v>113</v>
      </c>
      <c r="E1536" s="41">
        <v>100</v>
      </c>
      <c r="F1536" s="41" t="s">
        <v>9</v>
      </c>
      <c r="AI1536" s="53">
        <v>57307226</v>
      </c>
      <c r="AJ1536" s="46">
        <v>0.28783789639372875</v>
      </c>
      <c r="AK1536" s="46"/>
      <c r="AL1536" s="53">
        <v>73605</v>
      </c>
      <c r="AM1536" s="53">
        <v>9593683</v>
      </c>
      <c r="AO1536" s="53">
        <f t="shared" si="287"/>
        <v>16495191.379999999</v>
      </c>
      <c r="AX1536" s="53">
        <f t="shared" si="288"/>
        <v>5730722600</v>
      </c>
      <c r="AY1536" s="41" t="s">
        <v>557</v>
      </c>
    </row>
    <row r="1537" spans="1:51" x14ac:dyDescent="0.2">
      <c r="A1537" s="41" t="s">
        <v>153</v>
      </c>
      <c r="B1537" s="41">
        <v>2012</v>
      </c>
      <c r="C1537" s="41" t="s">
        <v>87</v>
      </c>
      <c r="D1537" s="41" t="s">
        <v>113</v>
      </c>
      <c r="E1537" s="41">
        <v>100</v>
      </c>
      <c r="F1537" s="41" t="s">
        <v>9</v>
      </c>
      <c r="AI1537" s="53">
        <v>53610449</v>
      </c>
      <c r="AJ1537" s="46">
        <v>0.28200412199494918</v>
      </c>
      <c r="AK1537" s="46"/>
      <c r="AL1537" s="53">
        <v>73333</v>
      </c>
      <c r="AM1537" s="53">
        <v>8945999</v>
      </c>
      <c r="AO1537" s="53">
        <f t="shared" si="287"/>
        <v>15118367.600000001</v>
      </c>
      <c r="AX1537" s="53">
        <f t="shared" si="288"/>
        <v>5361044900</v>
      </c>
      <c r="AY1537" s="41" t="s">
        <v>557</v>
      </c>
    </row>
    <row r="1538" spans="1:51" x14ac:dyDescent="0.2">
      <c r="A1538" s="41" t="s">
        <v>153</v>
      </c>
      <c r="B1538" s="41">
        <v>2013</v>
      </c>
      <c r="C1538" s="41" t="s">
        <v>87</v>
      </c>
      <c r="D1538" s="41" t="s">
        <v>113</v>
      </c>
      <c r="E1538" s="41">
        <v>100</v>
      </c>
      <c r="F1538" s="41" t="s">
        <v>9</v>
      </c>
      <c r="AI1538" s="91">
        <v>44726584.673604533</v>
      </c>
      <c r="AJ1538" s="56">
        <v>0.3317937219730942</v>
      </c>
      <c r="AK1538" s="56"/>
      <c r="AL1538" s="53">
        <v>74200</v>
      </c>
      <c r="AM1538" s="91">
        <v>7156253.5477767251</v>
      </c>
      <c r="AO1538" s="53">
        <f t="shared" si="287"/>
        <v>14839999.999999998</v>
      </c>
      <c r="AX1538" s="53">
        <f t="shared" si="288"/>
        <v>4472658467.3604536</v>
      </c>
      <c r="AY1538" s="41" t="s">
        <v>557</v>
      </c>
    </row>
    <row r="1539" spans="1:51" x14ac:dyDescent="0.2">
      <c r="A1539" s="41" t="s">
        <v>153</v>
      </c>
      <c r="B1539" s="41">
        <v>2014</v>
      </c>
      <c r="C1539" s="41" t="s">
        <v>87</v>
      </c>
      <c r="D1539" s="41" t="s">
        <v>113</v>
      </c>
      <c r="E1539" s="41">
        <v>100</v>
      </c>
      <c r="F1539" s="41" t="s">
        <v>9</v>
      </c>
      <c r="AI1539" s="91">
        <v>43646758.075761095</v>
      </c>
      <c r="AJ1539" s="56">
        <v>0.30517730496453904</v>
      </c>
      <c r="AK1539" s="56"/>
      <c r="AL1539" s="53">
        <v>66600</v>
      </c>
      <c r="AM1539" s="91">
        <v>6983481.2921217754</v>
      </c>
      <c r="AO1539" s="53">
        <f t="shared" si="287"/>
        <v>13320000</v>
      </c>
      <c r="AX1539" s="53">
        <f t="shared" si="288"/>
        <v>4364675807.5761099</v>
      </c>
      <c r="AY1539" s="41" t="s">
        <v>557</v>
      </c>
    </row>
    <row r="1540" spans="1:51" x14ac:dyDescent="0.2">
      <c r="A1540" s="41" t="s">
        <v>153</v>
      </c>
      <c r="B1540" s="41">
        <v>2015</v>
      </c>
      <c r="C1540" s="41" t="s">
        <v>87</v>
      </c>
      <c r="D1540" s="41" t="s">
        <v>113</v>
      </c>
      <c r="E1540" s="41">
        <v>100</v>
      </c>
      <c r="F1540" s="41" t="s">
        <v>9</v>
      </c>
      <c r="AI1540" s="91">
        <v>48390772.368085645</v>
      </c>
      <c r="AJ1540" s="56">
        <v>0.29385767790262174</v>
      </c>
      <c r="AK1540" s="56"/>
      <c r="AL1540" s="53">
        <v>71100</v>
      </c>
      <c r="AM1540" s="91">
        <v>7742523.5788937034</v>
      </c>
      <c r="AO1540" s="53">
        <f t="shared" si="287"/>
        <v>14220000</v>
      </c>
      <c r="AX1540" s="53">
        <f t="shared" si="288"/>
        <v>4839077236.8085642</v>
      </c>
      <c r="AY1540" s="41" t="s">
        <v>557</v>
      </c>
    </row>
    <row r="1541" spans="1:51" x14ac:dyDescent="0.2">
      <c r="A1541" s="41" t="s">
        <v>153</v>
      </c>
      <c r="B1541" s="41">
        <v>2016</v>
      </c>
      <c r="C1541" s="41" t="s">
        <v>87</v>
      </c>
      <c r="D1541" s="41" t="s">
        <v>113</v>
      </c>
      <c r="E1541" s="41">
        <v>100</v>
      </c>
      <c r="F1541" s="41" t="s">
        <v>9</v>
      </c>
      <c r="AI1541" s="91">
        <v>54448126.433851644</v>
      </c>
      <c r="AJ1541" s="56">
        <v>0.29385767790262174</v>
      </c>
      <c r="AK1541" s="56"/>
      <c r="AL1541" s="53">
        <v>80000</v>
      </c>
      <c r="AM1541" s="91">
        <v>8711700.2294162624</v>
      </c>
      <c r="AO1541" s="53">
        <f t="shared" si="287"/>
        <v>16000000.000000002</v>
      </c>
      <c r="AX1541" s="53">
        <f t="shared" si="288"/>
        <v>5444812643.3851643</v>
      </c>
      <c r="AY1541" s="41" t="s">
        <v>557</v>
      </c>
    </row>
    <row r="1542" spans="1:51" x14ac:dyDescent="0.2">
      <c r="A1542" s="84"/>
      <c r="B1542" s="85" t="s">
        <v>651</v>
      </c>
      <c r="C1542" s="60" t="s">
        <v>87</v>
      </c>
      <c r="D1542" s="60" t="s">
        <v>113</v>
      </c>
      <c r="E1542" s="60">
        <v>100</v>
      </c>
      <c r="F1542" s="60" t="s">
        <v>9</v>
      </c>
      <c r="AI1542" s="79">
        <f>SUM(AI1523:AI1534)+0.5*AI1535</f>
        <v>351643651.5</v>
      </c>
      <c r="AJ1542" s="80">
        <f>AO1542/AI1542</f>
        <v>0.33078679959765028</v>
      </c>
      <c r="AK1542" s="80"/>
      <c r="AL1542" s="79">
        <f>SUM(AL1523:AL1534)+0.5*AL1535</f>
        <v>710231.5</v>
      </c>
      <c r="AM1542" s="79">
        <f>SUM(AM1523:AM1534)+0.5*AM1535</f>
        <v>89293029</v>
      </c>
      <c r="AO1542" s="79">
        <f>SUM(AO1523:AO1534)+0.5*AO1535</f>
        <v>116319078.07851648</v>
      </c>
      <c r="AX1542" s="79">
        <f>SUM(AX1523:AX1534)+0.5*AX1535</f>
        <v>35164365150</v>
      </c>
      <c r="AY1542" s="41" t="s">
        <v>557</v>
      </c>
    </row>
    <row r="1543" spans="1:51" x14ac:dyDescent="0.2">
      <c r="A1543" s="41" t="s">
        <v>153</v>
      </c>
      <c r="B1543" s="43" t="s">
        <v>560</v>
      </c>
      <c r="AI1543" s="53">
        <f>STDEV(AI1523:AI1535)</f>
        <v>15315024.284616256</v>
      </c>
      <c r="AJ1543" s="46">
        <f>STDEV(AJ1523:AJ1541)</f>
        <v>0.12511662657839095</v>
      </c>
      <c r="AK1543" s="46"/>
      <c r="AL1543" s="53">
        <f>STDEV(AL1523:AL1535)</f>
        <v>13660.231450060812</v>
      </c>
      <c r="AM1543" s="53">
        <f>STDEV(AM1523:AM1535)</f>
        <v>4064579.9251952046</v>
      </c>
      <c r="AY1543" s="41" t="s">
        <v>557</v>
      </c>
    </row>
    <row r="1544" spans="1:51" x14ac:dyDescent="0.2">
      <c r="A1544" s="41" t="s">
        <v>153</v>
      </c>
      <c r="B1544" s="81" t="s">
        <v>249</v>
      </c>
      <c r="AI1544" s="41">
        <f>COUNT(AI1523:AI1535)</f>
        <v>13</v>
      </c>
      <c r="AJ1544" s="41">
        <f>COUNT(AJ1523:AJ1541)</f>
        <v>19</v>
      </c>
      <c r="AL1544" s="41">
        <f>COUNT(AL1523:AL1535)</f>
        <v>13</v>
      </c>
      <c r="AM1544" s="41">
        <f>COUNT(AM1523:AM1535)</f>
        <v>13</v>
      </c>
      <c r="AY1544" s="41" t="s">
        <v>557</v>
      </c>
    </row>
    <row r="1545" spans="1:51" x14ac:dyDescent="0.2">
      <c r="A1545" s="82"/>
      <c r="B1545" s="82"/>
      <c r="C1545" s="82"/>
      <c r="D1545" s="82"/>
      <c r="E1545" s="82"/>
      <c r="F1545" s="82"/>
      <c r="G1545" s="82"/>
      <c r="H1545" s="82"/>
      <c r="I1545" s="82"/>
      <c r="J1545" s="82"/>
      <c r="K1545" s="82"/>
      <c r="L1545" s="82"/>
      <c r="M1545" s="82"/>
      <c r="N1545" s="82"/>
      <c r="O1545" s="82"/>
      <c r="P1545" s="82"/>
      <c r="Q1545" s="82"/>
      <c r="R1545" s="82"/>
      <c r="S1545" s="82"/>
      <c r="T1545" s="82"/>
      <c r="U1545" s="82"/>
      <c r="V1545" s="82"/>
      <c r="W1545" s="82"/>
      <c r="X1545" s="82"/>
      <c r="Y1545" s="82"/>
      <c r="Z1545" s="82"/>
      <c r="AA1545" s="82"/>
      <c r="AB1545" s="82"/>
      <c r="AC1545" s="82"/>
      <c r="AD1545" s="82"/>
      <c r="AE1545" s="82"/>
      <c r="AF1545" s="82"/>
      <c r="AG1545" s="82"/>
      <c r="AH1545" s="82"/>
      <c r="AI1545" s="82"/>
      <c r="AJ1545" s="82"/>
      <c r="AK1545" s="82"/>
      <c r="AL1545" s="82"/>
      <c r="AM1545" s="82"/>
      <c r="AN1545" s="82"/>
      <c r="AO1545" s="82"/>
      <c r="AP1545" s="82"/>
      <c r="AQ1545" s="82"/>
      <c r="AR1545" s="82"/>
      <c r="AS1545" s="82"/>
      <c r="AT1545" s="82"/>
      <c r="AU1545" s="82"/>
      <c r="AV1545" s="82"/>
      <c r="AW1545" s="82"/>
      <c r="AX1545" s="82"/>
      <c r="AY1545" s="41" t="s">
        <v>557</v>
      </c>
    </row>
    <row r="1546" spans="1:51" x14ac:dyDescent="0.2">
      <c r="A1546" s="41" t="s">
        <v>242</v>
      </c>
      <c r="B1546" s="41">
        <v>2008</v>
      </c>
      <c r="C1546" s="41" t="s">
        <v>87</v>
      </c>
      <c r="D1546" s="41" t="s">
        <v>88</v>
      </c>
      <c r="E1546" s="41">
        <v>100</v>
      </c>
      <c r="F1546" s="41" t="s">
        <v>9</v>
      </c>
      <c r="G1546" s="53">
        <v>1070000</v>
      </c>
      <c r="H1546" s="122">
        <v>0.93672897196261673</v>
      </c>
      <c r="R1546" s="76">
        <f>S1546*4</f>
        <v>32073.600000000002</v>
      </c>
      <c r="S1546" s="92">
        <v>8018.4000000000005</v>
      </c>
      <c r="AM1546" s="92">
        <v>4494000</v>
      </c>
      <c r="AO1546" s="53">
        <f t="shared" ref="AO1546:AW1554" si="289">$G1546*H1546</f>
        <v>1002299.9999999999</v>
      </c>
      <c r="AP1546" s="53">
        <f t="shared" si="289"/>
        <v>0</v>
      </c>
      <c r="AQ1546" s="53">
        <f t="shared" si="289"/>
        <v>0</v>
      </c>
      <c r="AR1546" s="53">
        <f t="shared" si="289"/>
        <v>0</v>
      </c>
      <c r="AS1546" s="53">
        <f t="shared" si="289"/>
        <v>0</v>
      </c>
      <c r="AT1546" s="53">
        <f t="shared" si="289"/>
        <v>0</v>
      </c>
      <c r="AU1546" s="53">
        <f t="shared" si="289"/>
        <v>0</v>
      </c>
      <c r="AV1546" s="53">
        <f t="shared" si="289"/>
        <v>0</v>
      </c>
      <c r="AW1546" s="53">
        <f t="shared" si="289"/>
        <v>0</v>
      </c>
      <c r="AX1546" s="53">
        <f t="shared" ref="AX1546:AX1554" si="290">$G1546*E1546</f>
        <v>107000000</v>
      </c>
      <c r="AY1546" s="41" t="s">
        <v>557</v>
      </c>
    </row>
    <row r="1547" spans="1:51" x14ac:dyDescent="0.2">
      <c r="A1547" s="41" t="s">
        <v>242</v>
      </c>
      <c r="B1547" s="41">
        <v>2009</v>
      </c>
      <c r="C1547" s="41" t="s">
        <v>87</v>
      </c>
      <c r="D1547" s="41" t="s">
        <v>88</v>
      </c>
      <c r="E1547" s="41">
        <v>100</v>
      </c>
      <c r="F1547" s="41" t="s">
        <v>9</v>
      </c>
      <c r="G1547" s="53">
        <v>13690000</v>
      </c>
      <c r="H1547" s="41">
        <v>0.95</v>
      </c>
      <c r="R1547" s="76">
        <f t="shared" ref="R1547:R1554" si="291">S1547*4</f>
        <v>437652</v>
      </c>
      <c r="S1547" s="53">
        <v>109413</v>
      </c>
      <c r="AM1547" s="53">
        <v>68120000</v>
      </c>
      <c r="AO1547" s="53">
        <f t="shared" si="289"/>
        <v>13005500</v>
      </c>
      <c r="AP1547" s="53">
        <f t="shared" si="289"/>
        <v>0</v>
      </c>
      <c r="AQ1547" s="53">
        <f t="shared" si="289"/>
        <v>0</v>
      </c>
      <c r="AR1547" s="53">
        <f t="shared" si="289"/>
        <v>0</v>
      </c>
      <c r="AS1547" s="53">
        <f t="shared" si="289"/>
        <v>0</v>
      </c>
      <c r="AT1547" s="53">
        <f t="shared" si="289"/>
        <v>0</v>
      </c>
      <c r="AU1547" s="53">
        <f t="shared" si="289"/>
        <v>0</v>
      </c>
      <c r="AV1547" s="53">
        <f t="shared" si="289"/>
        <v>0</v>
      </c>
      <c r="AW1547" s="53">
        <f t="shared" si="289"/>
        <v>0</v>
      </c>
      <c r="AX1547" s="53">
        <f t="shared" si="290"/>
        <v>1369000000</v>
      </c>
      <c r="AY1547" s="41" t="s">
        <v>557</v>
      </c>
    </row>
    <row r="1548" spans="1:51" x14ac:dyDescent="0.2">
      <c r="A1548" s="41" t="s">
        <v>242</v>
      </c>
      <c r="B1548" s="41">
        <v>2010</v>
      </c>
      <c r="C1548" s="41" t="s">
        <v>87</v>
      </c>
      <c r="D1548" s="41" t="s">
        <v>88</v>
      </c>
      <c r="E1548" s="41">
        <v>100</v>
      </c>
      <c r="F1548" s="41" t="s">
        <v>9</v>
      </c>
      <c r="G1548" s="53">
        <v>18580000</v>
      </c>
      <c r="H1548" s="41">
        <v>0.86</v>
      </c>
      <c r="R1548" s="76">
        <f t="shared" si="291"/>
        <v>586760</v>
      </c>
      <c r="S1548" s="53">
        <v>146690</v>
      </c>
      <c r="AM1548" s="53">
        <v>82920000</v>
      </c>
      <c r="AO1548" s="53">
        <f t="shared" si="289"/>
        <v>15978800</v>
      </c>
      <c r="AP1548" s="53">
        <f t="shared" si="289"/>
        <v>0</v>
      </c>
      <c r="AQ1548" s="53">
        <f t="shared" si="289"/>
        <v>0</v>
      </c>
      <c r="AR1548" s="53">
        <f t="shared" si="289"/>
        <v>0</v>
      </c>
      <c r="AS1548" s="53">
        <f t="shared" si="289"/>
        <v>0</v>
      </c>
      <c r="AT1548" s="53">
        <f t="shared" si="289"/>
        <v>0</v>
      </c>
      <c r="AU1548" s="53">
        <f t="shared" si="289"/>
        <v>0</v>
      </c>
      <c r="AV1548" s="53">
        <f t="shared" si="289"/>
        <v>0</v>
      </c>
      <c r="AW1548" s="53">
        <f t="shared" si="289"/>
        <v>0</v>
      </c>
      <c r="AX1548" s="53">
        <f t="shared" si="290"/>
        <v>1858000000</v>
      </c>
      <c r="AY1548" s="41" t="s">
        <v>557</v>
      </c>
    </row>
    <row r="1549" spans="1:51" x14ac:dyDescent="0.2">
      <c r="A1549" s="41" t="s">
        <v>242</v>
      </c>
      <c r="B1549" s="41">
        <v>2011</v>
      </c>
      <c r="C1549" s="41" t="s">
        <v>87</v>
      </c>
      <c r="D1549" s="41" t="s">
        <v>88</v>
      </c>
      <c r="E1549" s="41">
        <v>100</v>
      </c>
      <c r="F1549" s="41" t="s">
        <v>9</v>
      </c>
      <c r="G1549" s="76">
        <v>27408277.508982036</v>
      </c>
      <c r="H1549" s="41">
        <v>0.62</v>
      </c>
      <c r="R1549" s="76">
        <f t="shared" si="291"/>
        <v>630527.02541935991</v>
      </c>
      <c r="S1549" s="76">
        <v>157631.75635483998</v>
      </c>
      <c r="AM1549" s="76">
        <v>108175750.2754491</v>
      </c>
      <c r="AO1549" s="53">
        <f t="shared" si="289"/>
        <v>16993132.055568863</v>
      </c>
      <c r="AP1549" s="53">
        <f t="shared" si="289"/>
        <v>0</v>
      </c>
      <c r="AQ1549" s="53">
        <f t="shared" si="289"/>
        <v>0</v>
      </c>
      <c r="AR1549" s="53">
        <f t="shared" si="289"/>
        <v>0</v>
      </c>
      <c r="AS1549" s="53">
        <f t="shared" si="289"/>
        <v>0</v>
      </c>
      <c r="AT1549" s="53">
        <f t="shared" si="289"/>
        <v>0</v>
      </c>
      <c r="AU1549" s="53">
        <f t="shared" si="289"/>
        <v>0</v>
      </c>
      <c r="AV1549" s="53">
        <f t="shared" si="289"/>
        <v>0</v>
      </c>
      <c r="AW1549" s="53">
        <f t="shared" si="289"/>
        <v>0</v>
      </c>
      <c r="AX1549" s="53">
        <f t="shared" si="290"/>
        <v>2740827750.8982038</v>
      </c>
      <c r="AY1549" s="41" t="s">
        <v>557</v>
      </c>
    </row>
    <row r="1550" spans="1:51" x14ac:dyDescent="0.2">
      <c r="A1550" s="41" t="s">
        <v>242</v>
      </c>
      <c r="B1550" s="41">
        <v>2012</v>
      </c>
      <c r="C1550" s="41" t="s">
        <v>87</v>
      </c>
      <c r="D1550" s="41" t="s">
        <v>88</v>
      </c>
      <c r="E1550" s="41">
        <v>100</v>
      </c>
      <c r="F1550" s="41" t="s">
        <v>9</v>
      </c>
      <c r="G1550" s="93">
        <v>18905140.800000001</v>
      </c>
      <c r="H1550" s="41">
        <v>0.5</v>
      </c>
      <c r="R1550" s="76">
        <f t="shared" si="291"/>
        <v>324775.46947292029</v>
      </c>
      <c r="S1550" s="92">
        <v>81193.867368230072</v>
      </c>
      <c r="AM1550" s="93">
        <v>96636758.400000006</v>
      </c>
      <c r="AO1550" s="53">
        <f t="shared" si="289"/>
        <v>9452570.4000000004</v>
      </c>
      <c r="AP1550" s="53">
        <f t="shared" si="289"/>
        <v>0</v>
      </c>
      <c r="AQ1550" s="53">
        <f t="shared" si="289"/>
        <v>0</v>
      </c>
      <c r="AR1550" s="53">
        <f t="shared" si="289"/>
        <v>0</v>
      </c>
      <c r="AS1550" s="53">
        <f t="shared" si="289"/>
        <v>0</v>
      </c>
      <c r="AT1550" s="53">
        <f t="shared" si="289"/>
        <v>0</v>
      </c>
      <c r="AU1550" s="53">
        <f t="shared" si="289"/>
        <v>0</v>
      </c>
      <c r="AV1550" s="53">
        <f t="shared" si="289"/>
        <v>0</v>
      </c>
      <c r="AW1550" s="53">
        <f t="shared" si="289"/>
        <v>0</v>
      </c>
      <c r="AX1550" s="53">
        <f t="shared" si="290"/>
        <v>1890514080</v>
      </c>
      <c r="AY1550" s="41" t="s">
        <v>557</v>
      </c>
    </row>
    <row r="1551" spans="1:51" x14ac:dyDescent="0.2">
      <c r="A1551" s="41" t="s">
        <v>242</v>
      </c>
      <c r="B1551" s="41">
        <v>2013</v>
      </c>
      <c r="C1551" s="41" t="s">
        <v>87</v>
      </c>
      <c r="D1551" s="41" t="s">
        <v>88</v>
      </c>
      <c r="E1551" s="41">
        <v>100</v>
      </c>
      <c r="F1551" s="41" t="s">
        <v>9</v>
      </c>
      <c r="G1551" s="93">
        <v>21910694.399999999</v>
      </c>
      <c r="H1551" s="41">
        <v>0.6</v>
      </c>
      <c r="R1551" s="76">
        <f t="shared" si="291"/>
        <v>471740.90537966072</v>
      </c>
      <c r="S1551" s="92">
        <v>117935.22634491518</v>
      </c>
      <c r="AM1551" s="93">
        <v>71002008</v>
      </c>
      <c r="AO1551" s="53">
        <f t="shared" si="289"/>
        <v>13146416.639999999</v>
      </c>
      <c r="AP1551" s="53">
        <f t="shared" si="289"/>
        <v>0</v>
      </c>
      <c r="AQ1551" s="53">
        <f t="shared" si="289"/>
        <v>0</v>
      </c>
      <c r="AR1551" s="53">
        <f t="shared" si="289"/>
        <v>0</v>
      </c>
      <c r="AS1551" s="53">
        <f t="shared" si="289"/>
        <v>0</v>
      </c>
      <c r="AT1551" s="53">
        <f t="shared" si="289"/>
        <v>0</v>
      </c>
      <c r="AU1551" s="53">
        <f t="shared" si="289"/>
        <v>0</v>
      </c>
      <c r="AV1551" s="53">
        <f t="shared" si="289"/>
        <v>0</v>
      </c>
      <c r="AW1551" s="53">
        <f t="shared" si="289"/>
        <v>0</v>
      </c>
      <c r="AX1551" s="53">
        <f t="shared" si="290"/>
        <v>2191069440</v>
      </c>
      <c r="AY1551" s="41" t="s">
        <v>557</v>
      </c>
    </row>
    <row r="1552" spans="1:51" x14ac:dyDescent="0.2">
      <c r="A1552" s="41" t="s">
        <v>242</v>
      </c>
      <c r="B1552" s="41">
        <v>2014</v>
      </c>
      <c r="C1552" s="41" t="s">
        <v>87</v>
      </c>
      <c r="D1552" s="41" t="s">
        <v>88</v>
      </c>
      <c r="E1552" s="41">
        <v>100</v>
      </c>
      <c r="F1552" s="41" t="s">
        <v>9</v>
      </c>
      <c r="G1552" s="93">
        <v>15748000</v>
      </c>
      <c r="H1552" s="41">
        <v>0.67</v>
      </c>
      <c r="R1552" s="76">
        <f t="shared" si="291"/>
        <v>388279.05288941308</v>
      </c>
      <c r="S1552" s="92">
        <v>97069.763222353271</v>
      </c>
      <c r="AM1552" s="93">
        <v>61252000</v>
      </c>
      <c r="AO1552" s="53">
        <f t="shared" si="289"/>
        <v>10551160</v>
      </c>
      <c r="AP1552" s="53">
        <f t="shared" si="289"/>
        <v>0</v>
      </c>
      <c r="AQ1552" s="53">
        <f t="shared" si="289"/>
        <v>0</v>
      </c>
      <c r="AR1552" s="53">
        <f t="shared" si="289"/>
        <v>0</v>
      </c>
      <c r="AS1552" s="53">
        <f t="shared" si="289"/>
        <v>0</v>
      </c>
      <c r="AT1552" s="53">
        <f t="shared" si="289"/>
        <v>0</v>
      </c>
      <c r="AU1552" s="53">
        <f t="shared" si="289"/>
        <v>0</v>
      </c>
      <c r="AV1552" s="53">
        <f t="shared" si="289"/>
        <v>0</v>
      </c>
      <c r="AW1552" s="53">
        <f t="shared" si="289"/>
        <v>0</v>
      </c>
      <c r="AX1552" s="53">
        <f t="shared" si="290"/>
        <v>1574800000</v>
      </c>
      <c r="AY1552" s="41" t="s">
        <v>557</v>
      </c>
    </row>
    <row r="1553" spans="1:51" x14ac:dyDescent="0.2">
      <c r="A1553" s="41" t="s">
        <v>242</v>
      </c>
      <c r="B1553" s="41">
        <v>2015</v>
      </c>
      <c r="C1553" s="41" t="s">
        <v>87</v>
      </c>
      <c r="D1553" s="41" t="s">
        <v>88</v>
      </c>
      <c r="E1553" s="41">
        <v>100</v>
      </c>
      <c r="F1553" s="41" t="s">
        <v>9</v>
      </c>
      <c r="G1553" s="93">
        <v>21632000</v>
      </c>
      <c r="H1553" s="41">
        <v>0.65</v>
      </c>
      <c r="R1553" s="76">
        <f t="shared" si="291"/>
        <v>520729.38401524088</v>
      </c>
      <c r="S1553" s="92">
        <v>130182.34600381022</v>
      </c>
      <c r="AM1553" s="93">
        <v>46932000</v>
      </c>
      <c r="AO1553" s="53">
        <f t="shared" si="289"/>
        <v>14060800</v>
      </c>
      <c r="AP1553" s="53">
        <f t="shared" si="289"/>
        <v>0</v>
      </c>
      <c r="AQ1553" s="53">
        <f t="shared" si="289"/>
        <v>0</v>
      </c>
      <c r="AR1553" s="53">
        <f t="shared" si="289"/>
        <v>0</v>
      </c>
      <c r="AS1553" s="53">
        <f t="shared" si="289"/>
        <v>0</v>
      </c>
      <c r="AT1553" s="53">
        <f t="shared" si="289"/>
        <v>0</v>
      </c>
      <c r="AU1553" s="53">
        <f t="shared" si="289"/>
        <v>0</v>
      </c>
      <c r="AV1553" s="53">
        <f t="shared" si="289"/>
        <v>0</v>
      </c>
      <c r="AW1553" s="53">
        <f t="shared" si="289"/>
        <v>0</v>
      </c>
      <c r="AX1553" s="53">
        <f t="shared" si="290"/>
        <v>2163200000</v>
      </c>
      <c r="AY1553" s="41" t="s">
        <v>557</v>
      </c>
    </row>
    <row r="1554" spans="1:51" x14ac:dyDescent="0.2">
      <c r="A1554" s="41" t="s">
        <v>242</v>
      </c>
      <c r="B1554" s="41">
        <v>2016</v>
      </c>
      <c r="C1554" s="41" t="s">
        <v>87</v>
      </c>
      <c r="D1554" s="41" t="s">
        <v>88</v>
      </c>
      <c r="E1554" s="41">
        <v>100</v>
      </c>
      <c r="F1554" s="41" t="s">
        <v>9</v>
      </c>
      <c r="G1554" s="93">
        <v>21694000</v>
      </c>
      <c r="H1554" s="46">
        <v>0.6</v>
      </c>
      <c r="R1554" s="76">
        <f t="shared" si="291"/>
        <v>491699.17445341562</v>
      </c>
      <c r="S1554" s="92">
        <v>122924.7936133539</v>
      </c>
      <c r="AM1554" s="93">
        <v>41159000</v>
      </c>
      <c r="AO1554" s="53">
        <f t="shared" si="289"/>
        <v>13016400</v>
      </c>
      <c r="AP1554" s="53">
        <f t="shared" si="289"/>
        <v>0</v>
      </c>
      <c r="AQ1554" s="53">
        <f t="shared" si="289"/>
        <v>0</v>
      </c>
      <c r="AR1554" s="53">
        <f t="shared" si="289"/>
        <v>0</v>
      </c>
      <c r="AS1554" s="53">
        <f t="shared" si="289"/>
        <v>0</v>
      </c>
      <c r="AT1554" s="53">
        <f t="shared" si="289"/>
        <v>0</v>
      </c>
      <c r="AU1554" s="53">
        <f t="shared" si="289"/>
        <v>0</v>
      </c>
      <c r="AV1554" s="53">
        <f t="shared" si="289"/>
        <v>0</v>
      </c>
      <c r="AW1554" s="53">
        <f t="shared" si="289"/>
        <v>0</v>
      </c>
      <c r="AX1554" s="53">
        <f t="shared" si="290"/>
        <v>2169400000</v>
      </c>
      <c r="AY1554" s="41" t="s">
        <v>557</v>
      </c>
    </row>
    <row r="1555" spans="1:51" x14ac:dyDescent="0.2">
      <c r="A1555" s="84"/>
      <c r="B1555" s="85" t="s">
        <v>652</v>
      </c>
      <c r="C1555" s="60" t="s">
        <v>87</v>
      </c>
      <c r="D1555" s="60" t="s">
        <v>88</v>
      </c>
      <c r="E1555" s="60">
        <v>100</v>
      </c>
      <c r="F1555" s="60" t="s">
        <v>9</v>
      </c>
      <c r="G1555" s="79">
        <f>SUM(G1546:G1551)+0.75*G1552</f>
        <v>113375112.70898202</v>
      </c>
      <c r="H1555" s="80">
        <f>AO1555/$G1555</f>
        <v>0.683501760165656</v>
      </c>
      <c r="R1555" s="79">
        <f>SUM(R1546:R1551)+0.75*R1552</f>
        <v>2774738.2899390007</v>
      </c>
      <c r="S1555" s="79">
        <f>SUM(S1546:S1551)+0.75*S1552</f>
        <v>693684.57248475018</v>
      </c>
      <c r="AM1555" s="79">
        <f>SUM(AM1546:AM1551)+0.75*AM1552</f>
        <v>477287516.67544913</v>
      </c>
      <c r="AO1555" s="79">
        <f t="shared" ref="AO1555:AX1555" si="292">SUM(AO1546:AO1551)+0.75*AO1552</f>
        <v>77492089.095568851</v>
      </c>
      <c r="AP1555" s="79">
        <f t="shared" si="292"/>
        <v>0</v>
      </c>
      <c r="AQ1555" s="79">
        <f t="shared" si="292"/>
        <v>0</v>
      </c>
      <c r="AR1555" s="79">
        <f t="shared" si="292"/>
        <v>0</v>
      </c>
      <c r="AS1555" s="79">
        <f t="shared" si="292"/>
        <v>0</v>
      </c>
      <c r="AT1555" s="79">
        <f t="shared" si="292"/>
        <v>0</v>
      </c>
      <c r="AU1555" s="79">
        <f t="shared" si="292"/>
        <v>0</v>
      </c>
      <c r="AV1555" s="79">
        <f t="shared" si="292"/>
        <v>0</v>
      </c>
      <c r="AW1555" s="79">
        <f t="shared" si="292"/>
        <v>0</v>
      </c>
      <c r="AX1555" s="79">
        <f t="shared" si="292"/>
        <v>11337511270.898205</v>
      </c>
      <c r="AY1555" s="41" t="s">
        <v>557</v>
      </c>
    </row>
    <row r="1556" spans="1:51" x14ac:dyDescent="0.2">
      <c r="A1556" s="41" t="s">
        <v>242</v>
      </c>
      <c r="B1556" s="43" t="s">
        <v>560</v>
      </c>
      <c r="G1556" s="53">
        <f>STDEV(G1546:G1552)</f>
        <v>8210304.814431455</v>
      </c>
      <c r="H1556" s="46">
        <f>STDEV(H1546:H1552)</f>
        <v>0.17955259456287057</v>
      </c>
      <c r="R1556" s="53">
        <f>STDEV(R1546:R1552)</f>
        <v>197912.33581111929</v>
      </c>
      <c r="S1556" s="53">
        <f>STDEV(S1546:S1552)</f>
        <v>49478.083952779823</v>
      </c>
      <c r="AM1556" s="53">
        <f>STDEV(AM1546:AM1552)</f>
        <v>33428947.209082112</v>
      </c>
      <c r="AY1556" s="41" t="s">
        <v>557</v>
      </c>
    </row>
    <row r="1557" spans="1:51" x14ac:dyDescent="0.2">
      <c r="A1557" s="41" t="s">
        <v>242</v>
      </c>
      <c r="B1557" s="81" t="s">
        <v>249</v>
      </c>
      <c r="G1557" s="41">
        <f>COUNT(G1546:G1552)</f>
        <v>7</v>
      </c>
      <c r="H1557" s="41">
        <f>COUNT(H1546:H1552)</f>
        <v>7</v>
      </c>
      <c r="R1557" s="41">
        <f>COUNT(R1546:R1552)</f>
        <v>7</v>
      </c>
      <c r="S1557" s="41">
        <f>COUNT(S1546:S1552)</f>
        <v>7</v>
      </c>
      <c r="AM1557" s="41">
        <f>COUNT(AM1546:AM1552)</f>
        <v>7</v>
      </c>
      <c r="AY1557" s="41" t="s">
        <v>557</v>
      </c>
    </row>
    <row r="1558" spans="1:51" x14ac:dyDescent="0.2">
      <c r="A1558" s="82"/>
      <c r="B1558" s="82"/>
      <c r="C1558" s="82"/>
      <c r="D1558" s="82"/>
      <c r="E1558" s="82"/>
      <c r="F1558" s="82"/>
      <c r="G1558" s="82"/>
      <c r="H1558" s="82"/>
      <c r="I1558" s="82"/>
      <c r="J1558" s="82"/>
      <c r="K1558" s="82"/>
      <c r="L1558" s="82"/>
      <c r="M1558" s="82"/>
      <c r="N1558" s="82"/>
      <c r="O1558" s="82"/>
      <c r="P1558" s="82"/>
      <c r="Q1558" s="82"/>
      <c r="R1558" s="82"/>
      <c r="S1558" s="82"/>
      <c r="T1558" s="82"/>
      <c r="U1558" s="82"/>
      <c r="V1558" s="82"/>
      <c r="W1558" s="82"/>
      <c r="X1558" s="82"/>
      <c r="Y1558" s="82"/>
      <c r="Z1558" s="82"/>
      <c r="AA1558" s="82"/>
      <c r="AB1558" s="82"/>
      <c r="AC1558" s="82"/>
      <c r="AD1558" s="82"/>
      <c r="AE1558" s="82"/>
      <c r="AF1558" s="82"/>
      <c r="AG1558" s="82"/>
      <c r="AH1558" s="82"/>
      <c r="AI1558" s="82"/>
      <c r="AJ1558" s="82"/>
      <c r="AK1558" s="82"/>
      <c r="AL1558" s="82"/>
      <c r="AM1558" s="82"/>
      <c r="AN1558" s="82"/>
      <c r="AO1558" s="82"/>
      <c r="AP1558" s="82"/>
      <c r="AQ1558" s="82"/>
      <c r="AR1558" s="82"/>
      <c r="AS1558" s="82"/>
      <c r="AT1558" s="82"/>
      <c r="AU1558" s="82"/>
      <c r="AV1558" s="82"/>
      <c r="AW1558" s="82"/>
      <c r="AX1558" s="82"/>
      <c r="AY1558" s="41" t="s">
        <v>557</v>
      </c>
    </row>
    <row r="1559" spans="1:51" x14ac:dyDescent="0.2">
      <c r="A1559" s="41" t="s">
        <v>259</v>
      </c>
      <c r="B1559" s="41">
        <v>2005</v>
      </c>
      <c r="C1559" s="41" t="s">
        <v>87</v>
      </c>
      <c r="D1559" s="41" t="s">
        <v>88</v>
      </c>
      <c r="E1559" s="41">
        <v>100</v>
      </c>
      <c r="F1559" s="41" t="s">
        <v>653</v>
      </c>
      <c r="G1559" s="53">
        <v>743900</v>
      </c>
      <c r="L1559" s="41">
        <v>6.51</v>
      </c>
      <c r="Y1559" s="53">
        <v>31300</v>
      </c>
      <c r="AO1559" s="53">
        <f t="shared" ref="AO1559:AW1566" si="293">$G1559*H1559</f>
        <v>0</v>
      </c>
      <c r="AP1559" s="53">
        <f t="shared" si="293"/>
        <v>0</v>
      </c>
      <c r="AQ1559" s="53">
        <f t="shared" si="293"/>
        <v>0</v>
      </c>
      <c r="AR1559" s="53">
        <f t="shared" si="293"/>
        <v>0</v>
      </c>
      <c r="AS1559" s="53">
        <f t="shared" si="293"/>
        <v>4842789</v>
      </c>
      <c r="AT1559" s="53">
        <f t="shared" si="293"/>
        <v>0</v>
      </c>
      <c r="AU1559" s="53">
        <f t="shared" si="293"/>
        <v>0</v>
      </c>
      <c r="AV1559" s="53">
        <f t="shared" si="293"/>
        <v>0</v>
      </c>
      <c r="AW1559" s="53">
        <f t="shared" si="293"/>
        <v>0</v>
      </c>
      <c r="AX1559" s="53">
        <f t="shared" ref="AX1559:AX1566" si="294">$G1559*E1559</f>
        <v>74390000</v>
      </c>
      <c r="AY1559" s="41" t="s">
        <v>557</v>
      </c>
    </row>
    <row r="1560" spans="1:51" x14ac:dyDescent="0.2">
      <c r="A1560" s="41" t="s">
        <v>259</v>
      </c>
      <c r="B1560" s="41">
        <v>2006</v>
      </c>
      <c r="C1560" s="41" t="s">
        <v>87</v>
      </c>
      <c r="D1560" s="41" t="s">
        <v>88</v>
      </c>
      <c r="E1560" s="41">
        <v>100</v>
      </c>
      <c r="F1560" s="41" t="s">
        <v>653</v>
      </c>
      <c r="G1560" s="53">
        <v>1060100</v>
      </c>
      <c r="L1560" s="41">
        <v>7.89</v>
      </c>
      <c r="Y1560" s="53">
        <v>63200</v>
      </c>
      <c r="AO1560" s="53">
        <f t="shared" si="293"/>
        <v>0</v>
      </c>
      <c r="AP1560" s="53">
        <f t="shared" si="293"/>
        <v>0</v>
      </c>
      <c r="AQ1560" s="53">
        <f t="shared" si="293"/>
        <v>0</v>
      </c>
      <c r="AR1560" s="53">
        <f t="shared" si="293"/>
        <v>0</v>
      </c>
      <c r="AS1560" s="53">
        <f t="shared" si="293"/>
        <v>8364189</v>
      </c>
      <c r="AT1560" s="53">
        <f t="shared" si="293"/>
        <v>0</v>
      </c>
      <c r="AU1560" s="53">
        <f t="shared" si="293"/>
        <v>0</v>
      </c>
      <c r="AV1560" s="53">
        <f t="shared" si="293"/>
        <v>0</v>
      </c>
      <c r="AW1560" s="53">
        <f t="shared" si="293"/>
        <v>0</v>
      </c>
      <c r="AX1560" s="53">
        <f t="shared" si="294"/>
        <v>106010000</v>
      </c>
      <c r="AY1560" s="41" t="s">
        <v>557</v>
      </c>
    </row>
    <row r="1561" spans="1:51" x14ac:dyDescent="0.2">
      <c r="A1561" s="41" t="s">
        <v>259</v>
      </c>
      <c r="B1561" s="41">
        <v>2007</v>
      </c>
      <c r="C1561" s="41" t="s">
        <v>87</v>
      </c>
      <c r="D1561" s="41" t="s">
        <v>88</v>
      </c>
      <c r="E1561" s="41">
        <v>100</v>
      </c>
      <c r="F1561" s="41" t="s">
        <v>653</v>
      </c>
      <c r="G1561" s="53">
        <v>393000</v>
      </c>
      <c r="L1561" s="46">
        <v>7.336386768447837</v>
      </c>
      <c r="Y1561" s="53">
        <v>21400</v>
      </c>
      <c r="AO1561" s="53">
        <f t="shared" si="293"/>
        <v>0</v>
      </c>
      <c r="AP1561" s="53">
        <f t="shared" si="293"/>
        <v>0</v>
      </c>
      <c r="AQ1561" s="53">
        <f t="shared" si="293"/>
        <v>0</v>
      </c>
      <c r="AR1561" s="53">
        <f t="shared" si="293"/>
        <v>0</v>
      </c>
      <c r="AS1561" s="53">
        <f t="shared" si="293"/>
        <v>2883200</v>
      </c>
      <c r="AT1561" s="53">
        <f t="shared" si="293"/>
        <v>0</v>
      </c>
      <c r="AU1561" s="53">
        <f t="shared" si="293"/>
        <v>0</v>
      </c>
      <c r="AV1561" s="53">
        <f t="shared" si="293"/>
        <v>0</v>
      </c>
      <c r="AW1561" s="53">
        <f t="shared" si="293"/>
        <v>0</v>
      </c>
      <c r="AX1561" s="53">
        <f t="shared" si="294"/>
        <v>39300000</v>
      </c>
      <c r="AY1561" s="41" t="s">
        <v>557</v>
      </c>
    </row>
    <row r="1562" spans="1:51" x14ac:dyDescent="0.2">
      <c r="A1562" s="41" t="s">
        <v>259</v>
      </c>
      <c r="B1562" s="41">
        <v>2010</v>
      </c>
      <c r="C1562" s="41" t="s">
        <v>87</v>
      </c>
      <c r="D1562" s="41" t="s">
        <v>88</v>
      </c>
      <c r="E1562" s="41">
        <v>100</v>
      </c>
      <c r="F1562" s="41" t="s">
        <v>653</v>
      </c>
      <c r="G1562" s="53">
        <v>874000</v>
      </c>
      <c r="L1562" s="41">
        <v>6.8</v>
      </c>
      <c r="Y1562" s="53">
        <v>44100</v>
      </c>
      <c r="AO1562" s="53">
        <f t="shared" si="293"/>
        <v>0</v>
      </c>
      <c r="AP1562" s="53">
        <f t="shared" si="293"/>
        <v>0</v>
      </c>
      <c r="AQ1562" s="53">
        <f t="shared" si="293"/>
        <v>0</v>
      </c>
      <c r="AR1562" s="53">
        <f t="shared" si="293"/>
        <v>0</v>
      </c>
      <c r="AS1562" s="53">
        <f t="shared" si="293"/>
        <v>5943200</v>
      </c>
      <c r="AT1562" s="53">
        <f t="shared" si="293"/>
        <v>0</v>
      </c>
      <c r="AU1562" s="53">
        <f t="shared" si="293"/>
        <v>0</v>
      </c>
      <c r="AV1562" s="53">
        <f t="shared" si="293"/>
        <v>0</v>
      </c>
      <c r="AW1562" s="53">
        <f t="shared" si="293"/>
        <v>0</v>
      </c>
      <c r="AX1562" s="53">
        <f t="shared" si="294"/>
        <v>87400000</v>
      </c>
      <c r="AY1562" s="41" t="s">
        <v>557</v>
      </c>
    </row>
    <row r="1563" spans="1:51" x14ac:dyDescent="0.2">
      <c r="A1563" s="41" t="s">
        <v>259</v>
      </c>
      <c r="B1563" s="41">
        <v>2011</v>
      </c>
      <c r="C1563" s="41" t="s">
        <v>87</v>
      </c>
      <c r="D1563" s="41" t="s">
        <v>88</v>
      </c>
      <c r="E1563" s="41">
        <v>100</v>
      </c>
      <c r="F1563" s="41" t="s">
        <v>653</v>
      </c>
      <c r="G1563" s="53">
        <v>161000</v>
      </c>
      <c r="L1563" s="41">
        <v>6.9</v>
      </c>
      <c r="Y1563" s="53">
        <v>8100</v>
      </c>
      <c r="AO1563" s="53">
        <f t="shared" si="293"/>
        <v>0</v>
      </c>
      <c r="AP1563" s="53">
        <f t="shared" si="293"/>
        <v>0</v>
      </c>
      <c r="AQ1563" s="53">
        <f t="shared" si="293"/>
        <v>0</v>
      </c>
      <c r="AR1563" s="53">
        <f t="shared" si="293"/>
        <v>0</v>
      </c>
      <c r="AS1563" s="53">
        <f t="shared" si="293"/>
        <v>1110900</v>
      </c>
      <c r="AT1563" s="53">
        <f t="shared" si="293"/>
        <v>0</v>
      </c>
      <c r="AU1563" s="53">
        <f t="shared" si="293"/>
        <v>0</v>
      </c>
      <c r="AV1563" s="53">
        <f t="shared" si="293"/>
        <v>0</v>
      </c>
      <c r="AW1563" s="53">
        <f t="shared" si="293"/>
        <v>0</v>
      </c>
      <c r="AX1563" s="53">
        <f t="shared" si="294"/>
        <v>16100000</v>
      </c>
      <c r="AY1563" s="41" t="s">
        <v>557</v>
      </c>
    </row>
    <row r="1564" spans="1:51" x14ac:dyDescent="0.2">
      <c r="A1564" s="41" t="s">
        <v>259</v>
      </c>
      <c r="B1564" s="41">
        <v>2013</v>
      </c>
      <c r="C1564" s="41" t="s">
        <v>87</v>
      </c>
      <c r="D1564" s="41" t="s">
        <v>88</v>
      </c>
      <c r="E1564" s="41">
        <v>100</v>
      </c>
      <c r="F1564" s="41" t="s">
        <v>653</v>
      </c>
      <c r="G1564" s="53">
        <v>835800</v>
      </c>
      <c r="L1564" s="41">
        <v>7.1</v>
      </c>
      <c r="Y1564" s="53">
        <v>44000</v>
      </c>
      <c r="AO1564" s="53">
        <f t="shared" si="293"/>
        <v>0</v>
      </c>
      <c r="AP1564" s="53">
        <f t="shared" si="293"/>
        <v>0</v>
      </c>
      <c r="AQ1564" s="53">
        <f t="shared" si="293"/>
        <v>0</v>
      </c>
      <c r="AR1564" s="53">
        <f t="shared" si="293"/>
        <v>0</v>
      </c>
      <c r="AS1564" s="53">
        <f t="shared" si="293"/>
        <v>5934180</v>
      </c>
      <c r="AT1564" s="53">
        <f t="shared" si="293"/>
        <v>0</v>
      </c>
      <c r="AU1564" s="53">
        <f t="shared" si="293"/>
        <v>0</v>
      </c>
      <c r="AV1564" s="53">
        <f t="shared" si="293"/>
        <v>0</v>
      </c>
      <c r="AW1564" s="53">
        <f t="shared" si="293"/>
        <v>0</v>
      </c>
      <c r="AX1564" s="53">
        <f t="shared" si="294"/>
        <v>83580000</v>
      </c>
      <c r="AY1564" s="41" t="s">
        <v>557</v>
      </c>
    </row>
    <row r="1565" spans="1:51" x14ac:dyDescent="0.2">
      <c r="A1565" s="41" t="s">
        <v>259</v>
      </c>
      <c r="B1565" s="41">
        <v>2014</v>
      </c>
      <c r="C1565" s="41" t="s">
        <v>87</v>
      </c>
      <c r="D1565" s="41" t="s">
        <v>88</v>
      </c>
      <c r="E1565" s="41">
        <v>100</v>
      </c>
      <c r="F1565" s="41" t="s">
        <v>653</v>
      </c>
      <c r="G1565" s="53">
        <v>1437958</v>
      </c>
      <c r="L1565" s="47">
        <v>7.1228819362534495</v>
      </c>
      <c r="Y1565" s="53">
        <v>80915</v>
      </c>
      <c r="AO1565" s="53">
        <f t="shared" si="293"/>
        <v>0</v>
      </c>
      <c r="AP1565" s="53">
        <f t="shared" si="293"/>
        <v>0</v>
      </c>
      <c r="AQ1565" s="53">
        <f t="shared" si="293"/>
        <v>0</v>
      </c>
      <c r="AR1565" s="53">
        <f t="shared" si="293"/>
        <v>0</v>
      </c>
      <c r="AS1565" s="53">
        <f t="shared" si="293"/>
        <v>10242405.063291138</v>
      </c>
      <c r="AT1565" s="53">
        <f t="shared" si="293"/>
        <v>0</v>
      </c>
      <c r="AU1565" s="53">
        <f t="shared" si="293"/>
        <v>0</v>
      </c>
      <c r="AV1565" s="53">
        <f t="shared" si="293"/>
        <v>0</v>
      </c>
      <c r="AW1565" s="53">
        <f t="shared" si="293"/>
        <v>0</v>
      </c>
      <c r="AX1565" s="53">
        <f t="shared" si="294"/>
        <v>143795800</v>
      </c>
      <c r="AY1565" s="41" t="s">
        <v>557</v>
      </c>
    </row>
    <row r="1566" spans="1:51" x14ac:dyDescent="0.2">
      <c r="A1566" s="41" t="s">
        <v>259</v>
      </c>
      <c r="B1566" s="41">
        <v>2015</v>
      </c>
      <c r="C1566" s="41" t="s">
        <v>87</v>
      </c>
      <c r="D1566" s="41" t="s">
        <v>88</v>
      </c>
      <c r="E1566" s="41">
        <v>100</v>
      </c>
      <c r="F1566" s="41" t="s">
        <v>653</v>
      </c>
      <c r="G1566" s="53">
        <v>171200</v>
      </c>
      <c r="L1566" s="47">
        <v>7.5100133511348464</v>
      </c>
      <c r="Y1566" s="53">
        <v>9900</v>
      </c>
      <c r="AO1566" s="53">
        <f t="shared" si="293"/>
        <v>0</v>
      </c>
      <c r="AP1566" s="53">
        <f t="shared" si="293"/>
        <v>0</v>
      </c>
      <c r="AQ1566" s="53">
        <f t="shared" si="293"/>
        <v>0</v>
      </c>
      <c r="AR1566" s="53">
        <f t="shared" si="293"/>
        <v>0</v>
      </c>
      <c r="AS1566" s="53">
        <f t="shared" si="293"/>
        <v>1285714.2857142857</v>
      </c>
      <c r="AT1566" s="53">
        <f t="shared" si="293"/>
        <v>0</v>
      </c>
      <c r="AU1566" s="53">
        <f t="shared" si="293"/>
        <v>0</v>
      </c>
      <c r="AV1566" s="53">
        <f t="shared" si="293"/>
        <v>0</v>
      </c>
      <c r="AW1566" s="53">
        <f t="shared" si="293"/>
        <v>0</v>
      </c>
      <c r="AX1566" s="53">
        <f t="shared" si="294"/>
        <v>17120000</v>
      </c>
      <c r="AY1566" s="41" t="s">
        <v>557</v>
      </c>
    </row>
    <row r="1567" spans="1:51" x14ac:dyDescent="0.2">
      <c r="A1567" s="41" t="s">
        <v>259</v>
      </c>
      <c r="B1567" s="60" t="s">
        <v>559</v>
      </c>
      <c r="C1567" s="60" t="s">
        <v>87</v>
      </c>
      <c r="D1567" s="60" t="s">
        <v>88</v>
      </c>
      <c r="E1567" s="60">
        <v>100</v>
      </c>
      <c r="F1567" s="60" t="s">
        <v>653</v>
      </c>
      <c r="G1567" s="79">
        <f>SUM(G1559:G1566)</f>
        <v>5676958</v>
      </c>
      <c r="L1567" s="78">
        <f>AS1567/$G1567</f>
        <v>7.1528761264405025</v>
      </c>
      <c r="Y1567" s="79">
        <f>SUM(Y1559:Y1566)</f>
        <v>302915</v>
      </c>
      <c r="AO1567" s="79">
        <f t="shared" ref="AO1567:AX1567" si="295">SUM(AO1559:AO1566)</f>
        <v>0</v>
      </c>
      <c r="AP1567" s="79">
        <f t="shared" si="295"/>
        <v>0</v>
      </c>
      <c r="AQ1567" s="79">
        <f t="shared" si="295"/>
        <v>0</v>
      </c>
      <c r="AR1567" s="79">
        <f t="shared" si="295"/>
        <v>0</v>
      </c>
      <c r="AS1567" s="79">
        <f t="shared" si="295"/>
        <v>40606577.349005423</v>
      </c>
      <c r="AT1567" s="79">
        <f t="shared" si="295"/>
        <v>0</v>
      </c>
      <c r="AU1567" s="79">
        <f t="shared" si="295"/>
        <v>0</v>
      </c>
      <c r="AV1567" s="79">
        <f t="shared" si="295"/>
        <v>0</v>
      </c>
      <c r="AW1567" s="79">
        <f t="shared" si="295"/>
        <v>0</v>
      </c>
      <c r="AX1567" s="79">
        <f t="shared" si="295"/>
        <v>567695800</v>
      </c>
      <c r="AY1567" s="41" t="s">
        <v>557</v>
      </c>
    </row>
    <row r="1568" spans="1:51" x14ac:dyDescent="0.2">
      <c r="A1568" s="41" t="s">
        <v>259</v>
      </c>
      <c r="B1568" s="43" t="s">
        <v>560</v>
      </c>
      <c r="G1568" s="53">
        <f>STDEV(G1559:G1566)</f>
        <v>445382.33864584577</v>
      </c>
      <c r="L1568" s="47">
        <f>STDEV(L1559:L1566)</f>
        <v>0.43254513898509145</v>
      </c>
      <c r="Y1568" s="53">
        <f>STDEV(Y1559:Y1566)</f>
        <v>25505.93788533788</v>
      </c>
      <c r="AY1568" s="41" t="s">
        <v>557</v>
      </c>
    </row>
    <row r="1569" spans="1:51" x14ac:dyDescent="0.2">
      <c r="A1569" s="41" t="s">
        <v>259</v>
      </c>
      <c r="B1569" s="81" t="s">
        <v>249</v>
      </c>
      <c r="G1569" s="41">
        <f>COUNT(G1559:G1566)</f>
        <v>8</v>
      </c>
      <c r="L1569" s="41">
        <f>COUNT(L1559:L1566)</f>
        <v>8</v>
      </c>
      <c r="Y1569" s="41">
        <f>COUNT(Y1559:Y1566)</f>
        <v>8</v>
      </c>
      <c r="AY1569" s="41" t="s">
        <v>557</v>
      </c>
    </row>
    <row r="1570" spans="1:51" x14ac:dyDescent="0.2">
      <c r="A1570" s="82"/>
      <c r="B1570" s="82"/>
      <c r="C1570" s="82"/>
      <c r="D1570" s="82"/>
      <c r="E1570" s="82"/>
      <c r="F1570" s="82"/>
      <c r="G1570" s="82"/>
      <c r="H1570" s="82"/>
      <c r="I1570" s="82"/>
      <c r="J1570" s="82"/>
      <c r="K1570" s="82"/>
      <c r="L1570" s="82"/>
      <c r="M1570" s="82"/>
      <c r="N1570" s="82"/>
      <c r="O1570" s="82"/>
      <c r="P1570" s="82"/>
      <c r="Q1570" s="82"/>
      <c r="R1570" s="82"/>
      <c r="S1570" s="82"/>
      <c r="T1570" s="82"/>
      <c r="U1570" s="82"/>
      <c r="V1570" s="82"/>
      <c r="W1570" s="82"/>
      <c r="X1570" s="82"/>
      <c r="Y1570" s="82"/>
      <c r="Z1570" s="82"/>
      <c r="AA1570" s="82"/>
      <c r="AB1570" s="82"/>
      <c r="AC1570" s="82"/>
      <c r="AD1570" s="82"/>
      <c r="AE1570" s="82"/>
      <c r="AF1570" s="82"/>
      <c r="AG1570" s="82"/>
      <c r="AH1570" s="82"/>
      <c r="AI1570" s="82"/>
      <c r="AJ1570" s="82"/>
      <c r="AK1570" s="82"/>
      <c r="AL1570" s="82"/>
      <c r="AM1570" s="82"/>
      <c r="AN1570" s="82"/>
      <c r="AO1570" s="82"/>
      <c r="AP1570" s="82"/>
      <c r="AQ1570" s="82"/>
      <c r="AR1570" s="82"/>
      <c r="AS1570" s="82"/>
      <c r="AT1570" s="82"/>
      <c r="AU1570" s="82"/>
      <c r="AV1570" s="82"/>
      <c r="AW1570" s="82"/>
      <c r="AX1570" s="82"/>
      <c r="AY1570" s="41" t="s">
        <v>557</v>
      </c>
    </row>
    <row r="1571" spans="1:51" x14ac:dyDescent="0.2">
      <c r="A1571" s="41" t="s">
        <v>212</v>
      </c>
      <c r="B1571" s="41">
        <v>2007</v>
      </c>
      <c r="C1571" s="41" t="s">
        <v>91</v>
      </c>
      <c r="D1571" s="41" t="s">
        <v>88</v>
      </c>
      <c r="E1571" s="41">
        <v>0</v>
      </c>
      <c r="F1571" s="41" t="s">
        <v>556</v>
      </c>
      <c r="G1571" s="53">
        <v>63362</v>
      </c>
      <c r="H1571" s="41">
        <v>2.27</v>
      </c>
      <c r="I1571" s="56">
        <f>T1571*1000/G1571/0.25</f>
        <v>0.22894226823648245</v>
      </c>
      <c r="J1571" s="54">
        <f>U1571*1000/G1571/0.25</f>
        <v>7.2472492661216501</v>
      </c>
      <c r="R1571" s="53">
        <v>6476</v>
      </c>
      <c r="S1571" s="53">
        <v>1274.4767999999999</v>
      </c>
      <c r="T1571" s="52">
        <v>3.6265600000000004</v>
      </c>
      <c r="U1571" s="52">
        <v>114.80005199999999</v>
      </c>
      <c r="AO1571" s="53">
        <f t="shared" ref="AO1571:AW1581" si="296">$G1571*H1571</f>
        <v>143831.74</v>
      </c>
      <c r="AP1571" s="53">
        <f t="shared" si="296"/>
        <v>14506.240000000002</v>
      </c>
      <c r="AQ1571" s="53">
        <f t="shared" si="296"/>
        <v>459200.20799999998</v>
      </c>
      <c r="AR1571" s="53">
        <f t="shared" si="296"/>
        <v>0</v>
      </c>
      <c r="AS1571" s="53">
        <f t="shared" si="296"/>
        <v>0</v>
      </c>
      <c r="AT1571" s="53">
        <f t="shared" si="296"/>
        <v>0</v>
      </c>
      <c r="AU1571" s="53">
        <f t="shared" si="296"/>
        <v>0</v>
      </c>
      <c r="AV1571" s="53">
        <f t="shared" si="296"/>
        <v>0</v>
      </c>
      <c r="AW1571" s="53">
        <f t="shared" si="296"/>
        <v>0</v>
      </c>
      <c r="AX1571" s="53">
        <f t="shared" ref="AX1571:AX1581" si="297">$G1571*E1571</f>
        <v>0</v>
      </c>
      <c r="AY1571" s="41" t="s">
        <v>557</v>
      </c>
    </row>
    <row r="1572" spans="1:51" x14ac:dyDescent="0.2">
      <c r="A1572" s="41" t="s">
        <v>212</v>
      </c>
      <c r="B1572" s="41">
        <v>2008</v>
      </c>
      <c r="C1572" s="41" t="s">
        <v>91</v>
      </c>
      <c r="D1572" s="41" t="s">
        <v>88</v>
      </c>
      <c r="E1572" s="41">
        <v>0</v>
      </c>
      <c r="F1572" s="41" t="s">
        <v>556</v>
      </c>
      <c r="G1572" s="53">
        <v>322045</v>
      </c>
      <c r="H1572" s="41">
        <v>2.64</v>
      </c>
      <c r="I1572" s="56">
        <f>T1572*1000/G1572/0.25</f>
        <v>0.301858560139111</v>
      </c>
      <c r="J1572" s="54">
        <f>U1572*1000/G1572/0.25</f>
        <v>9.0800044590041757</v>
      </c>
      <c r="R1572" s="53">
        <v>39841</v>
      </c>
      <c r="S1572" s="53">
        <v>7494.0920999999998</v>
      </c>
      <c r="T1572" s="52">
        <v>24.303009999999997</v>
      </c>
      <c r="U1572" s="52">
        <v>731.042509</v>
      </c>
      <c r="AO1572" s="53">
        <f t="shared" si="296"/>
        <v>850198.8</v>
      </c>
      <c r="AP1572" s="53">
        <f t="shared" si="296"/>
        <v>97212.040000000008</v>
      </c>
      <c r="AQ1572" s="53">
        <f t="shared" si="296"/>
        <v>2924170.0359999998</v>
      </c>
      <c r="AR1572" s="53">
        <f t="shared" si="296"/>
        <v>0</v>
      </c>
      <c r="AS1572" s="53">
        <f t="shared" si="296"/>
        <v>0</v>
      </c>
      <c r="AT1572" s="53">
        <f t="shared" si="296"/>
        <v>0</v>
      </c>
      <c r="AU1572" s="53">
        <f t="shared" si="296"/>
        <v>0</v>
      </c>
      <c r="AV1572" s="53">
        <f t="shared" si="296"/>
        <v>0</v>
      </c>
      <c r="AW1572" s="53">
        <f t="shared" si="296"/>
        <v>0</v>
      </c>
      <c r="AX1572" s="53">
        <f t="shared" si="297"/>
        <v>0</v>
      </c>
      <c r="AY1572" s="41" t="s">
        <v>557</v>
      </c>
    </row>
    <row r="1573" spans="1:51" x14ac:dyDescent="0.2">
      <c r="A1573" s="41" t="s">
        <v>212</v>
      </c>
      <c r="B1573" s="41">
        <v>2009</v>
      </c>
      <c r="C1573" s="41" t="s">
        <v>91</v>
      </c>
      <c r="D1573" s="41" t="s">
        <v>88</v>
      </c>
      <c r="E1573" s="41">
        <v>0</v>
      </c>
      <c r="F1573" s="41" t="s">
        <v>556</v>
      </c>
      <c r="G1573" s="53">
        <v>348731</v>
      </c>
      <c r="H1573" s="41">
        <v>2.75</v>
      </c>
      <c r="I1573" s="56">
        <f>T1573*1000/G1573/0.25</f>
        <v>1.1468610476269674</v>
      </c>
      <c r="J1573" s="47">
        <f>0.61*31.1/0.9072</f>
        <v>20.911596119929452</v>
      </c>
      <c r="R1573" s="53">
        <v>29927</v>
      </c>
      <c r="S1573" s="53">
        <v>8247.8811999999998</v>
      </c>
      <c r="T1573" s="53">
        <v>99.986500000000007</v>
      </c>
      <c r="U1573" s="53">
        <v>5277.4834000000001</v>
      </c>
      <c r="AO1573" s="53">
        <f t="shared" si="296"/>
        <v>959010.25</v>
      </c>
      <c r="AP1573" s="53">
        <f t="shared" si="296"/>
        <v>399945.99999999994</v>
      </c>
      <c r="AQ1573" s="53">
        <f t="shared" si="296"/>
        <v>7292521.8264991175</v>
      </c>
      <c r="AR1573" s="53">
        <f t="shared" si="296"/>
        <v>0</v>
      </c>
      <c r="AS1573" s="53">
        <f t="shared" si="296"/>
        <v>0</v>
      </c>
      <c r="AT1573" s="53">
        <f t="shared" si="296"/>
        <v>0</v>
      </c>
      <c r="AU1573" s="53">
        <f t="shared" si="296"/>
        <v>0</v>
      </c>
      <c r="AV1573" s="53">
        <f t="shared" si="296"/>
        <v>0</v>
      </c>
      <c r="AW1573" s="53">
        <f t="shared" si="296"/>
        <v>0</v>
      </c>
      <c r="AX1573" s="53">
        <f t="shared" si="297"/>
        <v>0</v>
      </c>
      <c r="AY1573" s="41" t="s">
        <v>557</v>
      </c>
    </row>
    <row r="1574" spans="1:51" x14ac:dyDescent="0.2">
      <c r="A1574" s="41" t="s">
        <v>212</v>
      </c>
      <c r="B1574" s="41">
        <v>2010</v>
      </c>
      <c r="C1574" s="41" t="s">
        <v>91</v>
      </c>
      <c r="D1574" s="41" t="s">
        <v>88</v>
      </c>
      <c r="E1574" s="41">
        <v>0</v>
      </c>
      <c r="F1574" s="41" t="s">
        <v>556</v>
      </c>
      <c r="G1574" s="53">
        <v>858794</v>
      </c>
      <c r="H1574" s="46">
        <v>2.2999999999999998</v>
      </c>
      <c r="I1574" s="56">
        <f>T1574*1000/G1574/0.25</f>
        <v>0.80379648670111803</v>
      </c>
      <c r="J1574" s="47">
        <f>1.06*31.1/0.9072</f>
        <v>36.338183421516753</v>
      </c>
      <c r="R1574" s="53">
        <v>64087</v>
      </c>
      <c r="S1574" s="53">
        <v>16970.2376</v>
      </c>
      <c r="T1574" s="53">
        <v>172.57389999999998</v>
      </c>
      <c r="U1574" s="53">
        <v>18922.4218</v>
      </c>
      <c r="AO1574" s="53">
        <f t="shared" si="296"/>
        <v>1975226.2</v>
      </c>
      <c r="AP1574" s="53">
        <f t="shared" si="296"/>
        <v>690295.6</v>
      </c>
      <c r="AQ1574" s="53">
        <f t="shared" si="296"/>
        <v>31207013.89329806</v>
      </c>
      <c r="AR1574" s="53">
        <f t="shared" si="296"/>
        <v>0</v>
      </c>
      <c r="AS1574" s="53">
        <f t="shared" si="296"/>
        <v>0</v>
      </c>
      <c r="AT1574" s="53">
        <f t="shared" si="296"/>
        <v>0</v>
      </c>
      <c r="AU1574" s="53">
        <f t="shared" si="296"/>
        <v>0</v>
      </c>
      <c r="AV1574" s="53">
        <f t="shared" si="296"/>
        <v>0</v>
      </c>
      <c r="AW1574" s="53">
        <f t="shared" si="296"/>
        <v>0</v>
      </c>
      <c r="AX1574" s="53">
        <f t="shared" si="297"/>
        <v>0</v>
      </c>
      <c r="AY1574" s="41" t="s">
        <v>557</v>
      </c>
    </row>
    <row r="1575" spans="1:51" x14ac:dyDescent="0.2">
      <c r="A1575" s="41" t="s">
        <v>212</v>
      </c>
      <c r="B1575" s="41">
        <v>2011</v>
      </c>
      <c r="C1575" s="41" t="s">
        <v>91</v>
      </c>
      <c r="D1575" s="41" t="s">
        <v>88</v>
      </c>
      <c r="E1575" s="41">
        <v>0</v>
      </c>
      <c r="F1575" s="41" t="s">
        <v>556</v>
      </c>
      <c r="G1575" s="53">
        <f>1961759*0.9072</f>
        <v>1779707.7648</v>
      </c>
      <c r="H1575" s="46">
        <v>1.6</v>
      </c>
      <c r="I1575" s="56">
        <f>T1575*1000/G1575/0.25</f>
        <v>0.5940026901657085</v>
      </c>
      <c r="J1575" s="47">
        <f>1.03*31.1/0.9072</f>
        <v>35.309744268077601</v>
      </c>
      <c r="R1575" s="53">
        <v>98608</v>
      </c>
      <c r="S1575" s="53">
        <v>23796.763200000001</v>
      </c>
      <c r="T1575" s="53">
        <v>264.2878</v>
      </c>
      <c r="U1575" s="53">
        <v>32198.2965</v>
      </c>
      <c r="AO1575" s="53">
        <f t="shared" si="296"/>
        <v>2847532.42368</v>
      </c>
      <c r="AP1575" s="53">
        <f t="shared" si="296"/>
        <v>1057151.2</v>
      </c>
      <c r="AQ1575" s="53">
        <f t="shared" si="296"/>
        <v>62841026.046999998</v>
      </c>
      <c r="AR1575" s="53">
        <f t="shared" si="296"/>
        <v>0</v>
      </c>
      <c r="AS1575" s="53">
        <f t="shared" si="296"/>
        <v>0</v>
      </c>
      <c r="AT1575" s="53">
        <f t="shared" si="296"/>
        <v>0</v>
      </c>
      <c r="AU1575" s="53">
        <f t="shared" si="296"/>
        <v>0</v>
      </c>
      <c r="AV1575" s="53">
        <f t="shared" si="296"/>
        <v>0</v>
      </c>
      <c r="AW1575" s="53">
        <f t="shared" si="296"/>
        <v>0</v>
      </c>
      <c r="AX1575" s="53">
        <f t="shared" si="297"/>
        <v>0</v>
      </c>
      <c r="AY1575" s="41" t="s">
        <v>557</v>
      </c>
    </row>
    <row r="1576" spans="1:51" x14ac:dyDescent="0.2">
      <c r="A1576" s="41" t="s">
        <v>212</v>
      </c>
      <c r="B1576" s="41">
        <v>2012</v>
      </c>
      <c r="C1576" s="41" t="s">
        <v>91</v>
      </c>
      <c r="D1576" s="41" t="s">
        <v>88</v>
      </c>
      <c r="E1576" s="41">
        <v>0</v>
      </c>
      <c r="F1576" s="41" t="s">
        <v>556</v>
      </c>
      <c r="G1576" s="53">
        <v>1853310</v>
      </c>
      <c r="H1576" s="41">
        <v>1.41</v>
      </c>
      <c r="I1576" s="41">
        <v>0.38</v>
      </c>
      <c r="J1576" s="47">
        <f>0.42*31.1</f>
        <v>13.061999999999999</v>
      </c>
      <c r="R1576" s="53">
        <v>88553</v>
      </c>
      <c r="S1576" s="53">
        <v>20670</v>
      </c>
      <c r="T1576" s="53">
        <v>317.84199999999998</v>
      </c>
      <c r="U1576" s="53">
        <v>13109.023200000001</v>
      </c>
      <c r="AO1576" s="53">
        <f t="shared" si="296"/>
        <v>2613167.0999999996</v>
      </c>
      <c r="AP1576" s="53">
        <f t="shared" si="296"/>
        <v>704257.8</v>
      </c>
      <c r="AQ1576" s="53">
        <f t="shared" si="296"/>
        <v>24207935.219999999</v>
      </c>
      <c r="AR1576" s="53">
        <f t="shared" si="296"/>
        <v>0</v>
      </c>
      <c r="AS1576" s="53">
        <f t="shared" si="296"/>
        <v>0</v>
      </c>
      <c r="AT1576" s="53">
        <f t="shared" si="296"/>
        <v>0</v>
      </c>
      <c r="AU1576" s="53">
        <f t="shared" si="296"/>
        <v>0</v>
      </c>
      <c r="AV1576" s="53">
        <f t="shared" si="296"/>
        <v>0</v>
      </c>
      <c r="AW1576" s="53">
        <f t="shared" si="296"/>
        <v>0</v>
      </c>
      <c r="AX1576" s="53">
        <f t="shared" si="297"/>
        <v>0</v>
      </c>
      <c r="AY1576" s="41" t="s">
        <v>557</v>
      </c>
    </row>
    <row r="1577" spans="1:51" x14ac:dyDescent="0.2">
      <c r="A1577" s="41" t="s">
        <v>212</v>
      </c>
      <c r="B1577" s="41">
        <v>2013</v>
      </c>
      <c r="C1577" s="41" t="s">
        <v>91</v>
      </c>
      <c r="D1577" s="41" t="s">
        <v>88</v>
      </c>
      <c r="E1577" s="41">
        <v>0</v>
      </c>
      <c r="F1577" s="41" t="s">
        <v>556</v>
      </c>
      <c r="G1577" s="53">
        <v>1880690</v>
      </c>
      <c r="H1577" s="41">
        <v>1.68</v>
      </c>
      <c r="I1577" s="41">
        <v>0.35</v>
      </c>
      <c r="J1577" s="47">
        <f>0.54*31.1</f>
        <v>16.794</v>
      </c>
      <c r="R1577" s="53">
        <v>106340</v>
      </c>
      <c r="S1577" s="53">
        <v>27469</v>
      </c>
      <c r="T1577" s="53">
        <v>286.33769999999998</v>
      </c>
      <c r="U1577" s="53">
        <v>18756.658800000001</v>
      </c>
      <c r="AO1577" s="53">
        <f t="shared" si="296"/>
        <v>3159559.1999999997</v>
      </c>
      <c r="AP1577" s="53">
        <f t="shared" si="296"/>
        <v>658241.5</v>
      </c>
      <c r="AQ1577" s="53">
        <f t="shared" si="296"/>
        <v>31584307.859999999</v>
      </c>
      <c r="AR1577" s="53">
        <f t="shared" si="296"/>
        <v>0</v>
      </c>
      <c r="AS1577" s="53">
        <f t="shared" si="296"/>
        <v>0</v>
      </c>
      <c r="AT1577" s="53">
        <f t="shared" si="296"/>
        <v>0</v>
      </c>
      <c r="AU1577" s="53">
        <f t="shared" si="296"/>
        <v>0</v>
      </c>
      <c r="AV1577" s="53">
        <f t="shared" si="296"/>
        <v>0</v>
      </c>
      <c r="AW1577" s="53">
        <f t="shared" si="296"/>
        <v>0</v>
      </c>
      <c r="AX1577" s="53">
        <f t="shared" si="297"/>
        <v>0</v>
      </c>
      <c r="AY1577" s="41" t="s">
        <v>557</v>
      </c>
    </row>
    <row r="1578" spans="1:51" x14ac:dyDescent="0.2">
      <c r="A1578" s="41" t="s">
        <v>212</v>
      </c>
      <c r="B1578" s="41">
        <v>2014</v>
      </c>
      <c r="C1578" s="41" t="s">
        <v>91</v>
      </c>
      <c r="D1578" s="41" t="s">
        <v>88</v>
      </c>
      <c r="E1578" s="41">
        <v>0</v>
      </c>
      <c r="F1578" s="41" t="s">
        <v>556</v>
      </c>
      <c r="G1578" s="53">
        <v>2773738</v>
      </c>
      <c r="H1578" s="41">
        <v>1.71</v>
      </c>
      <c r="I1578" s="41">
        <v>0.31</v>
      </c>
      <c r="J1578" s="47">
        <f>0.84*31.1</f>
        <v>26.123999999999999</v>
      </c>
      <c r="R1578" s="53">
        <v>163134</v>
      </c>
      <c r="S1578" s="53">
        <v>43282</v>
      </c>
      <c r="T1578" s="53">
        <v>439.56740000000002</v>
      </c>
      <c r="U1578" s="53">
        <v>45526.419200000004</v>
      </c>
      <c r="AO1578" s="53">
        <f t="shared" si="296"/>
        <v>4743091.9799999995</v>
      </c>
      <c r="AP1578" s="53">
        <f t="shared" si="296"/>
        <v>859858.78</v>
      </c>
      <c r="AQ1578" s="53">
        <f t="shared" si="296"/>
        <v>72461131.511999995</v>
      </c>
      <c r="AR1578" s="53">
        <f t="shared" si="296"/>
        <v>0</v>
      </c>
      <c r="AS1578" s="53">
        <f t="shared" si="296"/>
        <v>0</v>
      </c>
      <c r="AT1578" s="53">
        <f t="shared" si="296"/>
        <v>0</v>
      </c>
      <c r="AU1578" s="53">
        <f t="shared" si="296"/>
        <v>0</v>
      </c>
      <c r="AV1578" s="53">
        <f t="shared" si="296"/>
        <v>0</v>
      </c>
      <c r="AW1578" s="53">
        <f t="shared" si="296"/>
        <v>0</v>
      </c>
      <c r="AX1578" s="53">
        <f t="shared" si="297"/>
        <v>0</v>
      </c>
      <c r="AY1578" s="41" t="s">
        <v>557</v>
      </c>
    </row>
    <row r="1579" spans="1:51" x14ac:dyDescent="0.2">
      <c r="A1579" s="41" t="s">
        <v>212</v>
      </c>
      <c r="B1579" s="41">
        <v>2015</v>
      </c>
      <c r="C1579" s="41" t="s">
        <v>91</v>
      </c>
      <c r="D1579" s="41" t="s">
        <v>88</v>
      </c>
      <c r="E1579" s="41">
        <v>0</v>
      </c>
      <c r="F1579" s="41" t="s">
        <v>556</v>
      </c>
      <c r="G1579" s="53">
        <v>1962627</v>
      </c>
      <c r="H1579" s="41">
        <v>1.92</v>
      </c>
      <c r="I1579" s="41">
        <v>0.35</v>
      </c>
      <c r="J1579" s="47">
        <f>0.75*31.1</f>
        <v>23.325000000000003</v>
      </c>
      <c r="R1579" s="53">
        <v>120545</v>
      </c>
      <c r="S1579" s="53">
        <v>32061</v>
      </c>
      <c r="T1579" s="53">
        <v>350.27929999999998</v>
      </c>
      <c r="U1579" s="53">
        <v>26687.189900000001</v>
      </c>
      <c r="AO1579" s="53">
        <f t="shared" si="296"/>
        <v>3768243.84</v>
      </c>
      <c r="AP1579" s="53">
        <f t="shared" si="296"/>
        <v>686919.45</v>
      </c>
      <c r="AQ1579" s="53">
        <f t="shared" si="296"/>
        <v>45778274.775000006</v>
      </c>
      <c r="AR1579" s="53">
        <f t="shared" si="296"/>
        <v>0</v>
      </c>
      <c r="AS1579" s="53">
        <f t="shared" si="296"/>
        <v>0</v>
      </c>
      <c r="AT1579" s="53">
        <f t="shared" si="296"/>
        <v>0</v>
      </c>
      <c r="AU1579" s="53">
        <f t="shared" si="296"/>
        <v>0</v>
      </c>
      <c r="AV1579" s="53">
        <f t="shared" si="296"/>
        <v>0</v>
      </c>
      <c r="AW1579" s="53">
        <f t="shared" si="296"/>
        <v>0</v>
      </c>
      <c r="AX1579" s="53">
        <f t="shared" si="297"/>
        <v>0</v>
      </c>
      <c r="AY1579" s="41" t="s">
        <v>557</v>
      </c>
    </row>
    <row r="1580" spans="1:51" x14ac:dyDescent="0.2">
      <c r="A1580" s="41" t="s">
        <v>212</v>
      </c>
      <c r="B1580" s="41">
        <v>2016</v>
      </c>
      <c r="C1580" s="41" t="s">
        <v>91</v>
      </c>
      <c r="D1580" s="41" t="s">
        <v>88</v>
      </c>
      <c r="E1580" s="41">
        <v>0</v>
      </c>
      <c r="F1580" s="41" t="s">
        <v>556</v>
      </c>
      <c r="G1580" s="53">
        <v>2597926</v>
      </c>
      <c r="H1580" s="41">
        <v>2.09</v>
      </c>
      <c r="I1580" s="41">
        <v>0.48</v>
      </c>
      <c r="J1580" s="47">
        <f>0.49*31.1</f>
        <v>15.239000000000001</v>
      </c>
      <c r="R1580" s="53">
        <v>188747</v>
      </c>
      <c r="S1580" s="53">
        <v>49168.593500000003</v>
      </c>
      <c r="T1580" s="53">
        <v>730.45088999999996</v>
      </c>
      <c r="U1580" s="53">
        <v>24888.934408000001</v>
      </c>
      <c r="AO1580" s="53">
        <f t="shared" si="296"/>
        <v>5429665.3399999999</v>
      </c>
      <c r="AP1580" s="53">
        <f t="shared" si="296"/>
        <v>1247004.48</v>
      </c>
      <c r="AQ1580" s="53">
        <f t="shared" si="296"/>
        <v>39589794.314000003</v>
      </c>
      <c r="AR1580" s="53">
        <f t="shared" si="296"/>
        <v>0</v>
      </c>
      <c r="AS1580" s="53">
        <f t="shared" si="296"/>
        <v>0</v>
      </c>
      <c r="AT1580" s="53">
        <f t="shared" si="296"/>
        <v>0</v>
      </c>
      <c r="AU1580" s="53">
        <f t="shared" si="296"/>
        <v>0</v>
      </c>
      <c r="AV1580" s="53">
        <f t="shared" si="296"/>
        <v>0</v>
      </c>
      <c r="AW1580" s="53">
        <f t="shared" si="296"/>
        <v>0</v>
      </c>
      <c r="AX1580" s="53">
        <f t="shared" si="297"/>
        <v>0</v>
      </c>
      <c r="AY1580" s="41" t="s">
        <v>557</v>
      </c>
    </row>
    <row r="1581" spans="1:51" x14ac:dyDescent="0.2">
      <c r="A1581" s="41" t="s">
        <v>212</v>
      </c>
      <c r="B1581" s="41" t="s">
        <v>558</v>
      </c>
      <c r="C1581" s="41" t="s">
        <v>91</v>
      </c>
      <c r="D1581" s="41" t="s">
        <v>88</v>
      </c>
      <c r="E1581" s="41">
        <v>0</v>
      </c>
      <c r="F1581" s="41" t="s">
        <v>556</v>
      </c>
      <c r="G1581" s="76">
        <v>1250000</v>
      </c>
      <c r="H1581" s="58">
        <v>1.9</v>
      </c>
      <c r="I1581" s="58">
        <v>0.4</v>
      </c>
      <c r="J1581" s="58">
        <v>15</v>
      </c>
      <c r="R1581" s="76">
        <f>(SUM(R1571:R1580)/SUM(S1571:S1580))*S1581</f>
        <v>80795.083191709142</v>
      </c>
      <c r="S1581" s="76">
        <f>0.865*G1581*H1581/100</f>
        <v>20543.75</v>
      </c>
      <c r="T1581" s="76">
        <f>0.55*G1581*I1581/1000</f>
        <v>275</v>
      </c>
      <c r="U1581" s="76">
        <f>0.62*G1581*J1581/1000</f>
        <v>11625</v>
      </c>
      <c r="AO1581" s="53">
        <f t="shared" si="296"/>
        <v>2375000</v>
      </c>
      <c r="AP1581" s="53">
        <f t="shared" si="296"/>
        <v>500000</v>
      </c>
      <c r="AQ1581" s="53">
        <f t="shared" si="296"/>
        <v>18750000</v>
      </c>
      <c r="AR1581" s="53">
        <f t="shared" si="296"/>
        <v>0</v>
      </c>
      <c r="AS1581" s="53">
        <f t="shared" si="296"/>
        <v>0</v>
      </c>
      <c r="AT1581" s="53">
        <f t="shared" si="296"/>
        <v>0</v>
      </c>
      <c r="AU1581" s="53">
        <f t="shared" si="296"/>
        <v>0</v>
      </c>
      <c r="AV1581" s="53">
        <f t="shared" si="296"/>
        <v>0</v>
      </c>
      <c r="AW1581" s="53">
        <f t="shared" si="296"/>
        <v>0</v>
      </c>
      <c r="AX1581" s="53">
        <f t="shared" si="297"/>
        <v>0</v>
      </c>
      <c r="AY1581" s="41" t="s">
        <v>557</v>
      </c>
    </row>
    <row r="1582" spans="1:51" x14ac:dyDescent="0.2">
      <c r="A1582" s="84"/>
      <c r="B1582" s="85" t="s">
        <v>654</v>
      </c>
      <c r="C1582" s="60" t="s">
        <v>91</v>
      </c>
      <c r="D1582" s="60" t="s">
        <v>88</v>
      </c>
      <c r="E1582" s="60">
        <v>0</v>
      </c>
      <c r="F1582" s="60" t="s">
        <v>556</v>
      </c>
      <c r="G1582" s="79">
        <f>SUM(G1571:G1581)</f>
        <v>15690930.764800001</v>
      </c>
      <c r="H1582" s="80">
        <f>AO1582/$G1582</f>
        <v>1.8395675378565033</v>
      </c>
      <c r="I1582" s="80">
        <f>AP1582/$G1582</f>
        <v>0.44072548618425728</v>
      </c>
      <c r="J1582" s="78">
        <f>AQ1582/$G1582</f>
        <v>21.48345313255825</v>
      </c>
      <c r="R1582" s="79">
        <f>SUM(R1571:R1581)</f>
        <v>987053.08319170913</v>
      </c>
      <c r="S1582" s="79">
        <f>SUM(S1571:S1581)</f>
        <v>250977.79440000001</v>
      </c>
      <c r="T1582" s="79">
        <f>SUM(T1571:T1581)</f>
        <v>2964.2550599999995</v>
      </c>
      <c r="U1582" s="79">
        <f>SUM(U1571:U1581)</f>
        <v>197837.26976900001</v>
      </c>
      <c r="AO1582" s="79">
        <f t="shared" ref="AO1582:AX1582" si="298">SUM(AO1571:AO1581)</f>
        <v>28864526.873679999</v>
      </c>
      <c r="AP1582" s="79">
        <f t="shared" si="298"/>
        <v>6915393.0899999999</v>
      </c>
      <c r="AQ1582" s="79">
        <f t="shared" si="298"/>
        <v>337095375.6917972</v>
      </c>
      <c r="AR1582" s="79">
        <f t="shared" si="298"/>
        <v>0</v>
      </c>
      <c r="AS1582" s="79">
        <f t="shared" si="298"/>
        <v>0</v>
      </c>
      <c r="AT1582" s="79">
        <f t="shared" si="298"/>
        <v>0</v>
      </c>
      <c r="AU1582" s="79">
        <f t="shared" si="298"/>
        <v>0</v>
      </c>
      <c r="AV1582" s="79">
        <f t="shared" si="298"/>
        <v>0</v>
      </c>
      <c r="AW1582" s="79">
        <f t="shared" si="298"/>
        <v>0</v>
      </c>
      <c r="AX1582" s="79">
        <f t="shared" si="298"/>
        <v>0</v>
      </c>
      <c r="AY1582" s="41" t="s">
        <v>557</v>
      </c>
    </row>
    <row r="1583" spans="1:51" x14ac:dyDescent="0.2">
      <c r="A1583" s="41" t="s">
        <v>212</v>
      </c>
      <c r="B1583" s="43" t="s">
        <v>560</v>
      </c>
      <c r="G1583" s="53">
        <f>STDEV(G1571:G1581)</f>
        <v>926332.91607136873</v>
      </c>
      <c r="H1583" s="46">
        <f>STDEV(H1571:H1581)</f>
        <v>0.42982237346056462</v>
      </c>
      <c r="I1583" s="46">
        <f>STDEV(I1571:I1581)</f>
        <v>0.27129674403516968</v>
      </c>
      <c r="J1583" s="47">
        <f>STDEV(J1571:J1581)</f>
        <v>9.6873681179585134</v>
      </c>
      <c r="R1583" s="53">
        <f>STDEV(R1571:R1581)</f>
        <v>54983.733801854214</v>
      </c>
      <c r="S1583" s="53">
        <f>STDEV(S1571:S1581)</f>
        <v>14752.519151930928</v>
      </c>
      <c r="T1583" s="53">
        <f>STDEV(T1571:T1581)</f>
        <v>204.82713518207987</v>
      </c>
      <c r="U1583" s="53">
        <f>STDEV(U1571:U1581)</f>
        <v>13885.831008460387</v>
      </c>
      <c r="AY1583" s="41" t="s">
        <v>557</v>
      </c>
    </row>
    <row r="1584" spans="1:51" x14ac:dyDescent="0.2">
      <c r="A1584" s="41" t="s">
        <v>212</v>
      </c>
      <c r="B1584" s="81" t="s">
        <v>249</v>
      </c>
      <c r="G1584" s="41">
        <f>COUNT(G1571:G1581)</f>
        <v>11</v>
      </c>
      <c r="H1584" s="41">
        <f>COUNT(H1571:H1581)</f>
        <v>11</v>
      </c>
      <c r="I1584" s="41">
        <f>COUNT(I1571:I1581)</f>
        <v>11</v>
      </c>
      <c r="J1584" s="41">
        <f>COUNT(J1571:J1581)</f>
        <v>11</v>
      </c>
      <c r="R1584" s="41">
        <f>COUNT(R1571:R1581)</f>
        <v>11</v>
      </c>
      <c r="S1584" s="41">
        <f>COUNT(S1571:S1581)</f>
        <v>11</v>
      </c>
      <c r="T1584" s="41">
        <f>COUNT(T1571:T1581)</f>
        <v>11</v>
      </c>
      <c r="U1584" s="41">
        <f>COUNT(U1571:U1581)</f>
        <v>11</v>
      </c>
      <c r="AY1584" s="41" t="s">
        <v>557</v>
      </c>
    </row>
    <row r="1585" spans="1:51" x14ac:dyDescent="0.2">
      <c r="A1585" s="82"/>
      <c r="B1585" s="82"/>
      <c r="C1585" s="82"/>
      <c r="D1585" s="82"/>
      <c r="E1585" s="82"/>
      <c r="F1585" s="82"/>
      <c r="G1585" s="82"/>
      <c r="H1585" s="82"/>
      <c r="I1585" s="82"/>
      <c r="J1585" s="82"/>
      <c r="K1585" s="82"/>
      <c r="L1585" s="82"/>
      <c r="M1585" s="82"/>
      <c r="N1585" s="82"/>
      <c r="O1585" s="82"/>
      <c r="P1585" s="82"/>
      <c r="Q1585" s="82"/>
      <c r="R1585" s="82"/>
      <c r="S1585" s="82"/>
      <c r="T1585" s="82"/>
      <c r="U1585" s="82"/>
      <c r="V1585" s="82"/>
      <c r="W1585" s="82"/>
      <c r="X1585" s="82"/>
      <c r="Y1585" s="82"/>
      <c r="Z1585" s="82"/>
      <c r="AA1585" s="82"/>
      <c r="AB1585" s="82"/>
      <c r="AC1585" s="82"/>
      <c r="AD1585" s="82"/>
      <c r="AE1585" s="82"/>
      <c r="AF1585" s="82"/>
      <c r="AG1585" s="82"/>
      <c r="AH1585" s="82"/>
      <c r="AI1585" s="82"/>
      <c r="AJ1585" s="82"/>
      <c r="AK1585" s="82"/>
      <c r="AL1585" s="82"/>
      <c r="AM1585" s="82"/>
      <c r="AN1585" s="82"/>
      <c r="AO1585" s="82"/>
      <c r="AP1585" s="82"/>
      <c r="AQ1585" s="82"/>
      <c r="AR1585" s="82"/>
      <c r="AS1585" s="82"/>
      <c r="AT1585" s="82"/>
      <c r="AU1585" s="82"/>
      <c r="AV1585" s="82"/>
      <c r="AW1585" s="82"/>
      <c r="AX1585" s="82"/>
      <c r="AY1585" s="41" t="s">
        <v>557</v>
      </c>
    </row>
    <row r="1586" spans="1:51" x14ac:dyDescent="0.2">
      <c r="A1586" s="48" t="s">
        <v>465</v>
      </c>
      <c r="B1586" s="48" t="s">
        <v>655</v>
      </c>
      <c r="C1586" s="41" t="s">
        <v>87</v>
      </c>
      <c r="D1586" s="48" t="s">
        <v>656</v>
      </c>
      <c r="E1586" s="48">
        <v>100</v>
      </c>
      <c r="F1586" s="48" t="s">
        <v>390</v>
      </c>
      <c r="G1586" s="123">
        <f>161077336*0.9072</f>
        <v>146129359.21920002</v>
      </c>
      <c r="I1586" s="49">
        <f>0.0195*31.1/0.9072</f>
        <v>0.66848544973544977</v>
      </c>
      <c r="T1586" s="123">
        <f>3139445*31.1/1000</f>
        <v>97636.739499999996</v>
      </c>
      <c r="AM1586" s="76">
        <f>3*G1586</f>
        <v>438388077.65760005</v>
      </c>
      <c r="AO1586" s="53">
        <f t="shared" ref="AO1586:AW1590" si="299">$G1586*H1586</f>
        <v>0</v>
      </c>
      <c r="AP1586" s="53">
        <f t="shared" si="299"/>
        <v>97685350.417200014</v>
      </c>
      <c r="AQ1586" s="53">
        <f t="shared" si="299"/>
        <v>0</v>
      </c>
      <c r="AR1586" s="53">
        <f t="shared" si="299"/>
        <v>0</v>
      </c>
      <c r="AS1586" s="53">
        <f t="shared" si="299"/>
        <v>0</v>
      </c>
      <c r="AT1586" s="53">
        <f t="shared" si="299"/>
        <v>0</v>
      </c>
      <c r="AU1586" s="53">
        <f t="shared" si="299"/>
        <v>0</v>
      </c>
      <c r="AV1586" s="53">
        <f t="shared" si="299"/>
        <v>0</v>
      </c>
      <c r="AW1586" s="53">
        <f t="shared" si="299"/>
        <v>0</v>
      </c>
      <c r="AX1586" s="53">
        <f>$G1586*E1586</f>
        <v>14612935921.920002</v>
      </c>
      <c r="AY1586" s="41" t="s">
        <v>557</v>
      </c>
    </row>
    <row r="1587" spans="1:51" x14ac:dyDescent="0.2">
      <c r="A1587" s="48" t="s">
        <v>465</v>
      </c>
      <c r="B1587" s="48" t="s">
        <v>655</v>
      </c>
      <c r="C1587" s="41" t="s">
        <v>87</v>
      </c>
      <c r="D1587" s="48" t="s">
        <v>401</v>
      </c>
      <c r="E1587" s="48">
        <v>100</v>
      </c>
      <c r="F1587" s="48" t="s">
        <v>390</v>
      </c>
      <c r="G1587" s="123">
        <f>5028693*0.9072</f>
        <v>4562030.2895999998</v>
      </c>
      <c r="I1587" s="49">
        <f>0.096*31.1/0.9072</f>
        <v>3.2910052910052912</v>
      </c>
      <c r="T1587" s="123">
        <f>482777*31.1/1000</f>
        <v>15014.364700000002</v>
      </c>
      <c r="AM1587" s="76">
        <f>3*G1587</f>
        <v>13686090.868799999</v>
      </c>
      <c r="AO1587" s="53">
        <f t="shared" si="299"/>
        <v>0</v>
      </c>
      <c r="AP1587" s="53">
        <f t="shared" si="299"/>
        <v>15013665.820800001</v>
      </c>
      <c r="AQ1587" s="53">
        <f t="shared" si="299"/>
        <v>0</v>
      </c>
      <c r="AR1587" s="53">
        <f t="shared" si="299"/>
        <v>0</v>
      </c>
      <c r="AS1587" s="53">
        <f t="shared" si="299"/>
        <v>0</v>
      </c>
      <c r="AT1587" s="53">
        <f t="shared" si="299"/>
        <v>0</v>
      </c>
      <c r="AU1587" s="53">
        <f t="shared" si="299"/>
        <v>0</v>
      </c>
      <c r="AV1587" s="53">
        <f t="shared" si="299"/>
        <v>0</v>
      </c>
      <c r="AW1587" s="53">
        <f t="shared" si="299"/>
        <v>0</v>
      </c>
      <c r="AX1587" s="53">
        <f>$G1587*E1587</f>
        <v>456203028.95999998</v>
      </c>
      <c r="AY1587" s="41" t="s">
        <v>557</v>
      </c>
    </row>
    <row r="1588" spans="1:51" x14ac:dyDescent="0.2">
      <c r="A1588" s="48" t="s">
        <v>465</v>
      </c>
      <c r="B1588" s="48" t="s">
        <v>657</v>
      </c>
      <c r="C1588" s="41" t="s">
        <v>87</v>
      </c>
      <c r="D1588" s="48" t="s">
        <v>656</v>
      </c>
      <c r="E1588" s="48">
        <v>100</v>
      </c>
      <c r="F1588" s="48" t="s">
        <v>390</v>
      </c>
      <c r="G1588" s="123">
        <v>11202000</v>
      </c>
      <c r="H1588" s="48"/>
      <c r="I1588" s="49">
        <v>0.6</v>
      </c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123">
        <f>129615*31.1/1000</f>
        <v>4031.0264999999999</v>
      </c>
      <c r="AL1588" s="41">
        <f>AM1588/G1588</f>
        <v>4.9630423138725224</v>
      </c>
      <c r="AM1588" s="53">
        <v>55596000</v>
      </c>
      <c r="AO1588" s="53">
        <f t="shared" si="299"/>
        <v>0</v>
      </c>
      <c r="AP1588" s="53">
        <f t="shared" si="299"/>
        <v>6721200</v>
      </c>
      <c r="AQ1588" s="53">
        <f t="shared" si="299"/>
        <v>0</v>
      </c>
      <c r="AR1588" s="53">
        <f t="shared" si="299"/>
        <v>0</v>
      </c>
      <c r="AS1588" s="53">
        <f t="shared" si="299"/>
        <v>0</v>
      </c>
      <c r="AT1588" s="53">
        <f t="shared" si="299"/>
        <v>0</v>
      </c>
      <c r="AU1588" s="53">
        <f t="shared" si="299"/>
        <v>0</v>
      </c>
      <c r="AV1588" s="53">
        <f t="shared" si="299"/>
        <v>0</v>
      </c>
      <c r="AW1588" s="53">
        <f t="shared" si="299"/>
        <v>0</v>
      </c>
      <c r="AX1588" s="53">
        <f>$G1588*E1588</f>
        <v>1120200000</v>
      </c>
      <c r="AY1588" s="41" t="s">
        <v>557</v>
      </c>
    </row>
    <row r="1589" spans="1:51" x14ac:dyDescent="0.2">
      <c r="A1589" s="48" t="s">
        <v>465</v>
      </c>
      <c r="B1589" s="48">
        <v>2015</v>
      </c>
      <c r="C1589" s="41" t="s">
        <v>87</v>
      </c>
      <c r="D1589" s="48" t="s">
        <v>656</v>
      </c>
      <c r="E1589" s="48">
        <v>100</v>
      </c>
      <c r="F1589" s="48" t="s">
        <v>390</v>
      </c>
      <c r="G1589" s="123">
        <v>20538000</v>
      </c>
      <c r="H1589" s="48"/>
      <c r="I1589" s="48">
        <v>0.45</v>
      </c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123">
        <f>207006*31.1/1000</f>
        <v>6437.8866000000007</v>
      </c>
      <c r="AL1589" s="41">
        <f>AM1589/G1589</f>
        <v>3.6319018404907975</v>
      </c>
      <c r="AM1589" s="53">
        <v>74592000</v>
      </c>
      <c r="AO1589" s="53">
        <f t="shared" si="299"/>
        <v>0</v>
      </c>
      <c r="AP1589" s="53">
        <f t="shared" si="299"/>
        <v>9242100</v>
      </c>
      <c r="AQ1589" s="53">
        <f t="shared" si="299"/>
        <v>0</v>
      </c>
      <c r="AR1589" s="53">
        <f t="shared" si="299"/>
        <v>0</v>
      </c>
      <c r="AS1589" s="53">
        <f t="shared" si="299"/>
        <v>0</v>
      </c>
      <c r="AT1589" s="53">
        <f t="shared" si="299"/>
        <v>0</v>
      </c>
      <c r="AU1589" s="53">
        <f t="shared" si="299"/>
        <v>0</v>
      </c>
      <c r="AV1589" s="53">
        <f t="shared" si="299"/>
        <v>0</v>
      </c>
      <c r="AW1589" s="53">
        <f t="shared" si="299"/>
        <v>0</v>
      </c>
      <c r="AX1589" s="53">
        <f>$G1589*E1589</f>
        <v>2053800000</v>
      </c>
      <c r="AY1589" s="41" t="s">
        <v>557</v>
      </c>
    </row>
    <row r="1590" spans="1:51" x14ac:dyDescent="0.2">
      <c r="A1590" s="48" t="s">
        <v>465</v>
      </c>
      <c r="B1590" s="48">
        <v>2016</v>
      </c>
      <c r="C1590" s="41" t="s">
        <v>87</v>
      </c>
      <c r="D1590" s="48" t="s">
        <v>656</v>
      </c>
      <c r="E1590" s="48">
        <v>100</v>
      </c>
      <c r="F1590" s="48" t="s">
        <v>390</v>
      </c>
      <c r="G1590" s="123">
        <v>23613000</v>
      </c>
      <c r="H1590" s="48"/>
      <c r="I1590" s="48">
        <v>0.45</v>
      </c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123">
        <f>205116*31.1/1000</f>
        <v>6379.1076000000003</v>
      </c>
      <c r="AL1590" s="41">
        <f>AM1590/G1590</f>
        <v>3.1801549993647567</v>
      </c>
      <c r="AM1590" s="53">
        <v>75093000</v>
      </c>
      <c r="AO1590" s="53">
        <f t="shared" si="299"/>
        <v>0</v>
      </c>
      <c r="AP1590" s="53">
        <f t="shared" si="299"/>
        <v>10625850</v>
      </c>
      <c r="AQ1590" s="53">
        <f t="shared" si="299"/>
        <v>0</v>
      </c>
      <c r="AR1590" s="53">
        <f t="shared" si="299"/>
        <v>0</v>
      </c>
      <c r="AS1590" s="53">
        <f t="shared" si="299"/>
        <v>0</v>
      </c>
      <c r="AT1590" s="53">
        <f t="shared" si="299"/>
        <v>0</v>
      </c>
      <c r="AU1590" s="53">
        <f t="shared" si="299"/>
        <v>0</v>
      </c>
      <c r="AV1590" s="53">
        <f t="shared" si="299"/>
        <v>0</v>
      </c>
      <c r="AW1590" s="53">
        <f t="shared" si="299"/>
        <v>0</v>
      </c>
      <c r="AX1590" s="53">
        <f>$G1590*E1590</f>
        <v>2361300000</v>
      </c>
      <c r="AY1590" s="41" t="s">
        <v>557</v>
      </c>
    </row>
    <row r="1591" spans="1:51" x14ac:dyDescent="0.2">
      <c r="A1591" s="48" t="s">
        <v>465</v>
      </c>
      <c r="B1591" s="60" t="s">
        <v>559</v>
      </c>
      <c r="C1591" s="60" t="s">
        <v>87</v>
      </c>
      <c r="D1591" s="60" t="s">
        <v>656</v>
      </c>
      <c r="E1591" s="60">
        <v>100</v>
      </c>
      <c r="F1591" s="60" t="s">
        <v>390</v>
      </c>
      <c r="G1591" s="79">
        <f>SUM(G1586:G1590)</f>
        <v>206044389.50880003</v>
      </c>
      <c r="I1591" s="80">
        <f>AP1591/G1591</f>
        <v>0.6760104779851388</v>
      </c>
      <c r="T1591" s="79">
        <f>SUM(T1586:T1590)</f>
        <v>129499.12490000001</v>
      </c>
      <c r="AM1591" s="79">
        <f>SUM(AM1586:AM1590)</f>
        <v>657355168.52640009</v>
      </c>
      <c r="AO1591" s="79">
        <f>SUM(AO1586:AO1590)</f>
        <v>0</v>
      </c>
      <c r="AP1591" s="79">
        <f t="shared" ref="AP1591:AX1591" si="300">SUM(AP1586:AP1590)</f>
        <v>139288166.23800004</v>
      </c>
      <c r="AQ1591" s="79">
        <f t="shared" si="300"/>
        <v>0</v>
      </c>
      <c r="AR1591" s="79">
        <f t="shared" si="300"/>
        <v>0</v>
      </c>
      <c r="AS1591" s="79">
        <f t="shared" si="300"/>
        <v>0</v>
      </c>
      <c r="AT1591" s="79">
        <f t="shared" si="300"/>
        <v>0</v>
      </c>
      <c r="AU1591" s="79">
        <f t="shared" si="300"/>
        <v>0</v>
      </c>
      <c r="AV1591" s="79">
        <f t="shared" si="300"/>
        <v>0</v>
      </c>
      <c r="AW1591" s="79">
        <f t="shared" si="300"/>
        <v>0</v>
      </c>
      <c r="AX1591" s="79">
        <f t="shared" si="300"/>
        <v>20604438950.880001</v>
      </c>
      <c r="AY1591" s="41" t="s">
        <v>557</v>
      </c>
    </row>
    <row r="1592" spans="1:51" x14ac:dyDescent="0.2">
      <c r="A1592" s="48" t="s">
        <v>465</v>
      </c>
      <c r="B1592" s="43" t="s">
        <v>560</v>
      </c>
      <c r="G1592" s="53">
        <f>STDEV(G1586:G1590)</f>
        <v>59136730.704289034</v>
      </c>
      <c r="I1592" s="46">
        <f>STDEV(I1586:I1590)</f>
        <v>1.2330227889505987</v>
      </c>
      <c r="T1592" s="53">
        <f>STDEV(T1586:T1590)</f>
        <v>40319.808871858644</v>
      </c>
      <c r="AM1592" s="53">
        <f>STDEV(AM1586:AM1590)</f>
        <v>173379707.9583714</v>
      </c>
      <c r="AY1592" s="41" t="s">
        <v>557</v>
      </c>
    </row>
    <row r="1593" spans="1:51" x14ac:dyDescent="0.2">
      <c r="A1593" s="48" t="s">
        <v>465</v>
      </c>
      <c r="B1593" s="81" t="s">
        <v>249</v>
      </c>
      <c r="G1593" s="41">
        <f>COUNT(G1586:G1590)</f>
        <v>5</v>
      </c>
      <c r="I1593" s="41">
        <f>COUNT(I1586:I1590)</f>
        <v>5</v>
      </c>
      <c r="T1593" s="41">
        <f>COUNT(T1586:T1590)</f>
        <v>5</v>
      </c>
      <c r="AM1593" s="41">
        <f>COUNT(AM1586:AM1590)</f>
        <v>5</v>
      </c>
      <c r="AY1593" s="41" t="s">
        <v>557</v>
      </c>
    </row>
    <row r="1594" spans="1:51" x14ac:dyDescent="0.2">
      <c r="A1594" s="82"/>
      <c r="B1594" s="82"/>
      <c r="C1594" s="82"/>
      <c r="D1594" s="82"/>
      <c r="E1594" s="82"/>
      <c r="F1594" s="82"/>
      <c r="G1594" s="82"/>
      <c r="H1594" s="82"/>
      <c r="I1594" s="82"/>
      <c r="J1594" s="82"/>
      <c r="K1594" s="82"/>
      <c r="L1594" s="82"/>
      <c r="M1594" s="82"/>
      <c r="N1594" s="82"/>
      <c r="O1594" s="82"/>
      <c r="P1594" s="82"/>
      <c r="Q1594" s="82"/>
      <c r="R1594" s="82"/>
      <c r="S1594" s="82"/>
      <c r="T1594" s="82"/>
      <c r="U1594" s="82"/>
      <c r="V1594" s="82"/>
      <c r="W1594" s="82"/>
      <c r="X1594" s="82"/>
      <c r="Y1594" s="82"/>
      <c r="Z1594" s="82"/>
      <c r="AA1594" s="82"/>
      <c r="AB1594" s="82"/>
      <c r="AC1594" s="82"/>
      <c r="AD1594" s="82"/>
      <c r="AE1594" s="82"/>
      <c r="AF1594" s="82"/>
      <c r="AG1594" s="82"/>
      <c r="AH1594" s="82"/>
      <c r="AI1594" s="82"/>
      <c r="AJ1594" s="82"/>
      <c r="AK1594" s="82"/>
      <c r="AL1594" s="82"/>
      <c r="AM1594" s="82"/>
      <c r="AN1594" s="82"/>
      <c r="AO1594" s="82"/>
      <c r="AP1594" s="82"/>
      <c r="AQ1594" s="82"/>
      <c r="AR1594" s="82"/>
      <c r="AS1594" s="82"/>
      <c r="AT1594" s="82"/>
      <c r="AU1594" s="82"/>
      <c r="AV1594" s="82"/>
      <c r="AW1594" s="82"/>
      <c r="AX1594" s="82"/>
      <c r="AY1594" s="41" t="s">
        <v>557</v>
      </c>
    </row>
    <row r="1595" spans="1:51" x14ac:dyDescent="0.2">
      <c r="A1595" s="41" t="s">
        <v>267</v>
      </c>
      <c r="B1595" s="41">
        <v>1995</v>
      </c>
      <c r="C1595" s="41" t="s">
        <v>96</v>
      </c>
      <c r="D1595" s="41" t="s">
        <v>88</v>
      </c>
      <c r="E1595" s="41">
        <v>0</v>
      </c>
      <c r="F1595" s="41" t="s">
        <v>599</v>
      </c>
      <c r="G1595" s="99">
        <v>314604.17233560095</v>
      </c>
      <c r="J1595" s="124">
        <v>52.24799999999999</v>
      </c>
      <c r="L1595" s="100">
        <v>5.2999999999999989</v>
      </c>
      <c r="M1595" s="100">
        <v>12.599999999999998</v>
      </c>
      <c r="U1595" s="53">
        <v>8333.1117142857147</v>
      </c>
      <c r="Y1595" s="53">
        <v>6834.2857142857156</v>
      </c>
      <c r="Z1595" s="53">
        <v>48177.777777777781</v>
      </c>
      <c r="AA1595" s="53">
        <v>21680</v>
      </c>
      <c r="AH1595" s="53">
        <f>G1595-Z1595</f>
        <v>266426.39455782319</v>
      </c>
      <c r="AO1595" s="53">
        <f t="shared" ref="AO1595:AW1616" si="301">$G1595*H1595</f>
        <v>0</v>
      </c>
      <c r="AP1595" s="53">
        <f t="shared" si="301"/>
        <v>0</v>
      </c>
      <c r="AQ1595" s="53">
        <f t="shared" si="301"/>
        <v>16437438.796190476</v>
      </c>
      <c r="AR1595" s="53">
        <f t="shared" si="301"/>
        <v>0</v>
      </c>
      <c r="AS1595" s="53">
        <f t="shared" si="301"/>
        <v>1667402.1133786847</v>
      </c>
      <c r="AT1595" s="53">
        <f t="shared" si="301"/>
        <v>3964012.5714285714</v>
      </c>
      <c r="AU1595" s="53">
        <f t="shared" si="301"/>
        <v>0</v>
      </c>
      <c r="AV1595" s="53">
        <f t="shared" si="301"/>
        <v>0</v>
      </c>
      <c r="AW1595" s="53">
        <f t="shared" si="301"/>
        <v>0</v>
      </c>
      <c r="AX1595" s="53">
        <f t="shared" ref="AX1595:AX1616" si="302">$G1595*E1595</f>
        <v>0</v>
      </c>
      <c r="AY1595" s="41" t="s">
        <v>557</v>
      </c>
    </row>
    <row r="1596" spans="1:51" x14ac:dyDescent="0.2">
      <c r="A1596" s="41" t="s">
        <v>267</v>
      </c>
      <c r="B1596" s="41">
        <v>1996</v>
      </c>
      <c r="C1596" s="41" t="s">
        <v>96</v>
      </c>
      <c r="D1596" s="41" t="s">
        <v>88</v>
      </c>
      <c r="E1596" s="41">
        <v>0</v>
      </c>
      <c r="F1596" s="41" t="s">
        <v>599</v>
      </c>
      <c r="G1596" s="99">
        <v>952669.11337868485</v>
      </c>
      <c r="J1596" s="124">
        <v>55.89998400667718</v>
      </c>
      <c r="L1596" s="124">
        <v>5.2999999999999989</v>
      </c>
      <c r="M1596" s="124">
        <v>13.559365325747068</v>
      </c>
      <c r="U1596" s="53">
        <v>26146.880714285719</v>
      </c>
      <c r="Y1596" s="53">
        <v>22927.142857142862</v>
      </c>
      <c r="Z1596" s="53">
        <v>203139.68253968254</v>
      </c>
      <c r="AA1596" s="53">
        <v>91412.857142857145</v>
      </c>
      <c r="AH1596" s="53">
        <f t="shared" ref="AH1596:AH1616" si="303">G1596-Z1596</f>
        <v>749529.43083900237</v>
      </c>
      <c r="AO1596" s="53">
        <f t="shared" si="301"/>
        <v>0</v>
      </c>
      <c r="AP1596" s="53">
        <f t="shared" si="301"/>
        <v>0</v>
      </c>
      <c r="AQ1596" s="53">
        <f t="shared" si="301"/>
        <v>53254188.201523811</v>
      </c>
      <c r="AR1596" s="53">
        <f t="shared" si="301"/>
        <v>0</v>
      </c>
      <c r="AS1596" s="53">
        <f t="shared" si="301"/>
        <v>5049146.3009070288</v>
      </c>
      <c r="AT1596" s="53">
        <f t="shared" si="301"/>
        <v>12917588.542857142</v>
      </c>
      <c r="AU1596" s="53">
        <f t="shared" si="301"/>
        <v>0</v>
      </c>
      <c r="AV1596" s="53">
        <f t="shared" si="301"/>
        <v>0</v>
      </c>
      <c r="AW1596" s="53">
        <f t="shared" si="301"/>
        <v>0</v>
      </c>
      <c r="AX1596" s="53">
        <f t="shared" si="302"/>
        <v>0</v>
      </c>
      <c r="AY1596" s="41" t="s">
        <v>557</v>
      </c>
    </row>
    <row r="1597" spans="1:51" x14ac:dyDescent="0.2">
      <c r="A1597" s="41" t="s">
        <v>267</v>
      </c>
      <c r="B1597" s="41">
        <v>1997</v>
      </c>
      <c r="C1597" s="41" t="s">
        <v>96</v>
      </c>
      <c r="D1597" s="41" t="s">
        <v>88</v>
      </c>
      <c r="E1597" s="41">
        <v>0</v>
      </c>
      <c r="F1597" s="41" t="s">
        <v>599</v>
      </c>
      <c r="G1597" s="99">
        <v>1069103.5714285714</v>
      </c>
      <c r="J1597" s="124">
        <v>61.637142866687384</v>
      </c>
      <c r="L1597" s="124">
        <v>5.5588921292538149</v>
      </c>
      <c r="M1597" s="124">
        <v>15.124897961910682</v>
      </c>
      <c r="U1597" s="53">
        <v>35243.764000000003</v>
      </c>
      <c r="Y1597" s="53">
        <v>33008.571428571435</v>
      </c>
      <c r="Z1597" s="53">
        <v>272990.47619047621</v>
      </c>
      <c r="AA1597" s="53">
        <v>122845.71428571429</v>
      </c>
      <c r="AH1597" s="53">
        <f t="shared" si="303"/>
        <v>796113.09523809515</v>
      </c>
      <c r="AO1597" s="53">
        <f t="shared" si="301"/>
        <v>0</v>
      </c>
      <c r="AP1597" s="53">
        <f t="shared" si="301"/>
        <v>0</v>
      </c>
      <c r="AQ1597" s="53">
        <f t="shared" si="301"/>
        <v>65896489.571428575</v>
      </c>
      <c r="AR1597" s="53">
        <f t="shared" si="301"/>
        <v>0</v>
      </c>
      <c r="AS1597" s="53">
        <f t="shared" si="301"/>
        <v>5943031.4285714291</v>
      </c>
      <c r="AT1597" s="53">
        <f t="shared" si="301"/>
        <v>16170082.428571429</v>
      </c>
      <c r="AU1597" s="53">
        <f t="shared" si="301"/>
        <v>0</v>
      </c>
      <c r="AV1597" s="53">
        <f t="shared" si="301"/>
        <v>0</v>
      </c>
      <c r="AW1597" s="53">
        <f t="shared" si="301"/>
        <v>0</v>
      </c>
      <c r="AX1597" s="53">
        <f t="shared" si="302"/>
        <v>0</v>
      </c>
      <c r="AY1597" s="41" t="s">
        <v>557</v>
      </c>
    </row>
    <row r="1598" spans="1:51" x14ac:dyDescent="0.2">
      <c r="A1598" s="41" t="s">
        <v>267</v>
      </c>
      <c r="B1598" s="41">
        <v>1998</v>
      </c>
      <c r="C1598" s="41" t="s">
        <v>96</v>
      </c>
      <c r="D1598" s="41" t="s">
        <v>88</v>
      </c>
      <c r="E1598" s="41">
        <v>0</v>
      </c>
      <c r="F1598" s="41" t="s">
        <v>599</v>
      </c>
      <c r="G1598" s="99">
        <v>1191666</v>
      </c>
      <c r="J1598" s="124">
        <v>68.134022510166616</v>
      </c>
      <c r="L1598" s="124">
        <v>5.9923373943146254</v>
      </c>
      <c r="M1598" s="124">
        <v>16.257158017990502</v>
      </c>
      <c r="U1598" s="53">
        <v>43899.027285714292</v>
      </c>
      <c r="Y1598" s="53">
        <v>42381</v>
      </c>
      <c r="Z1598" s="53">
        <v>334870.79365079367</v>
      </c>
      <c r="AA1598" s="53">
        <v>150691.85714285716</v>
      </c>
      <c r="AH1598" s="53">
        <f t="shared" si="303"/>
        <v>856795.20634920639</v>
      </c>
      <c r="AO1598" s="53">
        <f t="shared" si="301"/>
        <v>0</v>
      </c>
      <c r="AP1598" s="53">
        <f t="shared" si="301"/>
        <v>0</v>
      </c>
      <c r="AQ1598" s="53">
        <f t="shared" si="301"/>
        <v>81192998.068600208</v>
      </c>
      <c r="AR1598" s="53">
        <f t="shared" si="301"/>
        <v>0</v>
      </c>
      <c r="AS1598" s="53">
        <f t="shared" si="301"/>
        <v>7140864.7333333325</v>
      </c>
      <c r="AT1598" s="53">
        <f t="shared" si="301"/>
        <v>19373102.466666669</v>
      </c>
      <c r="AU1598" s="53">
        <f t="shared" si="301"/>
        <v>0</v>
      </c>
      <c r="AV1598" s="53">
        <f t="shared" si="301"/>
        <v>0</v>
      </c>
      <c r="AW1598" s="53">
        <f t="shared" si="301"/>
        <v>0</v>
      </c>
      <c r="AX1598" s="53">
        <f t="shared" si="302"/>
        <v>0</v>
      </c>
      <c r="AY1598" s="41" t="s">
        <v>557</v>
      </c>
    </row>
    <row r="1599" spans="1:51" x14ac:dyDescent="0.2">
      <c r="A1599" s="41" t="s">
        <v>267</v>
      </c>
      <c r="B1599" s="41">
        <v>1999</v>
      </c>
      <c r="C1599" s="41" t="s">
        <v>96</v>
      </c>
      <c r="D1599" s="41" t="s">
        <v>88</v>
      </c>
      <c r="E1599" s="41">
        <v>0</v>
      </c>
      <c r="F1599" s="41" t="s">
        <v>599</v>
      </c>
      <c r="G1599" s="99">
        <v>1236570</v>
      </c>
      <c r="J1599" s="124">
        <v>73.294423642732326</v>
      </c>
      <c r="L1599" s="124">
        <v>6.2250451922117893</v>
      </c>
      <c r="M1599" s="124">
        <v>16.473817602993226</v>
      </c>
      <c r="U1599" s="53">
        <v>49293.966500000002</v>
      </c>
      <c r="Y1599" s="53">
        <v>45119.285714285725</v>
      </c>
      <c r="Z1599" s="53">
        <v>361315.87301587302</v>
      </c>
      <c r="AA1599" s="53">
        <v>162592.14285714287</v>
      </c>
      <c r="AH1599" s="53">
        <f t="shared" si="303"/>
        <v>875254.12698412698</v>
      </c>
      <c r="AO1599" s="53">
        <f t="shared" si="301"/>
        <v>0</v>
      </c>
      <c r="AP1599" s="53">
        <f t="shared" si="301"/>
        <v>0</v>
      </c>
      <c r="AQ1599" s="53">
        <f t="shared" si="301"/>
        <v>90633685.443893507</v>
      </c>
      <c r="AR1599" s="53">
        <f t="shared" si="301"/>
        <v>0</v>
      </c>
      <c r="AS1599" s="53">
        <f t="shared" si="301"/>
        <v>7697704.1333333319</v>
      </c>
      <c r="AT1599" s="53">
        <f t="shared" si="301"/>
        <v>20371028.633333333</v>
      </c>
      <c r="AU1599" s="53">
        <f t="shared" si="301"/>
        <v>0</v>
      </c>
      <c r="AV1599" s="53">
        <f t="shared" si="301"/>
        <v>0</v>
      </c>
      <c r="AW1599" s="53">
        <f t="shared" si="301"/>
        <v>0</v>
      </c>
      <c r="AX1599" s="53">
        <f t="shared" si="302"/>
        <v>0</v>
      </c>
      <c r="AY1599" s="41" t="s">
        <v>557</v>
      </c>
    </row>
    <row r="1600" spans="1:51" x14ac:dyDescent="0.2">
      <c r="A1600" s="41" t="s">
        <v>267</v>
      </c>
      <c r="B1600" s="41">
        <v>2000</v>
      </c>
      <c r="C1600" s="41" t="s">
        <v>96</v>
      </c>
      <c r="D1600" s="41" t="s">
        <v>88</v>
      </c>
      <c r="E1600" s="41">
        <v>0</v>
      </c>
      <c r="F1600" s="41" t="s">
        <v>599</v>
      </c>
      <c r="G1600" s="99">
        <v>1299598</v>
      </c>
      <c r="J1600" s="124">
        <v>72.219301443941589</v>
      </c>
      <c r="L1600" s="124">
        <v>6.0728463724936477</v>
      </c>
      <c r="M1600" s="124">
        <v>15.900231917869988</v>
      </c>
      <c r="U1600" s="53">
        <v>52675.529922857153</v>
      </c>
      <c r="Y1600" s="53">
        <v>39697.285714285717</v>
      </c>
      <c r="Z1600" s="53">
        <v>372253.33333333331</v>
      </c>
      <c r="AA1600" s="53">
        <v>167514</v>
      </c>
      <c r="AH1600" s="53">
        <f t="shared" si="303"/>
        <v>927344.66666666674</v>
      </c>
      <c r="AO1600" s="53">
        <f t="shared" si="301"/>
        <v>0</v>
      </c>
      <c r="AP1600" s="53">
        <f t="shared" si="301"/>
        <v>0</v>
      </c>
      <c r="AQ1600" s="53">
        <f t="shared" si="301"/>
        <v>93856059.717943594</v>
      </c>
      <c r="AR1600" s="53">
        <f t="shared" si="301"/>
        <v>0</v>
      </c>
      <c r="AS1600" s="53">
        <f t="shared" si="301"/>
        <v>7892258.9999999991</v>
      </c>
      <c r="AT1600" s="53">
        <f t="shared" si="301"/>
        <v>20663909.600000001</v>
      </c>
      <c r="AU1600" s="53">
        <f t="shared" si="301"/>
        <v>0</v>
      </c>
      <c r="AV1600" s="53">
        <f t="shared" si="301"/>
        <v>0</v>
      </c>
      <c r="AW1600" s="53">
        <f t="shared" si="301"/>
        <v>0</v>
      </c>
      <c r="AX1600" s="53">
        <f t="shared" si="302"/>
        <v>0</v>
      </c>
      <c r="AY1600" s="41" t="s">
        <v>557</v>
      </c>
    </row>
    <row r="1601" spans="1:51" x14ac:dyDescent="0.2">
      <c r="A1601" s="41" t="s">
        <v>267</v>
      </c>
      <c r="B1601" s="41">
        <v>2001</v>
      </c>
      <c r="C1601" s="41" t="s">
        <v>96</v>
      </c>
      <c r="D1601" s="41" t="s">
        <v>88</v>
      </c>
      <c r="E1601" s="41">
        <v>0</v>
      </c>
      <c r="F1601" s="41" t="s">
        <v>599</v>
      </c>
      <c r="G1601" s="99">
        <v>1300348.9047619049</v>
      </c>
      <c r="J1601" s="124">
        <v>68.543766259051907</v>
      </c>
      <c r="L1601" s="124">
        <v>6.3873547271763353</v>
      </c>
      <c r="M1601" s="124">
        <v>15.247910599232213</v>
      </c>
      <c r="U1601" s="53">
        <v>47501.841588095245</v>
      </c>
      <c r="Y1601" s="53">
        <v>38509.285714285717</v>
      </c>
      <c r="Z1601" s="53">
        <v>360519.99999999994</v>
      </c>
      <c r="AA1601" s="53">
        <v>162234</v>
      </c>
      <c r="AH1601" s="53">
        <f t="shared" si="303"/>
        <v>939828.90476190485</v>
      </c>
      <c r="AO1601" s="53">
        <f t="shared" si="301"/>
        <v>0</v>
      </c>
      <c r="AP1601" s="53">
        <f t="shared" si="301"/>
        <v>0</v>
      </c>
      <c r="AQ1601" s="53">
        <f t="shared" si="301"/>
        <v>89130811.383214161</v>
      </c>
      <c r="AR1601" s="53">
        <f t="shared" si="301"/>
        <v>0</v>
      </c>
      <c r="AS1601" s="53">
        <f t="shared" si="301"/>
        <v>8305789.7238095235</v>
      </c>
      <c r="AT1601" s="53">
        <f t="shared" si="301"/>
        <v>19827603.847619049</v>
      </c>
      <c r="AU1601" s="53">
        <f t="shared" si="301"/>
        <v>0</v>
      </c>
      <c r="AV1601" s="53">
        <f t="shared" si="301"/>
        <v>0</v>
      </c>
      <c r="AW1601" s="53">
        <f t="shared" si="301"/>
        <v>0</v>
      </c>
      <c r="AX1601" s="53">
        <f t="shared" si="302"/>
        <v>0</v>
      </c>
      <c r="AY1601" s="41" t="s">
        <v>557</v>
      </c>
    </row>
    <row r="1602" spans="1:51" x14ac:dyDescent="0.2">
      <c r="A1602" s="41" t="s">
        <v>267</v>
      </c>
      <c r="B1602" s="41">
        <v>2002</v>
      </c>
      <c r="C1602" s="41" t="s">
        <v>96</v>
      </c>
      <c r="D1602" s="41" t="s">
        <v>88</v>
      </c>
      <c r="E1602" s="41">
        <v>0</v>
      </c>
      <c r="F1602" s="41" t="s">
        <v>599</v>
      </c>
      <c r="G1602" s="99">
        <v>1466828.0000000002</v>
      </c>
      <c r="J1602" s="124">
        <v>63.296366962410708</v>
      </c>
      <c r="L1602" s="124">
        <v>6.1077227868570816</v>
      </c>
      <c r="M1602" s="124">
        <v>14.164305744549917</v>
      </c>
      <c r="U1602" s="53">
        <v>50616.079333333335</v>
      </c>
      <c r="Y1602" s="53">
        <v>39860</v>
      </c>
      <c r="Z1602" s="53">
        <v>378767.40740740736</v>
      </c>
      <c r="AA1602" s="53">
        <v>170445.33333333334</v>
      </c>
      <c r="AH1602" s="53">
        <f t="shared" si="303"/>
        <v>1088060.5925925928</v>
      </c>
      <c r="AO1602" s="53">
        <f t="shared" si="301"/>
        <v>0</v>
      </c>
      <c r="AP1602" s="53">
        <f t="shared" si="301"/>
        <v>0</v>
      </c>
      <c r="AQ1602" s="53">
        <f t="shared" si="301"/>
        <v>92844883.358738989</v>
      </c>
      <c r="AR1602" s="53">
        <f t="shared" si="301"/>
        <v>0</v>
      </c>
      <c r="AS1602" s="53">
        <f t="shared" si="301"/>
        <v>8958978.8000000007</v>
      </c>
      <c r="AT1602" s="53">
        <f t="shared" si="301"/>
        <v>20776600.266666669</v>
      </c>
      <c r="AU1602" s="53">
        <f t="shared" si="301"/>
        <v>0</v>
      </c>
      <c r="AV1602" s="53">
        <f t="shared" si="301"/>
        <v>0</v>
      </c>
      <c r="AW1602" s="53">
        <f t="shared" si="301"/>
        <v>0</v>
      </c>
      <c r="AX1602" s="53">
        <f t="shared" si="302"/>
        <v>0</v>
      </c>
      <c r="AY1602" s="41" t="s">
        <v>557</v>
      </c>
    </row>
    <row r="1603" spans="1:51" x14ac:dyDescent="0.2">
      <c r="A1603" s="41" t="s">
        <v>267</v>
      </c>
      <c r="B1603" s="41">
        <v>2003</v>
      </c>
      <c r="C1603" s="41" t="s">
        <v>96</v>
      </c>
      <c r="D1603" s="41" t="s">
        <v>88</v>
      </c>
      <c r="E1603" s="41">
        <v>0</v>
      </c>
      <c r="F1603" s="41" t="s">
        <v>599</v>
      </c>
      <c r="G1603" s="99">
        <v>1184590</v>
      </c>
      <c r="J1603" s="124">
        <v>56.039949380261213</v>
      </c>
      <c r="L1603" s="100">
        <v>5.6</v>
      </c>
      <c r="M1603" s="100">
        <v>13.5</v>
      </c>
      <c r="U1603" s="53">
        <v>36511.4</v>
      </c>
      <c r="Y1603" s="53">
        <v>28670</v>
      </c>
      <c r="Z1603" s="53">
        <v>288913.33333333331</v>
      </c>
      <c r="AA1603" s="53">
        <v>130011</v>
      </c>
      <c r="AH1603" s="53">
        <f t="shared" si="303"/>
        <v>895676.66666666674</v>
      </c>
      <c r="AO1603" s="53">
        <f t="shared" si="301"/>
        <v>0</v>
      </c>
      <c r="AP1603" s="53">
        <f t="shared" si="301"/>
        <v>0</v>
      </c>
      <c r="AQ1603" s="53">
        <f t="shared" si="301"/>
        <v>66384363.636363633</v>
      </c>
      <c r="AR1603" s="53">
        <f t="shared" si="301"/>
        <v>0</v>
      </c>
      <c r="AS1603" s="53">
        <f t="shared" si="301"/>
        <v>6633704</v>
      </c>
      <c r="AT1603" s="53">
        <f t="shared" si="301"/>
        <v>15991965</v>
      </c>
      <c r="AU1603" s="53">
        <f t="shared" si="301"/>
        <v>0</v>
      </c>
      <c r="AV1603" s="53">
        <f t="shared" si="301"/>
        <v>0</v>
      </c>
      <c r="AW1603" s="53">
        <f t="shared" si="301"/>
        <v>0</v>
      </c>
      <c r="AX1603" s="53">
        <f t="shared" si="302"/>
        <v>0</v>
      </c>
      <c r="AY1603" s="41" t="s">
        <v>557</v>
      </c>
    </row>
    <row r="1604" spans="1:51" x14ac:dyDescent="0.2">
      <c r="A1604" s="41" t="s">
        <v>267</v>
      </c>
      <c r="B1604" s="41">
        <v>2004</v>
      </c>
      <c r="C1604" s="41" t="s">
        <v>96</v>
      </c>
      <c r="D1604" s="41" t="s">
        <v>88</v>
      </c>
      <c r="E1604" s="41">
        <v>0</v>
      </c>
      <c r="F1604" s="41" t="s">
        <v>599</v>
      </c>
      <c r="G1604" s="99">
        <v>1184822</v>
      </c>
      <c r="J1604" s="124">
        <v>51.399665557741621</v>
      </c>
      <c r="L1604" s="100">
        <v>5.5</v>
      </c>
      <c r="M1604" s="100">
        <v>12.7</v>
      </c>
      <c r="U1604" s="53">
        <v>33494.699999999997</v>
      </c>
      <c r="Y1604" s="53">
        <v>26212</v>
      </c>
      <c r="Z1604" s="53">
        <v>267700</v>
      </c>
      <c r="AA1604" s="53">
        <v>120465</v>
      </c>
      <c r="AH1604" s="53">
        <f t="shared" si="303"/>
        <v>917122</v>
      </c>
      <c r="AO1604" s="53">
        <f t="shared" si="301"/>
        <v>0</v>
      </c>
      <c r="AP1604" s="53">
        <f t="shared" si="301"/>
        <v>0</v>
      </c>
      <c r="AQ1604" s="53">
        <f t="shared" si="301"/>
        <v>60899454.545454539</v>
      </c>
      <c r="AR1604" s="53">
        <f t="shared" si="301"/>
        <v>0</v>
      </c>
      <c r="AS1604" s="53">
        <f t="shared" si="301"/>
        <v>6516521</v>
      </c>
      <c r="AT1604" s="53">
        <f t="shared" si="301"/>
        <v>15047239.399999999</v>
      </c>
      <c r="AU1604" s="53">
        <f t="shared" si="301"/>
        <v>0</v>
      </c>
      <c r="AV1604" s="53">
        <f t="shared" si="301"/>
        <v>0</v>
      </c>
      <c r="AW1604" s="53">
        <f t="shared" si="301"/>
        <v>0</v>
      </c>
      <c r="AX1604" s="53">
        <f t="shared" si="302"/>
        <v>0</v>
      </c>
      <c r="AY1604" s="41" t="s">
        <v>557</v>
      </c>
    </row>
    <row r="1605" spans="1:51" x14ac:dyDescent="0.2">
      <c r="A1605" s="41" t="s">
        <v>267</v>
      </c>
      <c r="B1605" s="41">
        <v>2005</v>
      </c>
      <c r="C1605" s="41" t="s">
        <v>96</v>
      </c>
      <c r="D1605" s="41" t="s">
        <v>88</v>
      </c>
      <c r="E1605" s="58">
        <v>10</v>
      </c>
      <c r="F1605" s="41" t="s">
        <v>599</v>
      </c>
      <c r="G1605" s="99">
        <v>1676535</v>
      </c>
      <c r="J1605" s="125">
        <v>52</v>
      </c>
      <c r="L1605" s="100">
        <v>4.9000000000000004</v>
      </c>
      <c r="M1605" s="100">
        <v>11.9</v>
      </c>
      <c r="U1605" s="53">
        <v>43229</v>
      </c>
      <c r="Y1605" s="53">
        <v>34483</v>
      </c>
      <c r="Z1605" s="53">
        <v>341431.11111111112</v>
      </c>
      <c r="AA1605" s="53">
        <v>153644</v>
      </c>
      <c r="AH1605" s="53">
        <f t="shared" si="303"/>
        <v>1335103.888888889</v>
      </c>
      <c r="AM1605" s="76">
        <v>574812</v>
      </c>
      <c r="AO1605" s="53">
        <f t="shared" si="301"/>
        <v>0</v>
      </c>
      <c r="AP1605" s="53">
        <f t="shared" si="301"/>
        <v>0</v>
      </c>
      <c r="AQ1605" s="53">
        <f t="shared" si="301"/>
        <v>87179820</v>
      </c>
      <c r="AR1605" s="53">
        <f t="shared" si="301"/>
        <v>0</v>
      </c>
      <c r="AS1605" s="53">
        <f t="shared" si="301"/>
        <v>8215021.5000000009</v>
      </c>
      <c r="AT1605" s="53">
        <f t="shared" si="301"/>
        <v>19950766.5</v>
      </c>
      <c r="AU1605" s="53">
        <f t="shared" si="301"/>
        <v>0</v>
      </c>
      <c r="AV1605" s="53">
        <f t="shared" si="301"/>
        <v>0</v>
      </c>
      <c r="AW1605" s="53">
        <f t="shared" si="301"/>
        <v>0</v>
      </c>
      <c r="AX1605" s="53">
        <f t="shared" si="302"/>
        <v>16765350</v>
      </c>
      <c r="AY1605" s="41" t="s">
        <v>557</v>
      </c>
    </row>
    <row r="1606" spans="1:51" x14ac:dyDescent="0.2">
      <c r="A1606" s="41" t="s">
        <v>267</v>
      </c>
      <c r="B1606" s="41">
        <v>2006</v>
      </c>
      <c r="C1606" s="41" t="s">
        <v>96</v>
      </c>
      <c r="D1606" s="41" t="s">
        <v>88</v>
      </c>
      <c r="E1606" s="58">
        <v>50</v>
      </c>
      <c r="F1606" s="41" t="s">
        <v>599</v>
      </c>
      <c r="G1606" s="99">
        <v>1781553</v>
      </c>
      <c r="J1606" s="126">
        <f>1000*U1606/G1606/0.5</f>
        <v>40.115449835059636</v>
      </c>
      <c r="L1606" s="100">
        <v>4.2</v>
      </c>
      <c r="M1606" s="100">
        <v>10.9</v>
      </c>
      <c r="U1606" s="53">
        <v>35733.9</v>
      </c>
      <c r="Y1606" s="53">
        <v>30089</v>
      </c>
      <c r="Z1606" s="53">
        <v>301195.55555555556</v>
      </c>
      <c r="AA1606" s="53">
        <v>135538</v>
      </c>
      <c r="AH1606" s="53">
        <f t="shared" si="303"/>
        <v>1480357.4444444445</v>
      </c>
      <c r="AM1606" s="76">
        <v>7200000</v>
      </c>
      <c r="AO1606" s="53">
        <f t="shared" si="301"/>
        <v>0</v>
      </c>
      <c r="AP1606" s="53">
        <f t="shared" si="301"/>
        <v>0</v>
      </c>
      <c r="AQ1606" s="53">
        <f t="shared" si="301"/>
        <v>71467800</v>
      </c>
      <c r="AR1606" s="53">
        <f t="shared" si="301"/>
        <v>0</v>
      </c>
      <c r="AS1606" s="53">
        <f t="shared" si="301"/>
        <v>7482522.6000000006</v>
      </c>
      <c r="AT1606" s="53">
        <f t="shared" si="301"/>
        <v>19418927.699999999</v>
      </c>
      <c r="AU1606" s="53">
        <f t="shared" si="301"/>
        <v>0</v>
      </c>
      <c r="AV1606" s="53">
        <f t="shared" si="301"/>
        <v>0</v>
      </c>
      <c r="AW1606" s="53">
        <f t="shared" si="301"/>
        <v>0</v>
      </c>
      <c r="AX1606" s="53">
        <f t="shared" si="302"/>
        <v>89077650</v>
      </c>
      <c r="AY1606" s="41" t="s">
        <v>557</v>
      </c>
    </row>
    <row r="1607" spans="1:51" x14ac:dyDescent="0.2">
      <c r="A1607" s="41" t="s">
        <v>267</v>
      </c>
      <c r="B1607" s="41">
        <v>2007</v>
      </c>
      <c r="C1607" s="41" t="s">
        <v>87</v>
      </c>
      <c r="D1607" s="41" t="s">
        <v>88</v>
      </c>
      <c r="E1607" s="58">
        <v>100</v>
      </c>
      <c r="F1607" s="41" t="s">
        <v>599</v>
      </c>
      <c r="G1607" s="99">
        <v>1886627</v>
      </c>
      <c r="J1607" s="126">
        <f t="shared" ref="J1607:J1612" si="304">1000*U1607/G1607/0.5</f>
        <v>39.035166993793688</v>
      </c>
      <c r="L1607" s="100">
        <v>4.2</v>
      </c>
      <c r="M1607" s="100">
        <v>10.199999999999999</v>
      </c>
      <c r="U1607" s="53">
        <v>36822.400000000001</v>
      </c>
      <c r="Y1607" s="53">
        <v>33040</v>
      </c>
      <c r="Z1607" s="53">
        <v>306082.22222222219</v>
      </c>
      <c r="AA1607" s="53">
        <v>137737</v>
      </c>
      <c r="AH1607" s="53">
        <f t="shared" si="303"/>
        <v>1580544.7777777778</v>
      </c>
      <c r="AM1607" s="76">
        <v>12074412.800000001</v>
      </c>
      <c r="AO1607" s="53">
        <f t="shared" si="301"/>
        <v>0</v>
      </c>
      <c r="AP1607" s="53">
        <f t="shared" si="301"/>
        <v>0</v>
      </c>
      <c r="AQ1607" s="53">
        <f t="shared" si="301"/>
        <v>73644800</v>
      </c>
      <c r="AR1607" s="53">
        <f t="shared" si="301"/>
        <v>0</v>
      </c>
      <c r="AS1607" s="53">
        <f t="shared" si="301"/>
        <v>7923833.4000000004</v>
      </c>
      <c r="AT1607" s="53">
        <f t="shared" si="301"/>
        <v>19243595.399999999</v>
      </c>
      <c r="AU1607" s="53">
        <f t="shared" si="301"/>
        <v>0</v>
      </c>
      <c r="AV1607" s="53">
        <f t="shared" si="301"/>
        <v>0</v>
      </c>
      <c r="AW1607" s="53">
        <f t="shared" si="301"/>
        <v>0</v>
      </c>
      <c r="AX1607" s="53">
        <f t="shared" si="302"/>
        <v>188662700</v>
      </c>
      <c r="AY1607" s="41" t="s">
        <v>557</v>
      </c>
    </row>
    <row r="1608" spans="1:51" x14ac:dyDescent="0.2">
      <c r="A1608" s="41" t="s">
        <v>267</v>
      </c>
      <c r="B1608" s="41">
        <v>2008</v>
      </c>
      <c r="C1608" s="41" t="s">
        <v>87</v>
      </c>
      <c r="D1608" s="41" t="s">
        <v>88</v>
      </c>
      <c r="E1608" s="58">
        <v>100</v>
      </c>
      <c r="F1608" s="41" t="s">
        <v>599</v>
      </c>
      <c r="G1608" s="99">
        <v>2111993</v>
      </c>
      <c r="J1608" s="126">
        <f t="shared" si="304"/>
        <v>37.755996350366694</v>
      </c>
      <c r="L1608" s="100">
        <v>4.5</v>
      </c>
      <c r="M1608" s="100">
        <v>9.6</v>
      </c>
      <c r="U1608" s="53">
        <v>39870.199999999997</v>
      </c>
      <c r="Y1608" s="53">
        <v>36560</v>
      </c>
      <c r="Z1608" s="53">
        <v>316577.77777777781</v>
      </c>
      <c r="AA1608" s="53">
        <v>142460</v>
      </c>
      <c r="AH1608" s="53">
        <f t="shared" si="303"/>
        <v>1795415.2222222222</v>
      </c>
      <c r="AM1608" s="76">
        <v>9081569.9000000004</v>
      </c>
      <c r="AO1608" s="53">
        <f t="shared" si="301"/>
        <v>0</v>
      </c>
      <c r="AP1608" s="53">
        <f t="shared" si="301"/>
        <v>0</v>
      </c>
      <c r="AQ1608" s="53">
        <f t="shared" si="301"/>
        <v>79740400</v>
      </c>
      <c r="AR1608" s="53">
        <f t="shared" si="301"/>
        <v>0</v>
      </c>
      <c r="AS1608" s="53">
        <f t="shared" si="301"/>
        <v>9503968.5</v>
      </c>
      <c r="AT1608" s="53">
        <f t="shared" si="301"/>
        <v>20275132.800000001</v>
      </c>
      <c r="AU1608" s="53">
        <f t="shared" si="301"/>
        <v>0</v>
      </c>
      <c r="AV1608" s="53">
        <f t="shared" si="301"/>
        <v>0</v>
      </c>
      <c r="AW1608" s="53">
        <f t="shared" si="301"/>
        <v>0</v>
      </c>
      <c r="AX1608" s="53">
        <f t="shared" si="302"/>
        <v>211199300</v>
      </c>
      <c r="AY1608" s="41" t="s">
        <v>557</v>
      </c>
    </row>
    <row r="1609" spans="1:51" x14ac:dyDescent="0.2">
      <c r="A1609" s="41" t="s">
        <v>267</v>
      </c>
      <c r="B1609" s="41">
        <v>2009</v>
      </c>
      <c r="C1609" s="41" t="s">
        <v>87</v>
      </c>
      <c r="D1609" s="41" t="s">
        <v>88</v>
      </c>
      <c r="E1609" s="58">
        <v>100</v>
      </c>
      <c r="F1609" s="41" t="s">
        <v>599</v>
      </c>
      <c r="G1609" s="99">
        <v>2170895</v>
      </c>
      <c r="J1609" s="126">
        <f t="shared" si="304"/>
        <v>41.974853689376964</v>
      </c>
      <c r="L1609" s="100">
        <v>4.5</v>
      </c>
      <c r="M1609" s="100">
        <v>10.3</v>
      </c>
      <c r="U1609" s="53">
        <v>45561.5</v>
      </c>
      <c r="Y1609" s="53">
        <v>37093</v>
      </c>
      <c r="Z1609" s="53">
        <v>369926.66666666669</v>
      </c>
      <c r="AA1609" s="53">
        <v>166467</v>
      </c>
      <c r="AH1609" s="53">
        <f t="shared" si="303"/>
        <v>1800968.3333333333</v>
      </c>
      <c r="AM1609" s="76">
        <v>9334848.5</v>
      </c>
      <c r="AO1609" s="53">
        <f t="shared" si="301"/>
        <v>0</v>
      </c>
      <c r="AP1609" s="53">
        <f t="shared" si="301"/>
        <v>0</v>
      </c>
      <c r="AQ1609" s="53">
        <f t="shared" si="301"/>
        <v>91123000</v>
      </c>
      <c r="AR1609" s="53">
        <f t="shared" si="301"/>
        <v>0</v>
      </c>
      <c r="AS1609" s="53">
        <f t="shared" si="301"/>
        <v>9769027.5</v>
      </c>
      <c r="AT1609" s="53">
        <f t="shared" si="301"/>
        <v>22360218.5</v>
      </c>
      <c r="AU1609" s="53">
        <f t="shared" si="301"/>
        <v>0</v>
      </c>
      <c r="AV1609" s="53">
        <f t="shared" si="301"/>
        <v>0</v>
      </c>
      <c r="AW1609" s="53">
        <f t="shared" si="301"/>
        <v>0</v>
      </c>
      <c r="AX1609" s="53">
        <f t="shared" si="302"/>
        <v>217089500</v>
      </c>
      <c r="AY1609" s="41" t="s">
        <v>557</v>
      </c>
    </row>
    <row r="1610" spans="1:51" x14ac:dyDescent="0.2">
      <c r="A1610" s="41" t="s">
        <v>267</v>
      </c>
      <c r="B1610" s="41">
        <v>2010</v>
      </c>
      <c r="C1610" s="41" t="s">
        <v>87</v>
      </c>
      <c r="D1610" s="41" t="s">
        <v>88</v>
      </c>
      <c r="E1610" s="58">
        <v>100</v>
      </c>
      <c r="F1610" s="41" t="s">
        <v>599</v>
      </c>
      <c r="G1610" s="99">
        <v>2246713</v>
      </c>
      <c r="J1610" s="126">
        <f t="shared" si="304"/>
        <v>40.502992594069646</v>
      </c>
      <c r="L1610" s="100">
        <v>4.5</v>
      </c>
      <c r="M1610" s="124">
        <v>11</v>
      </c>
      <c r="U1610" s="53">
        <v>45499.3</v>
      </c>
      <c r="Y1610" s="53">
        <v>31635</v>
      </c>
      <c r="Z1610" s="53">
        <v>407815.55555555562</v>
      </c>
      <c r="AA1610" s="53">
        <v>183517</v>
      </c>
      <c r="AH1610" s="53">
        <f t="shared" si="303"/>
        <v>1838897.4444444445</v>
      </c>
      <c r="AM1610" s="76">
        <v>9660865.9000000004</v>
      </c>
      <c r="AO1610" s="53">
        <f t="shared" si="301"/>
        <v>0</v>
      </c>
      <c r="AP1610" s="53">
        <f t="shared" si="301"/>
        <v>0</v>
      </c>
      <c r="AQ1610" s="53">
        <f t="shared" si="301"/>
        <v>90998600</v>
      </c>
      <c r="AR1610" s="53">
        <f t="shared" si="301"/>
        <v>0</v>
      </c>
      <c r="AS1610" s="53">
        <f t="shared" si="301"/>
        <v>10110208.5</v>
      </c>
      <c r="AT1610" s="53">
        <f t="shared" si="301"/>
        <v>24713843</v>
      </c>
      <c r="AU1610" s="53">
        <f t="shared" si="301"/>
        <v>0</v>
      </c>
      <c r="AV1610" s="53">
        <f t="shared" si="301"/>
        <v>0</v>
      </c>
      <c r="AW1610" s="53">
        <f t="shared" si="301"/>
        <v>0</v>
      </c>
      <c r="AX1610" s="53">
        <f t="shared" si="302"/>
        <v>224671300</v>
      </c>
      <c r="AY1610" s="41" t="s">
        <v>557</v>
      </c>
    </row>
    <row r="1611" spans="1:51" x14ac:dyDescent="0.2">
      <c r="A1611" s="41" t="s">
        <v>267</v>
      </c>
      <c r="B1611" s="41">
        <v>2011</v>
      </c>
      <c r="C1611" s="41" t="s">
        <v>87</v>
      </c>
      <c r="D1611" s="41" t="s">
        <v>88</v>
      </c>
      <c r="E1611" s="58">
        <v>100</v>
      </c>
      <c r="F1611" s="41" t="s">
        <v>599</v>
      </c>
      <c r="G1611" s="99">
        <v>2379565</v>
      </c>
      <c r="J1611" s="126">
        <f t="shared" si="304"/>
        <v>41.6659347401731</v>
      </c>
      <c r="L1611" s="100">
        <v>4.4000000000000004</v>
      </c>
      <c r="M1611" s="124">
        <v>11.1</v>
      </c>
      <c r="U1611" s="53">
        <v>49573.4</v>
      </c>
      <c r="Y1611" s="53">
        <v>38284</v>
      </c>
      <c r="Z1611" s="53">
        <v>431240</v>
      </c>
      <c r="AA1611" s="53">
        <v>194058</v>
      </c>
      <c r="AH1611" s="53">
        <f t="shared" si="303"/>
        <v>1948325</v>
      </c>
      <c r="AM1611" s="76">
        <v>10232129.5</v>
      </c>
      <c r="AO1611" s="53">
        <f t="shared" si="301"/>
        <v>0</v>
      </c>
      <c r="AP1611" s="53">
        <f t="shared" si="301"/>
        <v>0</v>
      </c>
      <c r="AQ1611" s="53">
        <f t="shared" si="301"/>
        <v>99146800</v>
      </c>
      <c r="AR1611" s="53">
        <f t="shared" si="301"/>
        <v>0</v>
      </c>
      <c r="AS1611" s="53">
        <f t="shared" si="301"/>
        <v>10470086</v>
      </c>
      <c r="AT1611" s="53">
        <f t="shared" si="301"/>
        <v>26413171.5</v>
      </c>
      <c r="AU1611" s="53">
        <f t="shared" si="301"/>
        <v>0</v>
      </c>
      <c r="AV1611" s="53">
        <f t="shared" si="301"/>
        <v>0</v>
      </c>
      <c r="AW1611" s="53">
        <f t="shared" si="301"/>
        <v>0</v>
      </c>
      <c r="AX1611" s="53">
        <f t="shared" si="302"/>
        <v>237956500</v>
      </c>
      <c r="AY1611" s="41" t="s">
        <v>557</v>
      </c>
    </row>
    <row r="1612" spans="1:51" x14ac:dyDescent="0.2">
      <c r="A1612" s="41" t="s">
        <v>267</v>
      </c>
      <c r="B1612" s="41">
        <v>2012</v>
      </c>
      <c r="C1612" s="41" t="s">
        <v>87</v>
      </c>
      <c r="D1612" s="41" t="s">
        <v>88</v>
      </c>
      <c r="E1612" s="58">
        <v>100</v>
      </c>
      <c r="F1612" s="41" t="s">
        <v>599</v>
      </c>
      <c r="G1612" s="99">
        <v>2379576</v>
      </c>
      <c r="J1612" s="126">
        <f t="shared" si="304"/>
        <v>47.573181104532907</v>
      </c>
      <c r="L1612" s="100">
        <v>5.2</v>
      </c>
      <c r="M1612" s="124">
        <v>11.9</v>
      </c>
      <c r="U1612" s="53">
        <v>56602</v>
      </c>
      <c r="Y1612" s="53">
        <v>40372</v>
      </c>
      <c r="Z1612" s="53">
        <v>449100</v>
      </c>
      <c r="AA1612" s="53">
        <v>202095</v>
      </c>
      <c r="AH1612" s="53">
        <f t="shared" si="303"/>
        <v>1930476</v>
      </c>
      <c r="AM1612" s="76">
        <v>30100000</v>
      </c>
      <c r="AO1612" s="53">
        <f t="shared" si="301"/>
        <v>0</v>
      </c>
      <c r="AP1612" s="53">
        <f t="shared" si="301"/>
        <v>0</v>
      </c>
      <c r="AQ1612" s="53">
        <f t="shared" si="301"/>
        <v>113204000</v>
      </c>
      <c r="AR1612" s="53">
        <f t="shared" si="301"/>
        <v>0</v>
      </c>
      <c r="AS1612" s="53">
        <f t="shared" si="301"/>
        <v>12373795.200000001</v>
      </c>
      <c r="AT1612" s="53">
        <f t="shared" si="301"/>
        <v>28316954.400000002</v>
      </c>
      <c r="AU1612" s="53">
        <f t="shared" si="301"/>
        <v>0</v>
      </c>
      <c r="AV1612" s="53">
        <f t="shared" si="301"/>
        <v>0</v>
      </c>
      <c r="AW1612" s="53">
        <f t="shared" si="301"/>
        <v>0</v>
      </c>
      <c r="AX1612" s="53">
        <f t="shared" si="302"/>
        <v>237957600</v>
      </c>
      <c r="AY1612" s="41" t="s">
        <v>557</v>
      </c>
    </row>
    <row r="1613" spans="1:51" x14ac:dyDescent="0.2">
      <c r="A1613" s="41" t="s">
        <v>267</v>
      </c>
      <c r="B1613" s="41">
        <v>2013</v>
      </c>
      <c r="C1613" s="41" t="s">
        <v>87</v>
      </c>
      <c r="D1613" s="41" t="s">
        <v>88</v>
      </c>
      <c r="E1613" s="58">
        <v>100</v>
      </c>
      <c r="F1613" s="41" t="s">
        <v>599</v>
      </c>
      <c r="G1613" s="101">
        <f>AA1613/(M1613/100)/0.7548</f>
        <v>2693428.7228404875</v>
      </c>
      <c r="J1613" s="102">
        <v>46</v>
      </c>
      <c r="L1613" s="102">
        <v>4.5999999999999996</v>
      </c>
      <c r="M1613" s="102">
        <v>10</v>
      </c>
      <c r="U1613" s="53">
        <v>49138</v>
      </c>
      <c r="Y1613" s="53">
        <v>45800</v>
      </c>
      <c r="Z1613" s="53">
        <v>451777.77777777775</v>
      </c>
      <c r="AA1613" s="53">
        <v>203300</v>
      </c>
      <c r="AH1613" s="53">
        <f t="shared" si="303"/>
        <v>2241650.94506271</v>
      </c>
      <c r="AM1613" s="76">
        <v>26050000</v>
      </c>
      <c r="AO1613" s="53">
        <f t="shared" si="301"/>
        <v>0</v>
      </c>
      <c r="AP1613" s="53">
        <f t="shared" si="301"/>
        <v>0</v>
      </c>
      <c r="AQ1613" s="53">
        <f t="shared" si="301"/>
        <v>123897721.25066243</v>
      </c>
      <c r="AR1613" s="53">
        <f t="shared" si="301"/>
        <v>0</v>
      </c>
      <c r="AS1613" s="53">
        <f t="shared" si="301"/>
        <v>12389772.125066241</v>
      </c>
      <c r="AT1613" s="53">
        <f t="shared" si="301"/>
        <v>26934287.228404876</v>
      </c>
      <c r="AU1613" s="53">
        <f t="shared" si="301"/>
        <v>0</v>
      </c>
      <c r="AV1613" s="53">
        <f t="shared" si="301"/>
        <v>0</v>
      </c>
      <c r="AW1613" s="53">
        <f t="shared" si="301"/>
        <v>0</v>
      </c>
      <c r="AX1613" s="53">
        <f t="shared" si="302"/>
        <v>269342872.28404874</v>
      </c>
      <c r="AY1613" s="41" t="s">
        <v>557</v>
      </c>
    </row>
    <row r="1614" spans="1:51" x14ac:dyDescent="0.2">
      <c r="A1614" s="41" t="s">
        <v>267</v>
      </c>
      <c r="B1614" s="41">
        <v>2014</v>
      </c>
      <c r="C1614" s="41" t="s">
        <v>87</v>
      </c>
      <c r="D1614" s="41" t="s">
        <v>88</v>
      </c>
      <c r="E1614" s="58">
        <v>100</v>
      </c>
      <c r="F1614" s="41" t="s">
        <v>599</v>
      </c>
      <c r="G1614" s="101">
        <f>AA1614/(M1614/100)/0.7548</f>
        <v>2971648.1187069421</v>
      </c>
      <c r="J1614" s="102">
        <v>47</v>
      </c>
      <c r="L1614" s="102">
        <v>4.7</v>
      </c>
      <c r="M1614" s="102">
        <v>10</v>
      </c>
      <c r="U1614" s="53">
        <v>45437.1</v>
      </c>
      <c r="Y1614" s="53">
        <v>46200</v>
      </c>
      <c r="Z1614" s="53">
        <v>498444.44444444444</v>
      </c>
      <c r="AA1614" s="53">
        <v>224300</v>
      </c>
      <c r="AH1614" s="53">
        <f t="shared" si="303"/>
        <v>2473203.6742624976</v>
      </c>
      <c r="AM1614" s="76">
        <v>29500000</v>
      </c>
      <c r="AO1614" s="53">
        <f t="shared" si="301"/>
        <v>0</v>
      </c>
      <c r="AP1614" s="53">
        <f t="shared" si="301"/>
        <v>0</v>
      </c>
      <c r="AQ1614" s="53">
        <f t="shared" si="301"/>
        <v>139667461.57922629</v>
      </c>
      <c r="AR1614" s="53">
        <f t="shared" si="301"/>
        <v>0</v>
      </c>
      <c r="AS1614" s="53">
        <f t="shared" si="301"/>
        <v>13966746.157922627</v>
      </c>
      <c r="AT1614" s="53">
        <f t="shared" si="301"/>
        <v>29716481.18706942</v>
      </c>
      <c r="AU1614" s="53">
        <f t="shared" si="301"/>
        <v>0</v>
      </c>
      <c r="AV1614" s="53">
        <f t="shared" si="301"/>
        <v>0</v>
      </c>
      <c r="AW1614" s="53">
        <f t="shared" si="301"/>
        <v>0</v>
      </c>
      <c r="AX1614" s="53">
        <f t="shared" si="302"/>
        <v>297164811.87069422</v>
      </c>
      <c r="AY1614" s="41" t="s">
        <v>557</v>
      </c>
    </row>
    <row r="1615" spans="1:51" x14ac:dyDescent="0.2">
      <c r="A1615" s="41" t="s">
        <v>267</v>
      </c>
      <c r="B1615" s="41">
        <v>2015</v>
      </c>
      <c r="C1615" s="41" t="s">
        <v>87</v>
      </c>
      <c r="D1615" s="41" t="s">
        <v>88</v>
      </c>
      <c r="E1615" s="58">
        <v>100</v>
      </c>
      <c r="F1615" s="41" t="s">
        <v>599</v>
      </c>
      <c r="G1615" s="101">
        <f>AA1615/(M1615/100)/0.7548</f>
        <v>3612877.5834658188</v>
      </c>
      <c r="J1615" s="127">
        <v>49</v>
      </c>
      <c r="L1615" s="127">
        <v>4.8</v>
      </c>
      <c r="M1615" s="127">
        <v>10</v>
      </c>
      <c r="U1615" s="53">
        <v>53616.4</v>
      </c>
      <c r="Y1615" s="53">
        <v>53000</v>
      </c>
      <c r="Z1615" s="53">
        <v>606000</v>
      </c>
      <c r="AA1615" s="53">
        <v>272700</v>
      </c>
      <c r="AH1615" s="53">
        <f t="shared" si="303"/>
        <v>3006877.5834658188</v>
      </c>
      <c r="AM1615" s="76">
        <v>29800000</v>
      </c>
      <c r="AO1615" s="53">
        <f t="shared" si="301"/>
        <v>0</v>
      </c>
      <c r="AP1615" s="53">
        <f t="shared" si="301"/>
        <v>0</v>
      </c>
      <c r="AQ1615" s="53">
        <f t="shared" si="301"/>
        <v>177031001.58982512</v>
      </c>
      <c r="AR1615" s="53">
        <f t="shared" si="301"/>
        <v>0</v>
      </c>
      <c r="AS1615" s="53">
        <f t="shared" si="301"/>
        <v>17341812.400635928</v>
      </c>
      <c r="AT1615" s="53">
        <f t="shared" si="301"/>
        <v>36128775.834658191</v>
      </c>
      <c r="AU1615" s="53">
        <f t="shared" si="301"/>
        <v>0</v>
      </c>
      <c r="AV1615" s="53">
        <f t="shared" si="301"/>
        <v>0</v>
      </c>
      <c r="AW1615" s="53">
        <f t="shared" si="301"/>
        <v>0</v>
      </c>
      <c r="AX1615" s="53">
        <f t="shared" si="302"/>
        <v>361287758.34658188</v>
      </c>
      <c r="AY1615" s="41" t="s">
        <v>557</v>
      </c>
    </row>
    <row r="1616" spans="1:51" x14ac:dyDescent="0.2">
      <c r="A1616" s="41" t="s">
        <v>267</v>
      </c>
      <c r="B1616" s="41">
        <v>2016</v>
      </c>
      <c r="C1616" s="41" t="s">
        <v>87</v>
      </c>
      <c r="D1616" s="41" t="s">
        <v>88</v>
      </c>
      <c r="E1616" s="58">
        <v>100</v>
      </c>
      <c r="F1616" s="41" t="s">
        <v>599</v>
      </c>
      <c r="G1616" s="101">
        <f>AA1616/(M1616/100)/0.7548</f>
        <v>2821657.7027590796</v>
      </c>
      <c r="J1616" s="127">
        <v>45</v>
      </c>
      <c r="L1616" s="127">
        <v>4.5</v>
      </c>
      <c r="M1616" s="127">
        <v>9.4</v>
      </c>
      <c r="U1616" s="53">
        <v>43819.9</v>
      </c>
      <c r="Y1616" s="53">
        <v>42100</v>
      </c>
      <c r="Z1616" s="53">
        <v>444888.88888888882</v>
      </c>
      <c r="AA1616" s="53">
        <v>200200</v>
      </c>
      <c r="AH1616" s="53">
        <f t="shared" si="303"/>
        <v>2376768.8138701906</v>
      </c>
      <c r="AM1616" s="76">
        <v>29800000</v>
      </c>
      <c r="AO1616" s="53">
        <f t="shared" si="301"/>
        <v>0</v>
      </c>
      <c r="AP1616" s="53">
        <f t="shared" si="301"/>
        <v>0</v>
      </c>
      <c r="AQ1616" s="53">
        <f t="shared" si="301"/>
        <v>126974596.62415859</v>
      </c>
      <c r="AR1616" s="53">
        <f t="shared" si="301"/>
        <v>0</v>
      </c>
      <c r="AS1616" s="53">
        <f t="shared" si="301"/>
        <v>12697459.662415858</v>
      </c>
      <c r="AT1616" s="53">
        <f t="shared" si="301"/>
        <v>26523582.405935351</v>
      </c>
      <c r="AU1616" s="53">
        <f t="shared" si="301"/>
        <v>0</v>
      </c>
      <c r="AV1616" s="53">
        <f t="shared" si="301"/>
        <v>0</v>
      </c>
      <c r="AW1616" s="53">
        <f t="shared" si="301"/>
        <v>0</v>
      </c>
      <c r="AX1616" s="53">
        <f t="shared" si="302"/>
        <v>282165770.27590799</v>
      </c>
      <c r="AY1616" s="41" t="s">
        <v>557</v>
      </c>
    </row>
    <row r="1617" spans="1:51" x14ac:dyDescent="0.2">
      <c r="A1617" s="41" t="s">
        <v>267</v>
      </c>
      <c r="B1617" s="60" t="s">
        <v>559</v>
      </c>
      <c r="C1617" s="60" t="s">
        <v>87</v>
      </c>
      <c r="D1617" s="60" t="s">
        <v>88</v>
      </c>
      <c r="E1617" s="78">
        <f>AX1617/G1617</f>
        <v>65.942549169283012</v>
      </c>
      <c r="F1617" s="60" t="s">
        <v>599</v>
      </c>
      <c r="G1617" s="79">
        <f>SUM(G1595:G1616)</f>
        <v>39933868.889677092</v>
      </c>
      <c r="J1617" s="78">
        <f>AQ1617/$G1617</f>
        <v>49.697322822639023</v>
      </c>
      <c r="L1617" s="78">
        <f>AS1617/$G1617</f>
        <v>4.9594407024902578</v>
      </c>
      <c r="M1617" s="78">
        <f>AT1617/$G1617</f>
        <v>11.646727005042049</v>
      </c>
      <c r="U1617" s="79">
        <f>SUM(U1595:U1616)</f>
        <v>928619.40105857165</v>
      </c>
      <c r="Y1617" s="79">
        <f>SUM(Y1595:Y1616)</f>
        <v>791874.85714285716</v>
      </c>
      <c r="Z1617" s="79">
        <f>SUM(Z1595:Z1616)</f>
        <v>7813128.6772486772</v>
      </c>
      <c r="AA1617" s="79">
        <f>SUM(AA1595:AA1616)</f>
        <v>3515907.9047619049</v>
      </c>
      <c r="AH1617" s="79">
        <f>SUM(AH1595:AH1616)</f>
        <v>32120740.212428413</v>
      </c>
      <c r="AM1617" s="79">
        <f>SUM(AM1595:AM1616)</f>
        <v>203408638.59999999</v>
      </c>
      <c r="AO1617" s="79">
        <f t="shared" ref="AO1617:AX1617" si="305">SUM(AO1595:AO1616)</f>
        <v>0</v>
      </c>
      <c r="AP1617" s="79">
        <f t="shared" si="305"/>
        <v>0</v>
      </c>
      <c r="AQ1617" s="79">
        <f t="shared" si="305"/>
        <v>1984606373.7672238</v>
      </c>
      <c r="AR1617" s="79">
        <f t="shared" si="305"/>
        <v>0</v>
      </c>
      <c r="AS1617" s="79">
        <f t="shared" si="305"/>
        <v>198049654.779374</v>
      </c>
      <c r="AT1617" s="79">
        <f t="shared" si="305"/>
        <v>465098869.2132107</v>
      </c>
      <c r="AU1617" s="79">
        <f t="shared" si="305"/>
        <v>0</v>
      </c>
      <c r="AV1617" s="79">
        <f t="shared" si="305"/>
        <v>0</v>
      </c>
      <c r="AW1617" s="79">
        <f t="shared" si="305"/>
        <v>0</v>
      </c>
      <c r="AX1617" s="79">
        <f t="shared" si="305"/>
        <v>2633341112.7772326</v>
      </c>
      <c r="AY1617" s="41" t="s">
        <v>557</v>
      </c>
    </row>
    <row r="1618" spans="1:51" x14ac:dyDescent="0.2">
      <c r="A1618" s="41" t="s">
        <v>267</v>
      </c>
      <c r="B1618" s="43" t="s">
        <v>560</v>
      </c>
      <c r="G1618" s="53">
        <f>STDEV(G1595:G1616)</f>
        <v>791017.98039913201</v>
      </c>
      <c r="J1618" s="47">
        <f>STDEV(J1595:J1616)</f>
        <v>11.206251376225604</v>
      </c>
      <c r="L1618" s="47">
        <f>STDEV(L1595:L1616)</f>
        <v>0.70540086611437613</v>
      </c>
      <c r="M1618" s="47">
        <f>STDEV(M1595:M1616)</f>
        <v>2.3379363646217164</v>
      </c>
      <c r="U1618" s="53">
        <f>STDEV(U1595:U1616)</f>
        <v>10636.514751204122</v>
      </c>
      <c r="Y1618" s="53">
        <f>STDEV(Y1595:Y1616)</f>
        <v>9650.9317440822124</v>
      </c>
      <c r="Z1618" s="53">
        <f>STDEV(Z1595:Z1616)</f>
        <v>111889.51686724574</v>
      </c>
      <c r="AA1618" s="53">
        <f>STDEV(AA1595:AA1616)</f>
        <v>50350.282590260627</v>
      </c>
      <c r="AH1618" s="53">
        <f>STDEV(AH1595:AH1616)</f>
        <v>694031.24023934198</v>
      </c>
      <c r="AM1618" s="53">
        <f>STDEV(AM1595:AM1616)</f>
        <v>11072589.460425789</v>
      </c>
      <c r="AY1618" s="41" t="s">
        <v>557</v>
      </c>
    </row>
    <row r="1619" spans="1:51" x14ac:dyDescent="0.2">
      <c r="A1619" s="41" t="s">
        <v>267</v>
      </c>
      <c r="B1619" s="81" t="s">
        <v>249</v>
      </c>
      <c r="G1619" s="41">
        <f>COUNT(G1595:G1616)</f>
        <v>22</v>
      </c>
      <c r="J1619" s="41">
        <f>COUNT(J1595:J1616)</f>
        <v>22</v>
      </c>
      <c r="L1619" s="41">
        <f>COUNT(L1595:L1616)</f>
        <v>22</v>
      </c>
      <c r="M1619" s="41">
        <f>COUNT(M1595:M1616)</f>
        <v>22</v>
      </c>
      <c r="U1619" s="41">
        <f>COUNT(U1595:U1616)</f>
        <v>22</v>
      </c>
      <c r="Y1619" s="41">
        <f>COUNT(Y1595:Y1616)</f>
        <v>22</v>
      </c>
      <c r="Z1619" s="41">
        <f>COUNT(Z1595:Z1616)</f>
        <v>22</v>
      </c>
      <c r="AA1619" s="41">
        <f>COUNT(AA1595:AA1616)</f>
        <v>22</v>
      </c>
      <c r="AH1619" s="41">
        <f>COUNT(AH1595:AH1616)</f>
        <v>22</v>
      </c>
      <c r="AM1619" s="41">
        <f>COUNT(AM1595:AM1616)</f>
        <v>12</v>
      </c>
      <c r="AY1619" s="41" t="s">
        <v>557</v>
      </c>
    </row>
    <row r="1620" spans="1:51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W1620" s="82"/>
      <c r="X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41" t="s">
        <v>557</v>
      </c>
    </row>
    <row r="1621" spans="1:51" x14ac:dyDescent="0.2">
      <c r="A1621" s="41" t="s">
        <v>159</v>
      </c>
      <c r="B1621" s="41">
        <v>1992</v>
      </c>
      <c r="C1621" s="41" t="s">
        <v>87</v>
      </c>
      <c r="D1621" s="41" t="s">
        <v>113</v>
      </c>
      <c r="E1621" s="41">
        <v>100</v>
      </c>
      <c r="F1621" s="41" t="s">
        <v>9</v>
      </c>
      <c r="AI1621" s="53">
        <v>1642500</v>
      </c>
      <c r="AJ1621" s="41">
        <v>1.56</v>
      </c>
      <c r="AL1621" s="53">
        <v>20000</v>
      </c>
      <c r="AM1621" s="53">
        <v>1642500</v>
      </c>
      <c r="AO1621" s="53">
        <f t="shared" ref="AO1621:AO1643" si="306">$AI1621*AJ1621</f>
        <v>2562300</v>
      </c>
      <c r="AY1621" s="41" t="s">
        <v>557</v>
      </c>
    </row>
    <row r="1622" spans="1:51" x14ac:dyDescent="0.2">
      <c r="A1622" s="41" t="s">
        <v>159</v>
      </c>
      <c r="B1622" s="41">
        <v>1993</v>
      </c>
      <c r="C1622" s="41" t="s">
        <v>87</v>
      </c>
      <c r="D1622" s="41" t="s">
        <v>113</v>
      </c>
      <c r="E1622" s="41">
        <v>100</v>
      </c>
      <c r="F1622" s="41" t="s">
        <v>9</v>
      </c>
      <c r="AI1622" s="53">
        <v>1642500</v>
      </c>
      <c r="AJ1622" s="41">
        <v>1.56</v>
      </c>
      <c r="AL1622" s="53">
        <v>20000</v>
      </c>
      <c r="AM1622" s="53">
        <v>1642500</v>
      </c>
      <c r="AO1622" s="53">
        <f t="shared" si="306"/>
        <v>2562300</v>
      </c>
      <c r="AY1622" s="41" t="s">
        <v>557</v>
      </c>
    </row>
    <row r="1623" spans="1:51" x14ac:dyDescent="0.2">
      <c r="A1623" s="41" t="s">
        <v>159</v>
      </c>
      <c r="B1623" s="41">
        <v>1994</v>
      </c>
      <c r="C1623" s="41" t="s">
        <v>87</v>
      </c>
      <c r="D1623" s="41" t="s">
        <v>113</v>
      </c>
      <c r="E1623" s="41">
        <v>100</v>
      </c>
      <c r="F1623" s="41" t="s">
        <v>9</v>
      </c>
      <c r="AI1623" s="53">
        <v>2792250</v>
      </c>
      <c r="AJ1623" s="41">
        <v>1.56</v>
      </c>
      <c r="AL1623" s="53">
        <v>34000</v>
      </c>
      <c r="AM1623" s="53">
        <v>2792250</v>
      </c>
      <c r="AO1623" s="53">
        <f t="shared" si="306"/>
        <v>4355910</v>
      </c>
      <c r="AY1623" s="41" t="s">
        <v>557</v>
      </c>
    </row>
    <row r="1624" spans="1:51" x14ac:dyDescent="0.2">
      <c r="A1624" s="41" t="s">
        <v>159</v>
      </c>
      <c r="B1624" s="41">
        <v>1995</v>
      </c>
      <c r="C1624" s="41" t="s">
        <v>87</v>
      </c>
      <c r="D1624" s="41" t="s">
        <v>113</v>
      </c>
      <c r="E1624" s="41">
        <v>100</v>
      </c>
      <c r="F1624" s="41" t="s">
        <v>9</v>
      </c>
      <c r="AI1624" s="53">
        <v>3942000</v>
      </c>
      <c r="AJ1624" s="41">
        <v>1.56</v>
      </c>
      <c r="AL1624" s="53">
        <v>48000</v>
      </c>
      <c r="AM1624" s="53">
        <v>3942000</v>
      </c>
      <c r="AO1624" s="53">
        <f t="shared" si="306"/>
        <v>6149520</v>
      </c>
      <c r="AY1624" s="41" t="s">
        <v>557</v>
      </c>
    </row>
    <row r="1625" spans="1:51" x14ac:dyDescent="0.2">
      <c r="A1625" s="41" t="s">
        <v>159</v>
      </c>
      <c r="B1625" s="41">
        <v>1996</v>
      </c>
      <c r="C1625" s="41" t="s">
        <v>87</v>
      </c>
      <c r="D1625" s="41" t="s">
        <v>113</v>
      </c>
      <c r="E1625" s="41">
        <v>100</v>
      </c>
      <c r="F1625" s="41" t="s">
        <v>9</v>
      </c>
      <c r="AI1625" s="53">
        <v>3942000</v>
      </c>
      <c r="AJ1625" s="41">
        <v>1.56</v>
      </c>
      <c r="AL1625" s="53">
        <v>48000</v>
      </c>
      <c r="AM1625" s="53">
        <v>3942000</v>
      </c>
      <c r="AO1625" s="53">
        <f t="shared" si="306"/>
        <v>6149520</v>
      </c>
      <c r="AY1625" s="41" t="s">
        <v>557</v>
      </c>
    </row>
    <row r="1626" spans="1:51" x14ac:dyDescent="0.2">
      <c r="A1626" s="41" t="s">
        <v>159</v>
      </c>
      <c r="B1626" s="41">
        <v>1997</v>
      </c>
      <c r="C1626" s="41" t="s">
        <v>87</v>
      </c>
      <c r="D1626" s="41" t="s">
        <v>113</v>
      </c>
      <c r="E1626" s="41">
        <v>100</v>
      </c>
      <c r="F1626" s="41" t="s">
        <v>9</v>
      </c>
      <c r="AI1626" s="53">
        <v>3942000</v>
      </c>
      <c r="AJ1626" s="41">
        <v>1.56</v>
      </c>
      <c r="AK1626" s="59"/>
      <c r="AL1626" s="53">
        <v>48000</v>
      </c>
      <c r="AM1626" s="53">
        <v>3942000</v>
      </c>
      <c r="AO1626" s="53">
        <f t="shared" si="306"/>
        <v>6149520</v>
      </c>
      <c r="AY1626" s="41" t="s">
        <v>557</v>
      </c>
    </row>
    <row r="1627" spans="1:51" x14ac:dyDescent="0.2">
      <c r="A1627" s="41" t="s">
        <v>159</v>
      </c>
      <c r="B1627" s="41">
        <v>1998</v>
      </c>
      <c r="C1627" s="41" t="s">
        <v>87</v>
      </c>
      <c r="D1627" s="41" t="s">
        <v>113</v>
      </c>
      <c r="E1627" s="41">
        <v>100</v>
      </c>
      <c r="F1627" s="41" t="s">
        <v>9</v>
      </c>
      <c r="AI1627" s="53">
        <v>3942000</v>
      </c>
      <c r="AJ1627" s="41">
        <v>1.56</v>
      </c>
      <c r="AK1627" s="59"/>
      <c r="AL1627" s="53">
        <v>48000</v>
      </c>
      <c r="AM1627" s="53">
        <v>3942000</v>
      </c>
      <c r="AO1627" s="53">
        <f t="shared" si="306"/>
        <v>6149520</v>
      </c>
      <c r="AY1627" s="41" t="s">
        <v>557</v>
      </c>
    </row>
    <row r="1628" spans="1:51" x14ac:dyDescent="0.2">
      <c r="A1628" s="41" t="s">
        <v>159</v>
      </c>
      <c r="B1628" s="41">
        <v>1999</v>
      </c>
      <c r="C1628" s="41" t="s">
        <v>87</v>
      </c>
      <c r="D1628" s="41" t="s">
        <v>113</v>
      </c>
      <c r="E1628" s="41">
        <v>100</v>
      </c>
      <c r="F1628" s="41" t="s">
        <v>9</v>
      </c>
      <c r="AI1628" s="53">
        <v>4416500</v>
      </c>
      <c r="AJ1628" s="41">
        <v>1.77</v>
      </c>
      <c r="AK1628" s="59"/>
      <c r="AL1628" s="53">
        <v>60500</v>
      </c>
      <c r="AM1628" s="53">
        <v>4416500</v>
      </c>
      <c r="AO1628" s="53">
        <f t="shared" si="306"/>
        <v>7817205</v>
      </c>
      <c r="AY1628" s="41" t="s">
        <v>557</v>
      </c>
    </row>
    <row r="1629" spans="1:51" x14ac:dyDescent="0.2">
      <c r="A1629" s="41" t="s">
        <v>159</v>
      </c>
      <c r="B1629" s="41">
        <v>2000</v>
      </c>
      <c r="C1629" s="41" t="s">
        <v>87</v>
      </c>
      <c r="D1629" s="41" t="s">
        <v>113</v>
      </c>
      <c r="E1629" s="41">
        <v>100</v>
      </c>
      <c r="F1629" s="41" t="s">
        <v>9</v>
      </c>
      <c r="AI1629" s="53">
        <v>4307000</v>
      </c>
      <c r="AJ1629" s="41">
        <v>1.67</v>
      </c>
      <c r="AK1629" s="122"/>
      <c r="AL1629" s="53">
        <v>52200</v>
      </c>
      <c r="AM1629" s="53">
        <v>4307000</v>
      </c>
      <c r="AO1629" s="53">
        <f t="shared" si="306"/>
        <v>7192690</v>
      </c>
      <c r="AY1629" s="41" t="s">
        <v>557</v>
      </c>
    </row>
    <row r="1630" spans="1:51" x14ac:dyDescent="0.2">
      <c r="A1630" s="41" t="s">
        <v>159</v>
      </c>
      <c r="B1630" s="41">
        <v>2001</v>
      </c>
      <c r="C1630" s="41" t="s">
        <v>87</v>
      </c>
      <c r="D1630" s="41" t="s">
        <v>113</v>
      </c>
      <c r="E1630" s="41">
        <v>100</v>
      </c>
      <c r="F1630" s="41" t="s">
        <v>9</v>
      </c>
      <c r="AI1630" s="53">
        <v>4453000</v>
      </c>
      <c r="AJ1630" s="41">
        <v>1.49</v>
      </c>
      <c r="AK1630" s="122"/>
      <c r="AL1630" s="53">
        <v>49600</v>
      </c>
      <c r="AM1630" s="53">
        <v>4453000</v>
      </c>
      <c r="AO1630" s="53">
        <f t="shared" si="306"/>
        <v>6634970</v>
      </c>
      <c r="AY1630" s="41" t="s">
        <v>557</v>
      </c>
    </row>
    <row r="1631" spans="1:51" x14ac:dyDescent="0.2">
      <c r="A1631" s="41" t="s">
        <v>159</v>
      </c>
      <c r="B1631" s="41">
        <v>2002</v>
      </c>
      <c r="C1631" s="41" t="s">
        <v>87</v>
      </c>
      <c r="D1631" s="41" t="s">
        <v>113</v>
      </c>
      <c r="E1631" s="41">
        <v>100</v>
      </c>
      <c r="F1631" s="41" t="s">
        <v>9</v>
      </c>
      <c r="AI1631" s="53">
        <v>4891000</v>
      </c>
      <c r="AJ1631" s="41">
        <v>1.39</v>
      </c>
      <c r="AK1631" s="122"/>
      <c r="AL1631" s="53">
        <v>51800</v>
      </c>
      <c r="AM1631" s="53">
        <v>4891000</v>
      </c>
      <c r="AO1631" s="53">
        <f t="shared" si="306"/>
        <v>6798489.9999999991</v>
      </c>
      <c r="AY1631" s="41" t="s">
        <v>557</v>
      </c>
    </row>
    <row r="1632" spans="1:51" x14ac:dyDescent="0.2">
      <c r="A1632" s="41" t="s">
        <v>159</v>
      </c>
      <c r="B1632" s="41">
        <v>2003</v>
      </c>
      <c r="C1632" s="41" t="s">
        <v>87</v>
      </c>
      <c r="D1632" s="41" t="s">
        <v>113</v>
      </c>
      <c r="E1632" s="41">
        <v>100</v>
      </c>
      <c r="F1632" s="41" t="s">
        <v>9</v>
      </c>
      <c r="AI1632" s="53">
        <v>5694000</v>
      </c>
      <c r="AJ1632" s="41">
        <v>1.25</v>
      </c>
      <c r="AK1632" s="122"/>
      <c r="AL1632" s="53">
        <v>52700</v>
      </c>
      <c r="AM1632" s="53">
        <v>5694000</v>
      </c>
      <c r="AO1632" s="53">
        <f t="shared" si="306"/>
        <v>7117500</v>
      </c>
      <c r="AY1632" s="41" t="s">
        <v>557</v>
      </c>
    </row>
    <row r="1633" spans="1:51" x14ac:dyDescent="0.2">
      <c r="A1633" s="41" t="s">
        <v>159</v>
      </c>
      <c r="B1633" s="41">
        <v>2004</v>
      </c>
      <c r="C1633" s="41" t="s">
        <v>87</v>
      </c>
      <c r="D1633" s="41" t="s">
        <v>113</v>
      </c>
      <c r="E1633" s="41">
        <v>100</v>
      </c>
      <c r="F1633" s="41" t="s">
        <v>9</v>
      </c>
      <c r="AI1633" s="53">
        <v>5876500</v>
      </c>
      <c r="AJ1633" s="41">
        <v>1.1100000000000001</v>
      </c>
      <c r="AK1633" s="46"/>
      <c r="AL1633" s="53">
        <v>50000</v>
      </c>
      <c r="AM1633" s="53">
        <v>5876500</v>
      </c>
      <c r="AO1633" s="53">
        <f t="shared" si="306"/>
        <v>6522915.0000000009</v>
      </c>
      <c r="AY1633" s="41" t="s">
        <v>557</v>
      </c>
    </row>
    <row r="1634" spans="1:51" x14ac:dyDescent="0.2">
      <c r="A1634" s="41" t="s">
        <v>159</v>
      </c>
      <c r="B1634" s="41">
        <v>2005</v>
      </c>
      <c r="C1634" s="41" t="s">
        <v>87</v>
      </c>
      <c r="D1634" s="41" t="s">
        <v>113</v>
      </c>
      <c r="E1634" s="41">
        <v>100</v>
      </c>
      <c r="F1634" s="41" t="s">
        <v>9</v>
      </c>
      <c r="AI1634" s="53">
        <v>5438500</v>
      </c>
      <c r="AJ1634" s="46">
        <v>1.1000000000000001</v>
      </c>
      <c r="AK1634" s="46"/>
      <c r="AL1634" s="53">
        <v>46400</v>
      </c>
      <c r="AM1634" s="53">
        <v>5438500</v>
      </c>
      <c r="AO1634" s="53">
        <f t="shared" si="306"/>
        <v>5982350.0000000009</v>
      </c>
      <c r="AY1634" s="41" t="s">
        <v>557</v>
      </c>
    </row>
    <row r="1635" spans="1:51" x14ac:dyDescent="0.2">
      <c r="A1635" s="41" t="s">
        <v>159</v>
      </c>
      <c r="B1635" s="41">
        <v>2006</v>
      </c>
      <c r="C1635" s="41" t="s">
        <v>87</v>
      </c>
      <c r="D1635" s="41" t="s">
        <v>113</v>
      </c>
      <c r="E1635" s="41">
        <v>100</v>
      </c>
      <c r="F1635" s="41" t="s">
        <v>9</v>
      </c>
      <c r="AI1635" s="53">
        <v>5548000</v>
      </c>
      <c r="AJ1635" s="41">
        <v>1.05</v>
      </c>
      <c r="AK1635" s="46"/>
      <c r="AL1635" s="53">
        <v>47300</v>
      </c>
      <c r="AM1635" s="53">
        <v>5548000</v>
      </c>
      <c r="AO1635" s="53">
        <f t="shared" si="306"/>
        <v>5825400</v>
      </c>
      <c r="AY1635" s="41" t="s">
        <v>557</v>
      </c>
    </row>
    <row r="1636" spans="1:51" x14ac:dyDescent="0.2">
      <c r="A1636" s="41" t="s">
        <v>159</v>
      </c>
      <c r="B1636" s="41">
        <v>2007</v>
      </c>
      <c r="C1636" s="41" t="s">
        <v>87</v>
      </c>
      <c r="D1636" s="41" t="s">
        <v>113</v>
      </c>
      <c r="E1636" s="41">
        <v>100</v>
      </c>
      <c r="F1636" s="41" t="s">
        <v>9</v>
      </c>
      <c r="AI1636" s="53">
        <v>5402000</v>
      </c>
      <c r="AJ1636" s="41">
        <v>1.03</v>
      </c>
      <c r="AK1636" s="46"/>
      <c r="AL1636" s="53">
        <v>45100</v>
      </c>
      <c r="AM1636" s="53">
        <v>5402000</v>
      </c>
      <c r="AO1636" s="53">
        <f t="shared" si="306"/>
        <v>5564060</v>
      </c>
      <c r="AY1636" s="41" t="s">
        <v>557</v>
      </c>
    </row>
    <row r="1637" spans="1:51" x14ac:dyDescent="0.2">
      <c r="A1637" s="41" t="s">
        <v>159</v>
      </c>
      <c r="B1637" s="41">
        <v>2008</v>
      </c>
      <c r="C1637" s="41" t="s">
        <v>87</v>
      </c>
      <c r="D1637" s="41" t="s">
        <v>113</v>
      </c>
      <c r="E1637" s="41">
        <v>100</v>
      </c>
      <c r="F1637" s="41" t="s">
        <v>9</v>
      </c>
      <c r="AI1637" s="53">
        <v>5657500</v>
      </c>
      <c r="AJ1637" s="41">
        <v>1.06</v>
      </c>
      <c r="AK1637" s="46"/>
      <c r="AL1637" s="53">
        <v>47700</v>
      </c>
      <c r="AM1637" s="53">
        <v>5657500</v>
      </c>
      <c r="AO1637" s="53">
        <f t="shared" si="306"/>
        <v>5996950</v>
      </c>
      <c r="AY1637" s="41" t="s">
        <v>557</v>
      </c>
    </row>
    <row r="1638" spans="1:51" x14ac:dyDescent="0.2">
      <c r="A1638" s="41" t="s">
        <v>159</v>
      </c>
      <c r="B1638" s="41">
        <v>2009</v>
      </c>
      <c r="C1638" s="41" t="s">
        <v>87</v>
      </c>
      <c r="D1638" s="41" t="s">
        <v>113</v>
      </c>
      <c r="E1638" s="41">
        <v>100</v>
      </c>
      <c r="F1638" s="41" t="s">
        <v>9</v>
      </c>
      <c r="AI1638" s="53">
        <v>5511500</v>
      </c>
      <c r="AJ1638" s="41">
        <v>0.96</v>
      </c>
      <c r="AK1638" s="46"/>
      <c r="AL1638" s="53">
        <v>40600</v>
      </c>
      <c r="AM1638" s="53">
        <v>5400000</v>
      </c>
      <c r="AO1638" s="53">
        <f t="shared" si="306"/>
        <v>5291040</v>
      </c>
      <c r="AY1638" s="41" t="s">
        <v>557</v>
      </c>
    </row>
    <row r="1639" spans="1:51" x14ac:dyDescent="0.2">
      <c r="A1639" s="41" t="s">
        <v>159</v>
      </c>
      <c r="B1639" s="41">
        <v>2010</v>
      </c>
      <c r="C1639" s="41" t="s">
        <v>87</v>
      </c>
      <c r="D1639" s="41" t="s">
        <v>113</v>
      </c>
      <c r="E1639" s="41">
        <v>100</v>
      </c>
      <c r="F1639" s="41" t="s">
        <v>9</v>
      </c>
      <c r="AI1639" s="53">
        <v>5146500</v>
      </c>
      <c r="AJ1639" s="41">
        <v>1.03</v>
      </c>
      <c r="AK1639" s="46"/>
      <c r="AL1639" s="53">
        <v>41200</v>
      </c>
      <c r="AM1639" s="53">
        <v>10500000</v>
      </c>
      <c r="AO1639" s="53">
        <f t="shared" si="306"/>
        <v>5300895</v>
      </c>
      <c r="AY1639" s="41" t="s">
        <v>557</v>
      </c>
    </row>
    <row r="1640" spans="1:51" x14ac:dyDescent="0.2">
      <c r="A1640" s="41" t="s">
        <v>159</v>
      </c>
      <c r="B1640" s="41">
        <v>2011</v>
      </c>
      <c r="C1640" s="41" t="s">
        <v>87</v>
      </c>
      <c r="D1640" s="41" t="s">
        <v>113</v>
      </c>
      <c r="E1640" s="41">
        <v>100</v>
      </c>
      <c r="F1640" s="41" t="s">
        <v>9</v>
      </c>
      <c r="AI1640" s="53">
        <v>4562500</v>
      </c>
      <c r="AJ1640" s="41">
        <v>1.18</v>
      </c>
      <c r="AK1640" s="46"/>
      <c r="AL1640" s="53">
        <v>41600</v>
      </c>
      <c r="AM1640" s="53">
        <v>10600000</v>
      </c>
      <c r="AO1640" s="53">
        <f t="shared" si="306"/>
        <v>5383750</v>
      </c>
      <c r="AY1640" s="41" t="s">
        <v>557</v>
      </c>
    </row>
    <row r="1641" spans="1:51" x14ac:dyDescent="0.2">
      <c r="A1641" s="41" t="s">
        <v>159</v>
      </c>
      <c r="B1641" s="41">
        <v>2012</v>
      </c>
      <c r="C1641" s="41" t="s">
        <v>87</v>
      </c>
      <c r="D1641" s="41" t="s">
        <v>113</v>
      </c>
      <c r="E1641" s="41">
        <v>100</v>
      </c>
      <c r="F1641" s="41" t="s">
        <v>9</v>
      </c>
      <c r="AI1641" s="53">
        <v>4197500</v>
      </c>
      <c r="AJ1641" s="41">
        <v>1.05</v>
      </c>
      <c r="AK1641" s="56"/>
      <c r="AL1641" s="53">
        <v>37700</v>
      </c>
      <c r="AM1641" s="53">
        <v>14900000</v>
      </c>
      <c r="AO1641" s="53">
        <f t="shared" si="306"/>
        <v>4407375</v>
      </c>
      <c r="AY1641" s="41" t="s">
        <v>557</v>
      </c>
    </row>
    <row r="1642" spans="1:51" x14ac:dyDescent="0.2">
      <c r="A1642" s="41" t="s">
        <v>159</v>
      </c>
      <c r="B1642" s="41">
        <v>2013</v>
      </c>
      <c r="C1642" s="41" t="s">
        <v>87</v>
      </c>
      <c r="D1642" s="41" t="s">
        <v>113</v>
      </c>
      <c r="E1642" s="41">
        <v>100</v>
      </c>
      <c r="F1642" s="41" t="s">
        <v>9</v>
      </c>
      <c r="AI1642" s="53">
        <v>4380000</v>
      </c>
      <c r="AJ1642" s="41">
        <v>0.92</v>
      </c>
      <c r="AK1642" s="56"/>
      <c r="AL1642" s="53">
        <v>38300</v>
      </c>
      <c r="AM1642" s="53">
        <v>21220000</v>
      </c>
      <c r="AO1642" s="53">
        <f t="shared" si="306"/>
        <v>4029600</v>
      </c>
      <c r="AY1642" s="41" t="s">
        <v>557</v>
      </c>
    </row>
    <row r="1643" spans="1:51" x14ac:dyDescent="0.2">
      <c r="A1643" s="41" t="s">
        <v>159</v>
      </c>
      <c r="B1643" s="41">
        <v>2014</v>
      </c>
      <c r="C1643" s="41" t="s">
        <v>87</v>
      </c>
      <c r="D1643" s="41" t="s">
        <v>113</v>
      </c>
      <c r="E1643" s="41">
        <v>100</v>
      </c>
      <c r="F1643" s="41" t="s">
        <v>9</v>
      </c>
      <c r="AI1643" s="53">
        <v>4453000</v>
      </c>
      <c r="AJ1643" s="41">
        <v>1.1299999999999999</v>
      </c>
      <c r="AK1643" s="56"/>
      <c r="AL1643" s="53">
        <v>47000</v>
      </c>
      <c r="AM1643" s="53">
        <v>13359000</v>
      </c>
      <c r="AO1643" s="53">
        <f t="shared" si="306"/>
        <v>5031889.9999999991</v>
      </c>
      <c r="AY1643" s="41" t="s">
        <v>557</v>
      </c>
    </row>
    <row r="1644" spans="1:51" x14ac:dyDescent="0.2">
      <c r="A1644" s="41" t="s">
        <v>159</v>
      </c>
      <c r="B1644" s="60" t="s">
        <v>559</v>
      </c>
      <c r="C1644" s="60" t="s">
        <v>87</v>
      </c>
      <c r="D1644" s="60" t="s">
        <v>113</v>
      </c>
      <c r="E1644" s="60">
        <v>100</v>
      </c>
      <c r="F1644" s="60" t="s">
        <v>9</v>
      </c>
      <c r="AI1644" s="79">
        <f>SUM(AI1621:AI1643)</f>
        <v>101780250</v>
      </c>
      <c r="AJ1644" s="80">
        <f>AO1644/AI1644</f>
        <v>1.2671974179666488</v>
      </c>
      <c r="AK1644" s="80"/>
      <c r="AL1644" s="79">
        <f>SUM(AL1621:AL1643)</f>
        <v>1015700</v>
      </c>
      <c r="AM1644" s="79">
        <f>SUM(AM1621:AM1643)</f>
        <v>149508250</v>
      </c>
      <c r="AO1644" s="79">
        <f>SUM(AO1621:AO1643)</f>
        <v>128975670</v>
      </c>
      <c r="AY1644" s="41" t="s">
        <v>557</v>
      </c>
    </row>
    <row r="1645" spans="1:51" x14ac:dyDescent="0.2">
      <c r="A1645" s="41" t="s">
        <v>159</v>
      </c>
      <c r="B1645" s="43" t="s">
        <v>560</v>
      </c>
      <c r="AI1645" s="53">
        <f>STDEV(AI1621:AI1643)</f>
        <v>1159333.7009626464</v>
      </c>
      <c r="AJ1645" s="46">
        <f>STDEV(AJ1621:AJ1643)</f>
        <v>0.26829280211735673</v>
      </c>
      <c r="AK1645" s="46"/>
      <c r="AL1645" s="53">
        <f>STDEV(AL1621:AL1643)</f>
        <v>9526.6964192227533</v>
      </c>
      <c r="AM1645" s="53">
        <f>STDEV(AM1621:AM1643)</f>
        <v>4653112.1189003512</v>
      </c>
      <c r="AY1645" s="41" t="s">
        <v>557</v>
      </c>
    </row>
    <row r="1646" spans="1:51" x14ac:dyDescent="0.2">
      <c r="A1646" s="41" t="s">
        <v>159</v>
      </c>
      <c r="B1646" s="81" t="s">
        <v>249</v>
      </c>
      <c r="AI1646" s="41">
        <f>COUNT(AI1621:AI1643)</f>
        <v>23</v>
      </c>
      <c r="AJ1646" s="41">
        <f>COUNT(AJ1621:AJ1643)</f>
        <v>23</v>
      </c>
      <c r="AL1646" s="41">
        <f>COUNT(AL1621:AL1643)</f>
        <v>23</v>
      </c>
      <c r="AM1646" s="41">
        <f>COUNT(AM1621:AM1643)</f>
        <v>23</v>
      </c>
      <c r="AY1646" s="41" t="s">
        <v>557</v>
      </c>
    </row>
    <row r="1647" spans="1:51" x14ac:dyDescent="0.2">
      <c r="A1647" s="82"/>
      <c r="B1647" s="82"/>
      <c r="C1647" s="82"/>
      <c r="D1647" s="82"/>
      <c r="E1647" s="82"/>
      <c r="F1647" s="82"/>
      <c r="G1647" s="82"/>
      <c r="H1647" s="82"/>
      <c r="I1647" s="82"/>
      <c r="J1647" s="82"/>
      <c r="K1647" s="82"/>
      <c r="L1647" s="82"/>
      <c r="M1647" s="82"/>
      <c r="N1647" s="82"/>
      <c r="O1647" s="82"/>
      <c r="P1647" s="82"/>
      <c r="Q1647" s="82"/>
      <c r="R1647" s="82"/>
      <c r="S1647" s="82"/>
      <c r="T1647" s="82"/>
      <c r="U1647" s="82"/>
      <c r="V1647" s="82"/>
      <c r="W1647" s="82"/>
      <c r="X1647" s="82"/>
      <c r="Y1647" s="82"/>
      <c r="Z1647" s="82"/>
      <c r="AA1647" s="82"/>
      <c r="AB1647" s="82"/>
      <c r="AC1647" s="82"/>
      <c r="AD1647" s="82"/>
      <c r="AE1647" s="82"/>
      <c r="AF1647" s="82"/>
      <c r="AG1647" s="82"/>
      <c r="AH1647" s="82"/>
      <c r="AI1647" s="82"/>
      <c r="AJ1647" s="82"/>
      <c r="AK1647" s="82"/>
      <c r="AL1647" s="82"/>
      <c r="AM1647" s="82"/>
      <c r="AN1647" s="82"/>
      <c r="AO1647" s="82"/>
      <c r="AP1647" s="82"/>
      <c r="AQ1647" s="82"/>
      <c r="AR1647" s="82"/>
      <c r="AS1647" s="82"/>
      <c r="AT1647" s="82"/>
      <c r="AU1647" s="82"/>
      <c r="AV1647" s="82"/>
      <c r="AW1647" s="82"/>
      <c r="AX1647" s="82"/>
      <c r="AY1647" s="41" t="s">
        <v>557</v>
      </c>
    </row>
    <row r="1648" spans="1:51" x14ac:dyDescent="0.2">
      <c r="A1648" s="41" t="s">
        <v>132</v>
      </c>
      <c r="B1648" s="41">
        <v>2007</v>
      </c>
      <c r="C1648" s="41" t="s">
        <v>87</v>
      </c>
      <c r="D1648" s="41" t="s">
        <v>88</v>
      </c>
      <c r="E1648" s="41">
        <v>100</v>
      </c>
      <c r="F1648" s="41" t="s">
        <v>556</v>
      </c>
      <c r="G1648" s="53">
        <v>238446</v>
      </c>
      <c r="H1648" s="41">
        <v>2.16</v>
      </c>
      <c r="I1648" s="41">
        <v>0.45</v>
      </c>
      <c r="J1648" s="41">
        <v>7.7</v>
      </c>
      <c r="R1648" s="76">
        <f t="shared" ref="R1648:R1654" si="307">S1648*4</f>
        <v>17530.439999999999</v>
      </c>
      <c r="S1648" s="53">
        <v>4382.6099999999997</v>
      </c>
      <c r="T1648" s="53">
        <v>135.2276</v>
      </c>
      <c r="U1648" s="53">
        <v>1427.19</v>
      </c>
      <c r="AH1648" s="53">
        <f t="shared" ref="AH1648:AH1654" si="308">G1648-R1648</f>
        <v>220915.56</v>
      </c>
      <c r="AM1648" s="53">
        <v>9264575</v>
      </c>
      <c r="AO1648" s="53">
        <f t="shared" ref="AO1648:AW1654" si="309">$G1648*H1648</f>
        <v>515043.36000000004</v>
      </c>
      <c r="AP1648" s="53">
        <f t="shared" si="309"/>
        <v>107300.7</v>
      </c>
      <c r="AQ1648" s="53">
        <f t="shared" si="309"/>
        <v>1836034.2</v>
      </c>
      <c r="AR1648" s="53">
        <f t="shared" si="309"/>
        <v>0</v>
      </c>
      <c r="AS1648" s="53">
        <f t="shared" si="309"/>
        <v>0</v>
      </c>
      <c r="AT1648" s="53">
        <f t="shared" si="309"/>
        <v>0</v>
      </c>
      <c r="AU1648" s="53">
        <f t="shared" si="309"/>
        <v>0</v>
      </c>
      <c r="AV1648" s="53">
        <f t="shared" si="309"/>
        <v>0</v>
      </c>
      <c r="AW1648" s="53">
        <f t="shared" si="309"/>
        <v>0</v>
      </c>
      <c r="AX1648" s="53">
        <f t="shared" ref="AX1648:AX1654" si="310">$G1648*E1648</f>
        <v>23844600</v>
      </c>
      <c r="AY1648" s="41" t="s">
        <v>557</v>
      </c>
    </row>
    <row r="1649" spans="1:51" x14ac:dyDescent="0.2">
      <c r="A1649" s="41" t="s">
        <v>132</v>
      </c>
      <c r="B1649" s="41">
        <v>2008</v>
      </c>
      <c r="C1649" s="41" t="s">
        <v>87</v>
      </c>
      <c r="D1649" s="41" t="s">
        <v>88</v>
      </c>
      <c r="E1649" s="41">
        <v>100</v>
      </c>
      <c r="F1649" s="41" t="s">
        <v>556</v>
      </c>
      <c r="G1649" s="53">
        <v>809426</v>
      </c>
      <c r="H1649" s="41">
        <v>2.91</v>
      </c>
      <c r="I1649" s="41">
        <v>1.1399999999999999</v>
      </c>
      <c r="J1649" s="41">
        <v>11.8</v>
      </c>
      <c r="R1649" s="76">
        <f t="shared" si="307"/>
        <v>86524.943999999989</v>
      </c>
      <c r="S1649" s="53">
        <v>21631.235999999997</v>
      </c>
      <c r="T1649" s="53">
        <v>876.94200000000001</v>
      </c>
      <c r="U1649" s="53">
        <v>8078.4960000000001</v>
      </c>
      <c r="AH1649" s="53">
        <f t="shared" si="308"/>
        <v>722901.05599999998</v>
      </c>
      <c r="AM1649" s="53">
        <v>8370800</v>
      </c>
      <c r="AO1649" s="53">
        <f t="shared" si="309"/>
        <v>2355429.66</v>
      </c>
      <c r="AP1649" s="53">
        <f t="shared" si="309"/>
        <v>922745.6399999999</v>
      </c>
      <c r="AQ1649" s="53">
        <f t="shared" si="309"/>
        <v>9551226.8000000007</v>
      </c>
      <c r="AR1649" s="53">
        <f t="shared" si="309"/>
        <v>0</v>
      </c>
      <c r="AS1649" s="53">
        <f t="shared" si="309"/>
        <v>0</v>
      </c>
      <c r="AT1649" s="53">
        <f t="shared" si="309"/>
        <v>0</v>
      </c>
      <c r="AU1649" s="53">
        <f t="shared" si="309"/>
        <v>0</v>
      </c>
      <c r="AV1649" s="53">
        <f t="shared" si="309"/>
        <v>0</v>
      </c>
      <c r="AW1649" s="53">
        <f t="shared" si="309"/>
        <v>0</v>
      </c>
      <c r="AX1649" s="53">
        <f t="shared" si="310"/>
        <v>80942600</v>
      </c>
      <c r="AY1649" s="41" t="s">
        <v>557</v>
      </c>
    </row>
    <row r="1650" spans="1:51" x14ac:dyDescent="0.2">
      <c r="A1650" s="41" t="s">
        <v>132</v>
      </c>
      <c r="B1650" s="41">
        <v>2009</v>
      </c>
      <c r="C1650" s="41" t="s">
        <v>87</v>
      </c>
      <c r="D1650" s="41" t="s">
        <v>88</v>
      </c>
      <c r="E1650" s="41">
        <v>100</v>
      </c>
      <c r="F1650" s="41" t="s">
        <v>556</v>
      </c>
      <c r="G1650" s="53">
        <v>1031190</v>
      </c>
      <c r="H1650" s="41">
        <v>2.5499999999999998</v>
      </c>
      <c r="I1650" s="41">
        <v>1.1399999999999999</v>
      </c>
      <c r="J1650" s="41">
        <v>11</v>
      </c>
      <c r="R1650" s="76">
        <f t="shared" si="307"/>
        <v>97456.963999999993</v>
      </c>
      <c r="S1650" s="53">
        <v>24364.240999999998</v>
      </c>
      <c r="T1650" s="53">
        <v>891.95870000000002</v>
      </c>
      <c r="U1650" s="53">
        <v>9338.6280000000006</v>
      </c>
      <c r="AH1650" s="53">
        <f t="shared" si="308"/>
        <v>933733.03599999996</v>
      </c>
      <c r="AM1650" s="53">
        <v>11132511</v>
      </c>
      <c r="AO1650" s="53">
        <f t="shared" si="309"/>
        <v>2629534.5</v>
      </c>
      <c r="AP1650" s="53">
        <f t="shared" si="309"/>
        <v>1175556.5999999999</v>
      </c>
      <c r="AQ1650" s="53">
        <f t="shared" si="309"/>
        <v>11343090</v>
      </c>
      <c r="AR1650" s="53">
        <f t="shared" si="309"/>
        <v>0</v>
      </c>
      <c r="AS1650" s="53">
        <f t="shared" si="309"/>
        <v>0</v>
      </c>
      <c r="AT1650" s="53">
        <f t="shared" si="309"/>
        <v>0</v>
      </c>
      <c r="AU1650" s="53">
        <f t="shared" si="309"/>
        <v>0</v>
      </c>
      <c r="AV1650" s="53">
        <f t="shared" si="309"/>
        <v>0</v>
      </c>
      <c r="AW1650" s="53">
        <f t="shared" si="309"/>
        <v>0</v>
      </c>
      <c r="AX1650" s="53">
        <f t="shared" si="310"/>
        <v>103119000</v>
      </c>
      <c r="AY1650" s="41" t="s">
        <v>557</v>
      </c>
    </row>
    <row r="1651" spans="1:51" x14ac:dyDescent="0.2">
      <c r="A1651" s="41" t="s">
        <v>132</v>
      </c>
      <c r="B1651" s="41">
        <v>2010</v>
      </c>
      <c r="C1651" s="41" t="s">
        <v>87</v>
      </c>
      <c r="D1651" s="41" t="s">
        <v>88</v>
      </c>
      <c r="E1651" s="41">
        <v>100</v>
      </c>
      <c r="F1651" s="41" t="s">
        <v>556</v>
      </c>
      <c r="G1651" s="53">
        <v>915051</v>
      </c>
      <c r="H1651" s="41">
        <v>2.2200000000000002</v>
      </c>
      <c r="I1651" s="41">
        <v>0.93</v>
      </c>
      <c r="J1651" s="41">
        <v>8.6999999999999993</v>
      </c>
      <c r="R1651" s="76">
        <f t="shared" si="307"/>
        <v>73307.076000000001</v>
      </c>
      <c r="S1651" s="53">
        <v>18326.769</v>
      </c>
      <c r="T1651" s="53">
        <v>694.83170000000007</v>
      </c>
      <c r="U1651" s="53">
        <v>6435.3540000000003</v>
      </c>
      <c r="AH1651" s="53">
        <f t="shared" si="308"/>
        <v>841743.924</v>
      </c>
      <c r="AM1651" s="53">
        <v>7873049</v>
      </c>
      <c r="AO1651" s="53">
        <f t="shared" si="309"/>
        <v>2031413.2200000002</v>
      </c>
      <c r="AP1651" s="53">
        <f t="shared" si="309"/>
        <v>850997.43</v>
      </c>
      <c r="AQ1651" s="53">
        <f t="shared" si="309"/>
        <v>7960943.6999999993</v>
      </c>
      <c r="AR1651" s="53">
        <f t="shared" si="309"/>
        <v>0</v>
      </c>
      <c r="AS1651" s="53">
        <f t="shared" si="309"/>
        <v>0</v>
      </c>
      <c r="AT1651" s="53">
        <f t="shared" si="309"/>
        <v>0</v>
      </c>
      <c r="AU1651" s="53">
        <f t="shared" si="309"/>
        <v>0</v>
      </c>
      <c r="AV1651" s="53">
        <f t="shared" si="309"/>
        <v>0</v>
      </c>
      <c r="AW1651" s="53">
        <f t="shared" si="309"/>
        <v>0</v>
      </c>
      <c r="AX1651" s="53">
        <f t="shared" si="310"/>
        <v>91505100</v>
      </c>
      <c r="AY1651" s="41" t="s">
        <v>557</v>
      </c>
    </row>
    <row r="1652" spans="1:51" x14ac:dyDescent="0.2">
      <c r="A1652" s="41" t="s">
        <v>132</v>
      </c>
      <c r="B1652" s="41">
        <v>2011</v>
      </c>
      <c r="C1652" s="41" t="s">
        <v>87</v>
      </c>
      <c r="D1652" s="41" t="s">
        <v>88</v>
      </c>
      <c r="E1652" s="41">
        <v>100</v>
      </c>
      <c r="F1652" s="41" t="s">
        <v>556</v>
      </c>
      <c r="G1652" s="53">
        <v>1258308</v>
      </c>
      <c r="H1652" s="41">
        <v>1.52</v>
      </c>
      <c r="I1652" s="41">
        <v>0.6</v>
      </c>
      <c r="J1652" s="41">
        <v>6.1</v>
      </c>
      <c r="R1652" s="76">
        <f t="shared" si="307"/>
        <v>67273.728000000003</v>
      </c>
      <c r="S1652" s="53">
        <v>16818.432000000001</v>
      </c>
      <c r="T1652" s="53">
        <v>569.8048</v>
      </c>
      <c r="U1652" s="53">
        <v>6065.6639999999998</v>
      </c>
      <c r="AH1652" s="53">
        <f t="shared" si="308"/>
        <v>1191034.2719999999</v>
      </c>
      <c r="AM1652" s="53">
        <v>10439357</v>
      </c>
      <c r="AO1652" s="53">
        <f t="shared" si="309"/>
        <v>1912628.16</v>
      </c>
      <c r="AP1652" s="53">
        <f t="shared" si="309"/>
        <v>754984.79999999993</v>
      </c>
      <c r="AQ1652" s="53">
        <f t="shared" si="309"/>
        <v>7675678.7999999998</v>
      </c>
      <c r="AR1652" s="53">
        <f t="shared" si="309"/>
        <v>0</v>
      </c>
      <c r="AS1652" s="53">
        <f t="shared" si="309"/>
        <v>0</v>
      </c>
      <c r="AT1652" s="53">
        <f t="shared" si="309"/>
        <v>0</v>
      </c>
      <c r="AU1652" s="53">
        <f t="shared" si="309"/>
        <v>0</v>
      </c>
      <c r="AV1652" s="53">
        <f t="shared" si="309"/>
        <v>0</v>
      </c>
      <c r="AW1652" s="53">
        <f t="shared" si="309"/>
        <v>0</v>
      </c>
      <c r="AX1652" s="53">
        <f t="shared" si="310"/>
        <v>125830800</v>
      </c>
      <c r="AY1652" s="41" t="s">
        <v>557</v>
      </c>
    </row>
    <row r="1653" spans="1:51" x14ac:dyDescent="0.2">
      <c r="A1653" s="41" t="s">
        <v>132</v>
      </c>
      <c r="B1653" s="41">
        <v>2012</v>
      </c>
      <c r="C1653" s="41" t="s">
        <v>87</v>
      </c>
      <c r="D1653" s="41" t="s">
        <v>88</v>
      </c>
      <c r="E1653" s="41">
        <v>100</v>
      </c>
      <c r="F1653" s="41" t="s">
        <v>556</v>
      </c>
      <c r="G1653" s="53">
        <v>1341584</v>
      </c>
      <c r="H1653" s="41">
        <v>1.34</v>
      </c>
      <c r="I1653" s="41">
        <v>0.57999999999999996</v>
      </c>
      <c r="J1653" s="41">
        <v>5.0999999999999996</v>
      </c>
      <c r="R1653" s="76">
        <f t="shared" si="307"/>
        <v>65134.5</v>
      </c>
      <c r="S1653" s="53">
        <v>16283.625</v>
      </c>
      <c r="T1653" s="53">
        <v>577.52589999999998</v>
      </c>
      <c r="U1653" s="53">
        <v>5731.8360000000002</v>
      </c>
      <c r="AH1653" s="53">
        <f t="shared" si="308"/>
        <v>1276449.5</v>
      </c>
      <c r="AM1653" s="53">
        <v>9805350</v>
      </c>
      <c r="AO1653" s="53">
        <f t="shared" si="309"/>
        <v>1797722.56</v>
      </c>
      <c r="AP1653" s="53">
        <f t="shared" si="309"/>
        <v>778118.72</v>
      </c>
      <c r="AQ1653" s="53">
        <f t="shared" si="309"/>
        <v>6842078.3999999994</v>
      </c>
      <c r="AR1653" s="53">
        <f t="shared" si="309"/>
        <v>0</v>
      </c>
      <c r="AS1653" s="53">
        <f t="shared" si="309"/>
        <v>0</v>
      </c>
      <c r="AT1653" s="53">
        <f t="shared" si="309"/>
        <v>0</v>
      </c>
      <c r="AU1653" s="53">
        <f t="shared" si="309"/>
        <v>0</v>
      </c>
      <c r="AV1653" s="53">
        <f t="shared" si="309"/>
        <v>0</v>
      </c>
      <c r="AW1653" s="53">
        <f t="shared" si="309"/>
        <v>0</v>
      </c>
      <c r="AX1653" s="53">
        <f t="shared" si="310"/>
        <v>134158400</v>
      </c>
      <c r="AY1653" s="41" t="s">
        <v>557</v>
      </c>
    </row>
    <row r="1654" spans="1:51" x14ac:dyDescent="0.2">
      <c r="A1654" s="41" t="s">
        <v>132</v>
      </c>
      <c r="B1654" s="41">
        <v>2013</v>
      </c>
      <c r="C1654" s="41" t="s">
        <v>87</v>
      </c>
      <c r="D1654" s="41" t="s">
        <v>88</v>
      </c>
      <c r="E1654" s="41">
        <v>100</v>
      </c>
      <c r="F1654" s="41" t="s">
        <v>556</v>
      </c>
      <c r="G1654" s="53">
        <v>1402000</v>
      </c>
      <c r="H1654" s="41">
        <v>1.31</v>
      </c>
      <c r="I1654" s="41">
        <v>0.52</v>
      </c>
      <c r="J1654" s="41">
        <v>4.5999999999999996</v>
      </c>
      <c r="R1654" s="76">
        <f t="shared" si="307"/>
        <v>67564.183978953108</v>
      </c>
      <c r="S1654" s="53">
        <v>16891.045994738277</v>
      </c>
      <c r="T1654" s="53">
        <v>571.02710000000002</v>
      </c>
      <c r="U1654" s="53">
        <v>5038.2</v>
      </c>
      <c r="AH1654" s="53">
        <f t="shared" si="308"/>
        <v>1334435.8160210468</v>
      </c>
      <c r="AM1654" s="53">
        <v>9696000</v>
      </c>
      <c r="AO1654" s="53">
        <f t="shared" si="309"/>
        <v>1836620</v>
      </c>
      <c r="AP1654" s="53">
        <f t="shared" si="309"/>
        <v>729040</v>
      </c>
      <c r="AQ1654" s="53">
        <f t="shared" si="309"/>
        <v>6449199.9999999991</v>
      </c>
      <c r="AR1654" s="53">
        <f t="shared" si="309"/>
        <v>0</v>
      </c>
      <c r="AS1654" s="53">
        <f t="shared" si="309"/>
        <v>0</v>
      </c>
      <c r="AT1654" s="53">
        <f t="shared" si="309"/>
        <v>0</v>
      </c>
      <c r="AU1654" s="53">
        <f t="shared" si="309"/>
        <v>0</v>
      </c>
      <c r="AV1654" s="53">
        <f t="shared" si="309"/>
        <v>0</v>
      </c>
      <c r="AW1654" s="53">
        <f t="shared" si="309"/>
        <v>0</v>
      </c>
      <c r="AX1654" s="53">
        <f t="shared" si="310"/>
        <v>140200000</v>
      </c>
      <c r="AY1654" s="41" t="s">
        <v>557</v>
      </c>
    </row>
    <row r="1655" spans="1:51" x14ac:dyDescent="0.2">
      <c r="A1655" s="60"/>
      <c r="B1655" s="85" t="s">
        <v>658</v>
      </c>
      <c r="C1655" s="60" t="s">
        <v>87</v>
      </c>
      <c r="D1655" s="60" t="s">
        <v>88</v>
      </c>
      <c r="E1655" s="107">
        <v>100</v>
      </c>
      <c r="F1655" s="60" t="s">
        <v>556</v>
      </c>
      <c r="G1655" s="79">
        <f>SUM(G1648:G1653)+(7.5/12)*G1654</f>
        <v>6470255</v>
      </c>
      <c r="H1655" s="80">
        <f>AO1655/$G1655</f>
        <v>1.9148640911370574</v>
      </c>
      <c r="I1655" s="80">
        <f>AP1655/$G1655</f>
        <v>0.77977666877116891</v>
      </c>
      <c r="J1655" s="78">
        <f>AQ1655/$G1655</f>
        <v>7.6101794906074023</v>
      </c>
      <c r="R1655" s="79">
        <f>SUM(R1648:R1653)+(7.5/12)*R1654</f>
        <v>449455.2669868457</v>
      </c>
      <c r="S1655" s="79">
        <f>SUM(S1648:S1653)+(7.5/12)*S1654</f>
        <v>112363.81674671143</v>
      </c>
      <c r="T1655" s="79">
        <f>SUM(T1648:T1653)+(7.5/12)*T1654</f>
        <v>4103.1826375000001</v>
      </c>
      <c r="U1655" s="79">
        <f>SUM(U1648:U1653)+(7.5/12)*U1654</f>
        <v>40226.042999999998</v>
      </c>
      <c r="AH1655" s="79">
        <f>SUM(AH1648:AH1653)+(7.5/12)*AH1654</f>
        <v>6020799.7330131531</v>
      </c>
      <c r="AM1655" s="79">
        <f>SUM(AM1648:AM1653)+(7.5/12)*AM1654</f>
        <v>62945642</v>
      </c>
      <c r="AO1655" s="79">
        <f t="shared" ref="AO1655:AX1655" si="311">SUM(AO1648:AO1653)+(7.5/12)*AO1654</f>
        <v>12389658.960000001</v>
      </c>
      <c r="AP1655" s="79">
        <f t="shared" si="311"/>
        <v>5045353.8899999997</v>
      </c>
      <c r="AQ1655" s="79">
        <f t="shared" si="311"/>
        <v>49239801.899999999</v>
      </c>
      <c r="AR1655" s="79">
        <f t="shared" si="311"/>
        <v>0</v>
      </c>
      <c r="AS1655" s="79">
        <f t="shared" si="311"/>
        <v>0</v>
      </c>
      <c r="AT1655" s="79">
        <f t="shared" si="311"/>
        <v>0</v>
      </c>
      <c r="AU1655" s="79">
        <f t="shared" si="311"/>
        <v>0</v>
      </c>
      <c r="AV1655" s="79">
        <f t="shared" si="311"/>
        <v>0</v>
      </c>
      <c r="AW1655" s="79">
        <f t="shared" si="311"/>
        <v>0</v>
      </c>
      <c r="AX1655" s="79">
        <f t="shared" si="311"/>
        <v>647025500</v>
      </c>
      <c r="AY1655" s="41" t="s">
        <v>557</v>
      </c>
    </row>
    <row r="1656" spans="1:51" x14ac:dyDescent="0.2">
      <c r="A1656" s="41" t="s">
        <v>132</v>
      </c>
      <c r="B1656" s="43" t="s">
        <v>560</v>
      </c>
      <c r="G1656" s="53">
        <f>STDEV(G1648:G1654)</f>
        <v>401969.41529786168</v>
      </c>
      <c r="H1656" s="46">
        <f>STDEV(H1648:H1654)</f>
        <v>0.62539130607507376</v>
      </c>
      <c r="I1656" s="46">
        <f>STDEV(I1648:I1654)</f>
        <v>0.29697683090645038</v>
      </c>
      <c r="J1656" s="47">
        <f>STDEV(J1648:J1654)</f>
        <v>2.8123875638901175</v>
      </c>
      <c r="R1656" s="53">
        <f>STDEV(R1648:R1654)</f>
        <v>25149.379695914755</v>
      </c>
      <c r="S1656" s="53">
        <f>STDEV(S1648:S1654)</f>
        <v>6287.3449239786887</v>
      </c>
      <c r="T1656" s="53">
        <f>STDEV(T1648:T1654)</f>
        <v>254.04502348596537</v>
      </c>
      <c r="U1656" s="53">
        <f>STDEV(U1648:U1654)</f>
        <v>2502.2019796277746</v>
      </c>
      <c r="AH1656" s="53">
        <f>STDEV(AH1648:AH1654)</f>
        <v>388417.79492889083</v>
      </c>
      <c r="AM1656" s="53">
        <f>STDEV(AM1648:AM1654)</f>
        <v>1129577.5969941798</v>
      </c>
      <c r="AY1656" s="41" t="s">
        <v>557</v>
      </c>
    </row>
    <row r="1657" spans="1:51" x14ac:dyDescent="0.2">
      <c r="A1657" s="41" t="s">
        <v>132</v>
      </c>
      <c r="B1657" s="81" t="s">
        <v>249</v>
      </c>
      <c r="G1657" s="41">
        <f>COUNT(G1648:G1654)</f>
        <v>7</v>
      </c>
      <c r="H1657" s="41">
        <f>COUNT(H1648:H1654)</f>
        <v>7</v>
      </c>
      <c r="I1657" s="41">
        <f>COUNT(I1648:I1654)</f>
        <v>7</v>
      </c>
      <c r="J1657" s="41">
        <f>COUNT(J1648:J1654)</f>
        <v>7</v>
      </c>
      <c r="R1657" s="41">
        <f>COUNT(R1648:R1654)</f>
        <v>7</v>
      </c>
      <c r="S1657" s="41">
        <f>COUNT(S1648:S1654)</f>
        <v>7</v>
      </c>
      <c r="T1657" s="41">
        <f>COUNT(T1648:T1654)</f>
        <v>7</v>
      </c>
      <c r="U1657" s="41">
        <f>COUNT(U1648:U1654)</f>
        <v>7</v>
      </c>
      <c r="AH1657" s="41">
        <f>COUNT(AH1648:AH1654)</f>
        <v>7</v>
      </c>
      <c r="AM1657" s="41">
        <f>COUNT(AM1648:AM1654)</f>
        <v>7</v>
      </c>
      <c r="AY1657" s="41" t="s">
        <v>557</v>
      </c>
    </row>
    <row r="1658" spans="1:51" x14ac:dyDescent="0.2">
      <c r="A1658" s="82"/>
      <c r="B1658" s="82"/>
      <c r="C1658" s="82"/>
      <c r="D1658" s="82"/>
      <c r="E1658" s="82"/>
      <c r="F1658" s="82"/>
      <c r="G1658" s="82"/>
      <c r="H1658" s="82"/>
      <c r="I1658" s="82"/>
      <c r="J1658" s="82"/>
      <c r="K1658" s="82"/>
      <c r="L1658" s="82"/>
      <c r="M1658" s="82"/>
      <c r="N1658" s="82"/>
      <c r="O1658" s="82"/>
      <c r="P1658" s="82"/>
      <c r="Q1658" s="82"/>
      <c r="R1658" s="82"/>
      <c r="S1658" s="82"/>
      <c r="T1658" s="82"/>
      <c r="U1658" s="82"/>
      <c r="V1658" s="82"/>
      <c r="W1658" s="82"/>
      <c r="X1658" s="82"/>
      <c r="Y1658" s="82"/>
      <c r="Z1658" s="82"/>
      <c r="AA1658" s="82"/>
      <c r="AB1658" s="82"/>
      <c r="AC1658" s="82"/>
      <c r="AD1658" s="82"/>
      <c r="AE1658" s="82"/>
      <c r="AF1658" s="82"/>
      <c r="AG1658" s="82"/>
      <c r="AH1658" s="82"/>
      <c r="AI1658" s="82"/>
      <c r="AJ1658" s="82"/>
      <c r="AK1658" s="82"/>
      <c r="AL1658" s="82"/>
      <c r="AM1658" s="82"/>
      <c r="AN1658" s="82"/>
      <c r="AO1658" s="82"/>
      <c r="AP1658" s="82"/>
      <c r="AQ1658" s="82"/>
      <c r="AR1658" s="82"/>
      <c r="AS1658" s="82"/>
      <c r="AT1658" s="82"/>
      <c r="AU1658" s="82"/>
      <c r="AV1658" s="82"/>
      <c r="AW1658" s="82"/>
      <c r="AX1658" s="82"/>
      <c r="AY1658" s="41" t="s">
        <v>557</v>
      </c>
    </row>
    <row r="1659" spans="1:51" x14ac:dyDescent="0.2">
      <c r="A1659" s="41" t="s">
        <v>143</v>
      </c>
      <c r="B1659" s="41">
        <v>2011</v>
      </c>
      <c r="C1659" s="41" t="s">
        <v>87</v>
      </c>
      <c r="D1659" s="41" t="s">
        <v>88</v>
      </c>
      <c r="E1659" s="41">
        <v>100</v>
      </c>
      <c r="F1659" s="41" t="s">
        <v>659</v>
      </c>
      <c r="AM1659" s="53">
        <v>65894000</v>
      </c>
      <c r="AO1659" s="53">
        <f t="shared" ref="AO1659:AW1665" si="312">$G1659*H1659</f>
        <v>0</v>
      </c>
      <c r="AP1659" s="53">
        <f t="shared" si="312"/>
        <v>0</v>
      </c>
      <c r="AQ1659" s="53">
        <f t="shared" si="312"/>
        <v>0</v>
      </c>
      <c r="AR1659" s="53">
        <f t="shared" si="312"/>
        <v>0</v>
      </c>
      <c r="AS1659" s="53">
        <f t="shared" si="312"/>
        <v>0</v>
      </c>
      <c r="AT1659" s="53">
        <f t="shared" si="312"/>
        <v>0</v>
      </c>
      <c r="AU1659" s="53">
        <f t="shared" si="312"/>
        <v>0</v>
      </c>
      <c r="AV1659" s="53">
        <f t="shared" si="312"/>
        <v>0</v>
      </c>
      <c r="AW1659" s="53">
        <f t="shared" si="312"/>
        <v>0</v>
      </c>
      <c r="AX1659" s="53">
        <f t="shared" ref="AX1659:AX1665" si="313">$G1659*E1659</f>
        <v>0</v>
      </c>
      <c r="AY1659" s="41" t="s">
        <v>557</v>
      </c>
    </row>
    <row r="1660" spans="1:51" x14ac:dyDescent="0.2">
      <c r="A1660" s="41" t="s">
        <v>143</v>
      </c>
      <c r="B1660" s="41">
        <v>2012</v>
      </c>
      <c r="C1660" s="41" t="s">
        <v>87</v>
      </c>
      <c r="D1660" s="41" t="s">
        <v>88</v>
      </c>
      <c r="E1660" s="41">
        <v>100</v>
      </c>
      <c r="F1660" s="41" t="s">
        <v>659</v>
      </c>
      <c r="AM1660" s="53">
        <v>96967000</v>
      </c>
      <c r="AO1660" s="53">
        <f t="shared" si="312"/>
        <v>0</v>
      </c>
      <c r="AP1660" s="53">
        <f t="shared" si="312"/>
        <v>0</v>
      </c>
      <c r="AQ1660" s="53">
        <f t="shared" si="312"/>
        <v>0</v>
      </c>
      <c r="AR1660" s="53">
        <f t="shared" si="312"/>
        <v>0</v>
      </c>
      <c r="AS1660" s="53">
        <f t="shared" si="312"/>
        <v>0</v>
      </c>
      <c r="AT1660" s="53">
        <f t="shared" si="312"/>
        <v>0</v>
      </c>
      <c r="AU1660" s="53">
        <f t="shared" si="312"/>
        <v>0</v>
      </c>
      <c r="AV1660" s="53">
        <f t="shared" si="312"/>
        <v>0</v>
      </c>
      <c r="AW1660" s="53">
        <f t="shared" si="312"/>
        <v>0</v>
      </c>
      <c r="AX1660" s="53">
        <f t="shared" si="313"/>
        <v>0</v>
      </c>
      <c r="AY1660" s="41" t="s">
        <v>557</v>
      </c>
    </row>
    <row r="1661" spans="1:51" x14ac:dyDescent="0.2">
      <c r="A1661" s="41" t="s">
        <v>143</v>
      </c>
      <c r="B1661" s="41">
        <v>2013</v>
      </c>
      <c r="C1661" s="41" t="s">
        <v>87</v>
      </c>
      <c r="D1661" s="41" t="s">
        <v>88</v>
      </c>
      <c r="E1661" s="41">
        <v>100</v>
      </c>
      <c r="F1661" s="41" t="s">
        <v>659</v>
      </c>
      <c r="G1661" s="53">
        <v>1800000</v>
      </c>
      <c r="H1661" s="47">
        <v>0.97777777777777775</v>
      </c>
      <c r="J1661" s="47">
        <v>12.931111111111111</v>
      </c>
      <c r="R1661" s="76">
        <f>S1661*4</f>
        <v>134288</v>
      </c>
      <c r="S1661" s="53">
        <v>33572</v>
      </c>
      <c r="U1661" s="53">
        <v>11638</v>
      </c>
      <c r="AH1661" s="53">
        <v>442000</v>
      </c>
      <c r="AM1661" s="53">
        <v>87380000</v>
      </c>
      <c r="AO1661" s="53">
        <f t="shared" si="312"/>
        <v>1760000</v>
      </c>
      <c r="AP1661" s="53">
        <f t="shared" si="312"/>
        <v>0</v>
      </c>
      <c r="AQ1661" s="53">
        <f t="shared" si="312"/>
        <v>23276000</v>
      </c>
      <c r="AR1661" s="53">
        <f t="shared" si="312"/>
        <v>0</v>
      </c>
      <c r="AS1661" s="53">
        <f t="shared" si="312"/>
        <v>0</v>
      </c>
      <c r="AT1661" s="53">
        <f t="shared" si="312"/>
        <v>0</v>
      </c>
      <c r="AU1661" s="53">
        <f t="shared" si="312"/>
        <v>0</v>
      </c>
      <c r="AV1661" s="53">
        <f t="shared" si="312"/>
        <v>0</v>
      </c>
      <c r="AW1661" s="53">
        <f t="shared" si="312"/>
        <v>0</v>
      </c>
      <c r="AX1661" s="53">
        <f t="shared" si="313"/>
        <v>180000000</v>
      </c>
      <c r="AY1661" s="41" t="s">
        <v>557</v>
      </c>
    </row>
    <row r="1662" spans="1:51" x14ac:dyDescent="0.2">
      <c r="A1662" s="41" t="s">
        <v>143</v>
      </c>
      <c r="B1662" s="41">
        <v>2014</v>
      </c>
      <c r="C1662" s="41" t="s">
        <v>87</v>
      </c>
      <c r="D1662" s="41" t="s">
        <v>88</v>
      </c>
      <c r="E1662" s="41">
        <v>100</v>
      </c>
      <c r="F1662" s="41" t="s">
        <v>659</v>
      </c>
      <c r="G1662" s="53">
        <v>15061973.333333334</v>
      </c>
      <c r="H1662" s="41">
        <v>1.25</v>
      </c>
      <c r="J1662" s="47">
        <v>33.128992394090901</v>
      </c>
      <c r="R1662" s="76">
        <f>S1662*4</f>
        <v>564824</v>
      </c>
      <c r="S1662" s="53">
        <v>141206</v>
      </c>
      <c r="U1662" s="53">
        <v>249494</v>
      </c>
      <c r="AH1662" s="53">
        <v>11652000</v>
      </c>
      <c r="AM1662" s="53">
        <v>90711000</v>
      </c>
      <c r="AO1662" s="53">
        <f t="shared" si="312"/>
        <v>18827466.666666668</v>
      </c>
      <c r="AP1662" s="53">
        <f t="shared" si="312"/>
        <v>0</v>
      </c>
      <c r="AQ1662" s="53">
        <f t="shared" si="312"/>
        <v>498988000</v>
      </c>
      <c r="AR1662" s="53">
        <f t="shared" si="312"/>
        <v>0</v>
      </c>
      <c r="AS1662" s="53">
        <f t="shared" si="312"/>
        <v>0</v>
      </c>
      <c r="AT1662" s="53">
        <f t="shared" si="312"/>
        <v>0</v>
      </c>
      <c r="AU1662" s="53">
        <f t="shared" si="312"/>
        <v>0</v>
      </c>
      <c r="AV1662" s="53">
        <f t="shared" si="312"/>
        <v>0</v>
      </c>
      <c r="AW1662" s="53">
        <f t="shared" si="312"/>
        <v>0</v>
      </c>
      <c r="AX1662" s="53">
        <f t="shared" si="313"/>
        <v>1506197333.3333335</v>
      </c>
      <c r="AY1662" s="41" t="s">
        <v>557</v>
      </c>
    </row>
    <row r="1663" spans="1:51" x14ac:dyDescent="0.2">
      <c r="A1663" s="41" t="s">
        <v>143</v>
      </c>
      <c r="B1663" s="41">
        <v>2015</v>
      </c>
      <c r="C1663" s="41" t="s">
        <v>87</v>
      </c>
      <c r="D1663" s="41" t="s">
        <v>88</v>
      </c>
      <c r="E1663" s="41">
        <v>100</v>
      </c>
      <c r="F1663" s="41" t="s">
        <v>659</v>
      </c>
      <c r="G1663" s="53">
        <v>30260952.380952377</v>
      </c>
      <c r="H1663" s="41">
        <v>1.05</v>
      </c>
      <c r="J1663" s="47">
        <v>19.368128029206272</v>
      </c>
      <c r="R1663" s="76">
        <f>S1663*4</f>
        <v>953220</v>
      </c>
      <c r="S1663" s="53">
        <v>238305</v>
      </c>
      <c r="U1663" s="53">
        <v>293049</v>
      </c>
      <c r="AH1663" s="53">
        <v>16357000</v>
      </c>
      <c r="AM1663" s="53">
        <v>85336000</v>
      </c>
      <c r="AO1663" s="53">
        <f t="shared" si="312"/>
        <v>31773999.999999996</v>
      </c>
      <c r="AP1663" s="53">
        <f t="shared" si="312"/>
        <v>0</v>
      </c>
      <c r="AQ1663" s="53">
        <f t="shared" si="312"/>
        <v>586098000</v>
      </c>
      <c r="AR1663" s="53">
        <f t="shared" si="312"/>
        <v>0</v>
      </c>
      <c r="AS1663" s="53">
        <f t="shared" si="312"/>
        <v>0</v>
      </c>
      <c r="AT1663" s="53">
        <f t="shared" si="312"/>
        <v>0</v>
      </c>
      <c r="AU1663" s="53">
        <f t="shared" si="312"/>
        <v>0</v>
      </c>
      <c r="AV1663" s="53">
        <f t="shared" si="312"/>
        <v>0</v>
      </c>
      <c r="AW1663" s="53">
        <f t="shared" si="312"/>
        <v>0</v>
      </c>
      <c r="AX1663" s="53">
        <f t="shared" si="313"/>
        <v>3026095238.0952377</v>
      </c>
      <c r="AY1663" s="41" t="s">
        <v>557</v>
      </c>
    </row>
    <row r="1664" spans="1:51" x14ac:dyDescent="0.2">
      <c r="A1664" s="41" t="s">
        <v>143</v>
      </c>
      <c r="B1664" s="41">
        <v>2016</v>
      </c>
      <c r="C1664" s="41" t="s">
        <v>87</v>
      </c>
      <c r="D1664" s="41" t="s">
        <v>88</v>
      </c>
      <c r="E1664" s="41">
        <v>100</v>
      </c>
      <c r="F1664" s="41" t="s">
        <v>659</v>
      </c>
      <c r="G1664" s="53">
        <v>30682200.647249192</v>
      </c>
      <c r="H1664" s="41">
        <v>1.03</v>
      </c>
      <c r="J1664" s="41">
        <v>20</v>
      </c>
      <c r="R1664" s="76">
        <f>S1664*4</f>
        <v>948080</v>
      </c>
      <c r="S1664" s="53">
        <v>237020</v>
      </c>
      <c r="U1664" s="53">
        <v>306822.00647249189</v>
      </c>
      <c r="AH1664" s="53">
        <v>18042000</v>
      </c>
      <c r="AM1664" s="53">
        <v>90022000</v>
      </c>
      <c r="AO1664" s="53">
        <f t="shared" si="312"/>
        <v>31602666.666666668</v>
      </c>
      <c r="AP1664" s="53">
        <f t="shared" si="312"/>
        <v>0</v>
      </c>
      <c r="AQ1664" s="53">
        <f t="shared" si="312"/>
        <v>613644012.94498384</v>
      </c>
      <c r="AR1664" s="53">
        <f t="shared" si="312"/>
        <v>0</v>
      </c>
      <c r="AS1664" s="53">
        <f t="shared" si="312"/>
        <v>0</v>
      </c>
      <c r="AT1664" s="53">
        <f t="shared" si="312"/>
        <v>0</v>
      </c>
      <c r="AU1664" s="53">
        <f t="shared" si="312"/>
        <v>0</v>
      </c>
      <c r="AV1664" s="53">
        <f t="shared" si="312"/>
        <v>0</v>
      </c>
      <c r="AW1664" s="53">
        <f t="shared" si="312"/>
        <v>0</v>
      </c>
      <c r="AX1664" s="53">
        <f t="shared" si="313"/>
        <v>3068220064.7249193</v>
      </c>
      <c r="AY1664" s="41" t="s">
        <v>557</v>
      </c>
    </row>
    <row r="1665" spans="1:51" x14ac:dyDescent="0.2">
      <c r="A1665" s="41" t="s">
        <v>143</v>
      </c>
      <c r="B1665" s="58" t="s">
        <v>567</v>
      </c>
      <c r="C1665" s="41" t="s">
        <v>87</v>
      </c>
      <c r="D1665" s="41" t="s">
        <v>88</v>
      </c>
      <c r="E1665" s="41">
        <v>100</v>
      </c>
      <c r="F1665" s="41" t="s">
        <v>659</v>
      </c>
      <c r="G1665" s="76">
        <f>0.5*32000000</f>
        <v>16000000</v>
      </c>
      <c r="H1665" s="58">
        <v>1</v>
      </c>
      <c r="J1665" s="58">
        <v>20</v>
      </c>
      <c r="R1665" s="76">
        <f>S1665*4</f>
        <v>480000</v>
      </c>
      <c r="S1665" s="76">
        <f>0.75*H1665*G1665/100</f>
        <v>120000</v>
      </c>
      <c r="U1665" s="76">
        <f>0.5*J1665*G1665/1000</f>
        <v>160000</v>
      </c>
      <c r="AH1665" s="76">
        <f>0.5*20000000</f>
        <v>10000000</v>
      </c>
      <c r="AM1665" s="76">
        <f>0.5*90000000</f>
        <v>45000000</v>
      </c>
      <c r="AO1665" s="53">
        <f t="shared" si="312"/>
        <v>16000000</v>
      </c>
      <c r="AP1665" s="53">
        <f t="shared" si="312"/>
        <v>0</v>
      </c>
      <c r="AQ1665" s="53">
        <f t="shared" si="312"/>
        <v>320000000</v>
      </c>
      <c r="AR1665" s="53">
        <f t="shared" si="312"/>
        <v>0</v>
      </c>
      <c r="AS1665" s="53">
        <f t="shared" si="312"/>
        <v>0</v>
      </c>
      <c r="AT1665" s="53">
        <f t="shared" si="312"/>
        <v>0</v>
      </c>
      <c r="AU1665" s="53">
        <f t="shared" si="312"/>
        <v>0</v>
      </c>
      <c r="AV1665" s="53">
        <f t="shared" si="312"/>
        <v>0</v>
      </c>
      <c r="AW1665" s="53">
        <f t="shared" si="312"/>
        <v>0</v>
      </c>
      <c r="AX1665" s="53">
        <f t="shared" si="313"/>
        <v>1600000000</v>
      </c>
      <c r="AY1665" s="41" t="s">
        <v>557</v>
      </c>
    </row>
    <row r="1666" spans="1:51" x14ac:dyDescent="0.2">
      <c r="A1666" s="41" t="s">
        <v>143</v>
      </c>
      <c r="B1666" s="60" t="s">
        <v>559</v>
      </c>
      <c r="C1666" s="60" t="s">
        <v>87</v>
      </c>
      <c r="D1666" s="60" t="s">
        <v>88</v>
      </c>
      <c r="E1666" s="60">
        <v>100</v>
      </c>
      <c r="F1666" s="60" t="s">
        <v>659</v>
      </c>
      <c r="G1666" s="79">
        <f>SUM(G1661:G1665)</f>
        <v>93805126.361534908</v>
      </c>
      <c r="H1666" s="80">
        <f>AO1666/SUM($G1661:$G1665)</f>
        <v>1.0656574668218126</v>
      </c>
      <c r="J1666" s="98">
        <f>AQ1666/SUM($G1661:$G1665)</f>
        <v>21.768597220101555</v>
      </c>
      <c r="R1666" s="79">
        <f>SUM(R1661:R1665)</f>
        <v>3080412</v>
      </c>
      <c r="S1666" s="79">
        <f>SUM(S1661:S1665)</f>
        <v>770103</v>
      </c>
      <c r="U1666" s="79">
        <f>SUM(U1661:U1665)</f>
        <v>1021003.0064724919</v>
      </c>
      <c r="AH1666" s="79">
        <f>SUM(AH1661:AH1665)</f>
        <v>56493000</v>
      </c>
      <c r="AM1666" s="79">
        <f>SUM(AM1659:AM1665)</f>
        <v>561310000</v>
      </c>
      <c r="AO1666" s="79">
        <f>SUM(AO1659:AO1665)</f>
        <v>99964133.333333328</v>
      </c>
      <c r="AP1666" s="79">
        <f t="shared" ref="AP1666:AX1666" si="314">SUM(AP1659:AP1665)</f>
        <v>0</v>
      </c>
      <c r="AQ1666" s="79">
        <f t="shared" si="314"/>
        <v>2042006012.944984</v>
      </c>
      <c r="AR1666" s="79">
        <f t="shared" si="314"/>
        <v>0</v>
      </c>
      <c r="AS1666" s="79">
        <f t="shared" si="314"/>
        <v>0</v>
      </c>
      <c r="AT1666" s="79">
        <f t="shared" si="314"/>
        <v>0</v>
      </c>
      <c r="AU1666" s="79">
        <f t="shared" si="314"/>
        <v>0</v>
      </c>
      <c r="AV1666" s="79">
        <f t="shared" si="314"/>
        <v>0</v>
      </c>
      <c r="AW1666" s="79">
        <f t="shared" si="314"/>
        <v>0</v>
      </c>
      <c r="AX1666" s="79">
        <f t="shared" si="314"/>
        <v>9380512636.153492</v>
      </c>
      <c r="AY1666" s="41" t="s">
        <v>557</v>
      </c>
    </row>
    <row r="1667" spans="1:51" x14ac:dyDescent="0.2">
      <c r="A1667" s="41" t="s">
        <v>143</v>
      </c>
      <c r="B1667" s="43" t="s">
        <v>560</v>
      </c>
      <c r="G1667" s="53">
        <f>STDEV(G1661:G1665)</f>
        <v>12076271.878291581</v>
      </c>
      <c r="H1667" s="46">
        <f>STDEV(H1661:H1665)</f>
        <v>0.10891326257821909</v>
      </c>
      <c r="J1667" s="47">
        <f>STDEV(J1661:J1665)</f>
        <v>7.3628417420993015</v>
      </c>
      <c r="R1667" s="53">
        <f>STDEV(R1661:R1665)</f>
        <v>345382.34421116544</v>
      </c>
      <c r="S1667" s="53">
        <f>STDEV(S1661:S1665)</f>
        <v>86345.586052791361</v>
      </c>
      <c r="U1667" s="53">
        <f>STDEV(U1661:U1665)</f>
        <v>121974.10718225445</v>
      </c>
      <c r="AH1667" s="53">
        <f>STDEV(AH1661:AH1665)</f>
        <v>6905394.1089556934</v>
      </c>
      <c r="AM1667" s="53">
        <f>STDEV(AM1661:AM1665)</f>
        <v>19510395.823765341</v>
      </c>
      <c r="AY1667" s="41" t="s">
        <v>557</v>
      </c>
    </row>
    <row r="1668" spans="1:51" x14ac:dyDescent="0.2">
      <c r="A1668" s="41" t="s">
        <v>143</v>
      </c>
      <c r="B1668" s="81" t="s">
        <v>249</v>
      </c>
      <c r="G1668" s="41">
        <f>COUNT(G1661:G1665)</f>
        <v>5</v>
      </c>
      <c r="H1668" s="41">
        <f>COUNT(H1661:H1665)</f>
        <v>5</v>
      </c>
      <c r="J1668" s="41">
        <f>COUNT(J1661:J1665)</f>
        <v>5</v>
      </c>
      <c r="R1668" s="41">
        <f>COUNT(R1661:R1665)</f>
        <v>5</v>
      </c>
      <c r="S1668" s="41">
        <f>COUNT(S1661:S1665)</f>
        <v>5</v>
      </c>
      <c r="U1668" s="41">
        <f>COUNT(U1661:U1665)</f>
        <v>5</v>
      </c>
      <c r="AH1668" s="41">
        <f>COUNT(AH1661:AH1665)</f>
        <v>5</v>
      </c>
      <c r="AM1668" s="41">
        <f>COUNT(AM1661:AM1665)</f>
        <v>5</v>
      </c>
      <c r="AY1668" s="41" t="s">
        <v>557</v>
      </c>
    </row>
    <row r="1669" spans="1:51" x14ac:dyDescent="0.2">
      <c r="A1669" s="82"/>
      <c r="B1669" s="82"/>
      <c r="C1669" s="82"/>
      <c r="D1669" s="82"/>
      <c r="E1669" s="82"/>
      <c r="F1669" s="82"/>
      <c r="G1669" s="82"/>
      <c r="H1669" s="82"/>
      <c r="I1669" s="82"/>
      <c r="J1669" s="82"/>
      <c r="K1669" s="82"/>
      <c r="L1669" s="82"/>
      <c r="M1669" s="82"/>
      <c r="N1669" s="82"/>
      <c r="O1669" s="82"/>
      <c r="P1669" s="82"/>
      <c r="Q1669" s="82"/>
      <c r="R1669" s="82"/>
      <c r="S1669" s="82"/>
      <c r="T1669" s="82"/>
      <c r="U1669" s="82"/>
      <c r="V1669" s="82"/>
      <c r="W1669" s="82"/>
      <c r="X1669" s="82"/>
      <c r="Y1669" s="82"/>
      <c r="Z1669" s="82"/>
      <c r="AA1669" s="82"/>
      <c r="AB1669" s="82"/>
      <c r="AC1669" s="82"/>
      <c r="AD1669" s="82"/>
      <c r="AE1669" s="82"/>
      <c r="AF1669" s="82"/>
      <c r="AG1669" s="82"/>
      <c r="AH1669" s="82"/>
      <c r="AI1669" s="82"/>
      <c r="AJ1669" s="82"/>
      <c r="AK1669" s="82"/>
      <c r="AL1669" s="82"/>
      <c r="AM1669" s="82"/>
      <c r="AN1669" s="82"/>
      <c r="AO1669" s="82"/>
      <c r="AP1669" s="82"/>
      <c r="AQ1669" s="82"/>
      <c r="AR1669" s="82"/>
      <c r="AS1669" s="82"/>
      <c r="AT1669" s="82"/>
      <c r="AU1669" s="82"/>
      <c r="AV1669" s="82"/>
      <c r="AW1669" s="82"/>
      <c r="AX1669" s="82"/>
      <c r="AY1669" s="41" t="s">
        <v>557</v>
      </c>
    </row>
    <row r="1670" spans="1:51" x14ac:dyDescent="0.2">
      <c r="A1670" s="48" t="s">
        <v>660</v>
      </c>
      <c r="B1670" s="41">
        <v>1987</v>
      </c>
      <c r="C1670" s="41" t="s">
        <v>87</v>
      </c>
      <c r="D1670" s="41" t="s">
        <v>401</v>
      </c>
      <c r="E1670" s="41">
        <v>100</v>
      </c>
      <c r="F1670" s="41" t="s">
        <v>390</v>
      </c>
      <c r="G1670" s="53">
        <v>500000</v>
      </c>
      <c r="I1670" s="41">
        <v>0.78</v>
      </c>
      <c r="T1670" s="123">
        <f>3884*31.1/1000</f>
        <v>120.79240000000001</v>
      </c>
      <c r="AO1670" s="53">
        <f t="shared" ref="AO1670:AW1698" si="315">$G1670*H1670</f>
        <v>0</v>
      </c>
      <c r="AP1670" s="53">
        <f t="shared" si="315"/>
        <v>390000</v>
      </c>
      <c r="AQ1670" s="53">
        <f t="shared" si="315"/>
        <v>0</v>
      </c>
      <c r="AR1670" s="53">
        <f t="shared" si="315"/>
        <v>0</v>
      </c>
      <c r="AS1670" s="53">
        <f t="shared" si="315"/>
        <v>0</v>
      </c>
      <c r="AT1670" s="53">
        <f t="shared" si="315"/>
        <v>0</v>
      </c>
      <c r="AU1670" s="53">
        <f t="shared" si="315"/>
        <v>0</v>
      </c>
      <c r="AV1670" s="53">
        <f t="shared" si="315"/>
        <v>0</v>
      </c>
      <c r="AW1670" s="53">
        <f t="shared" si="315"/>
        <v>0</v>
      </c>
      <c r="AX1670" s="53">
        <f t="shared" ref="AX1670:AX1699" si="316">$G1670*E1670</f>
        <v>50000000</v>
      </c>
      <c r="AY1670" s="41" t="s">
        <v>557</v>
      </c>
    </row>
    <row r="1671" spans="1:51" x14ac:dyDescent="0.2">
      <c r="A1671" s="48" t="s">
        <v>660</v>
      </c>
      <c r="B1671" s="41">
        <v>1988</v>
      </c>
      <c r="C1671" s="41" t="s">
        <v>87</v>
      </c>
      <c r="D1671" s="41" t="s">
        <v>401</v>
      </c>
      <c r="E1671" s="41">
        <v>100</v>
      </c>
      <c r="F1671" s="41" t="s">
        <v>390</v>
      </c>
      <c r="G1671" s="53">
        <v>6200000</v>
      </c>
      <c r="I1671" s="41">
        <v>0.77</v>
      </c>
      <c r="T1671" s="123">
        <f>113257*31.1/1000</f>
        <v>3522.2927</v>
      </c>
      <c r="AO1671" s="53">
        <f t="shared" si="315"/>
        <v>0</v>
      </c>
      <c r="AP1671" s="53">
        <f t="shared" si="315"/>
        <v>4774000</v>
      </c>
      <c r="AQ1671" s="53">
        <f t="shared" si="315"/>
        <v>0</v>
      </c>
      <c r="AR1671" s="53">
        <f t="shared" si="315"/>
        <v>0</v>
      </c>
      <c r="AS1671" s="53">
        <f t="shared" si="315"/>
        <v>0</v>
      </c>
      <c r="AT1671" s="53">
        <f t="shared" si="315"/>
        <v>0</v>
      </c>
      <c r="AU1671" s="53">
        <f t="shared" si="315"/>
        <v>0</v>
      </c>
      <c r="AV1671" s="53">
        <f t="shared" si="315"/>
        <v>0</v>
      </c>
      <c r="AW1671" s="53">
        <f t="shared" si="315"/>
        <v>0</v>
      </c>
      <c r="AX1671" s="53">
        <f t="shared" si="316"/>
        <v>620000000</v>
      </c>
      <c r="AY1671" s="41" t="s">
        <v>557</v>
      </c>
    </row>
    <row r="1672" spans="1:51" x14ac:dyDescent="0.2">
      <c r="A1672" s="48" t="s">
        <v>660</v>
      </c>
      <c r="B1672" s="41">
        <v>1989</v>
      </c>
      <c r="C1672" s="41" t="s">
        <v>87</v>
      </c>
      <c r="D1672" s="41" t="s">
        <v>401</v>
      </c>
      <c r="E1672" s="41">
        <v>100</v>
      </c>
      <c r="F1672" s="41" t="s">
        <v>390</v>
      </c>
      <c r="G1672" s="53">
        <v>8200000</v>
      </c>
      <c r="I1672" s="41">
        <v>0.67</v>
      </c>
      <c r="T1672" s="123">
        <f>145844*31.1/1000</f>
        <v>4535.7484000000004</v>
      </c>
      <c r="AO1672" s="53">
        <f t="shared" si="315"/>
        <v>0</v>
      </c>
      <c r="AP1672" s="53">
        <f t="shared" si="315"/>
        <v>5494000</v>
      </c>
      <c r="AQ1672" s="53">
        <f t="shared" si="315"/>
        <v>0</v>
      </c>
      <c r="AR1672" s="53">
        <f t="shared" si="315"/>
        <v>0</v>
      </c>
      <c r="AS1672" s="53">
        <f t="shared" si="315"/>
        <v>0</v>
      </c>
      <c r="AT1672" s="53">
        <f t="shared" si="315"/>
        <v>0</v>
      </c>
      <c r="AU1672" s="53">
        <f t="shared" si="315"/>
        <v>0</v>
      </c>
      <c r="AV1672" s="53">
        <f t="shared" si="315"/>
        <v>0</v>
      </c>
      <c r="AW1672" s="53">
        <f t="shared" si="315"/>
        <v>0</v>
      </c>
      <c r="AX1672" s="53">
        <f t="shared" si="316"/>
        <v>820000000</v>
      </c>
      <c r="AY1672" s="41" t="s">
        <v>557</v>
      </c>
    </row>
    <row r="1673" spans="1:51" x14ac:dyDescent="0.2">
      <c r="A1673" s="48" t="s">
        <v>660</v>
      </c>
      <c r="B1673" s="41">
        <v>1990</v>
      </c>
      <c r="C1673" s="41" t="s">
        <v>87</v>
      </c>
      <c r="D1673" s="41" t="s">
        <v>401</v>
      </c>
      <c r="E1673" s="41">
        <v>100</v>
      </c>
      <c r="F1673" s="41" t="s">
        <v>390</v>
      </c>
      <c r="G1673" s="53">
        <v>9300000</v>
      </c>
      <c r="I1673" s="41">
        <v>0.64</v>
      </c>
      <c r="T1673" s="123">
        <f>160258*31.1/1000</f>
        <v>4984.0237999999999</v>
      </c>
      <c r="AO1673" s="53">
        <f t="shared" si="315"/>
        <v>0</v>
      </c>
      <c r="AP1673" s="53">
        <f t="shared" si="315"/>
        <v>5952000</v>
      </c>
      <c r="AQ1673" s="53">
        <f t="shared" si="315"/>
        <v>0</v>
      </c>
      <c r="AR1673" s="53">
        <f t="shared" si="315"/>
        <v>0</v>
      </c>
      <c r="AS1673" s="53">
        <f t="shared" si="315"/>
        <v>0</v>
      </c>
      <c r="AT1673" s="53">
        <f t="shared" si="315"/>
        <v>0</v>
      </c>
      <c r="AU1673" s="53">
        <f t="shared" si="315"/>
        <v>0</v>
      </c>
      <c r="AV1673" s="53">
        <f t="shared" si="315"/>
        <v>0</v>
      </c>
      <c r="AW1673" s="53">
        <f t="shared" si="315"/>
        <v>0</v>
      </c>
      <c r="AX1673" s="53">
        <f t="shared" si="316"/>
        <v>930000000</v>
      </c>
      <c r="AY1673" s="41" t="s">
        <v>557</v>
      </c>
    </row>
    <row r="1674" spans="1:51" x14ac:dyDescent="0.2">
      <c r="A1674" s="48" t="s">
        <v>660</v>
      </c>
      <c r="B1674" s="41">
        <v>1991</v>
      </c>
      <c r="C1674" s="41" t="s">
        <v>87</v>
      </c>
      <c r="D1674" s="41" t="s">
        <v>401</v>
      </c>
      <c r="E1674" s="41">
        <v>100</v>
      </c>
      <c r="F1674" s="41" t="s">
        <v>390</v>
      </c>
      <c r="G1674" s="53">
        <v>10100000</v>
      </c>
      <c r="I1674" s="41">
        <v>0.61</v>
      </c>
      <c r="T1674" s="123">
        <f>166053*31.1/1000</f>
        <v>5164.2483000000002</v>
      </c>
      <c r="AO1674" s="53">
        <f t="shared" si="315"/>
        <v>0</v>
      </c>
      <c r="AP1674" s="53">
        <f t="shared" si="315"/>
        <v>6161000</v>
      </c>
      <c r="AQ1674" s="53">
        <f t="shared" si="315"/>
        <v>0</v>
      </c>
      <c r="AR1674" s="53">
        <f t="shared" si="315"/>
        <v>0</v>
      </c>
      <c r="AS1674" s="53">
        <f t="shared" si="315"/>
        <v>0</v>
      </c>
      <c r="AT1674" s="53">
        <f t="shared" si="315"/>
        <v>0</v>
      </c>
      <c r="AU1674" s="53">
        <f t="shared" si="315"/>
        <v>0</v>
      </c>
      <c r="AV1674" s="53">
        <f t="shared" si="315"/>
        <v>0</v>
      </c>
      <c r="AW1674" s="53">
        <f t="shared" si="315"/>
        <v>0</v>
      </c>
      <c r="AX1674" s="53">
        <f t="shared" si="316"/>
        <v>1010000000</v>
      </c>
      <c r="AY1674" s="41" t="s">
        <v>557</v>
      </c>
    </row>
    <row r="1675" spans="1:51" x14ac:dyDescent="0.2">
      <c r="A1675" s="48" t="s">
        <v>660</v>
      </c>
      <c r="B1675" s="41">
        <v>1992</v>
      </c>
      <c r="C1675" s="41" t="s">
        <v>87</v>
      </c>
      <c r="D1675" s="41" t="s">
        <v>401</v>
      </c>
      <c r="E1675" s="41">
        <v>100</v>
      </c>
      <c r="F1675" s="41" t="s">
        <v>390</v>
      </c>
      <c r="G1675" s="53">
        <v>10500000</v>
      </c>
      <c r="I1675" s="41">
        <v>0.57999999999999996</v>
      </c>
      <c r="T1675" s="123">
        <f>167000*31.1/1000</f>
        <v>5193.7</v>
      </c>
      <c r="AO1675" s="53">
        <f t="shared" si="315"/>
        <v>0</v>
      </c>
      <c r="AP1675" s="53">
        <f t="shared" si="315"/>
        <v>6090000</v>
      </c>
      <c r="AQ1675" s="53">
        <f t="shared" si="315"/>
        <v>0</v>
      </c>
      <c r="AR1675" s="53">
        <f t="shared" si="315"/>
        <v>0</v>
      </c>
      <c r="AS1675" s="53">
        <f t="shared" si="315"/>
        <v>0</v>
      </c>
      <c r="AT1675" s="53">
        <f t="shared" si="315"/>
        <v>0</v>
      </c>
      <c r="AU1675" s="53">
        <f t="shared" si="315"/>
        <v>0</v>
      </c>
      <c r="AV1675" s="53">
        <f t="shared" si="315"/>
        <v>0</v>
      </c>
      <c r="AW1675" s="53">
        <f t="shared" si="315"/>
        <v>0</v>
      </c>
      <c r="AX1675" s="53">
        <f t="shared" si="316"/>
        <v>1050000000</v>
      </c>
      <c r="AY1675" s="41" t="s">
        <v>557</v>
      </c>
    </row>
    <row r="1676" spans="1:51" x14ac:dyDescent="0.2">
      <c r="A1676" s="48" t="s">
        <v>660</v>
      </c>
      <c r="B1676" s="41">
        <v>1993</v>
      </c>
      <c r="C1676" s="41" t="s">
        <v>87</v>
      </c>
      <c r="D1676" s="41" t="s">
        <v>401</v>
      </c>
      <c r="E1676" s="41">
        <v>100</v>
      </c>
      <c r="F1676" s="41" t="s">
        <v>390</v>
      </c>
      <c r="G1676" s="53">
        <v>13000000</v>
      </c>
      <c r="I1676" s="46">
        <v>0.5</v>
      </c>
      <c r="T1676" s="123">
        <f>174699*31.1/1000</f>
        <v>5433.1388999999999</v>
      </c>
      <c r="AO1676" s="53">
        <f t="shared" si="315"/>
        <v>0</v>
      </c>
      <c r="AP1676" s="53">
        <f t="shared" si="315"/>
        <v>6500000</v>
      </c>
      <c r="AQ1676" s="53">
        <f t="shared" si="315"/>
        <v>0</v>
      </c>
      <c r="AR1676" s="53">
        <f t="shared" si="315"/>
        <v>0</v>
      </c>
      <c r="AS1676" s="53">
        <f t="shared" si="315"/>
        <v>0</v>
      </c>
      <c r="AT1676" s="53">
        <f t="shared" si="315"/>
        <v>0</v>
      </c>
      <c r="AU1676" s="53">
        <f t="shared" si="315"/>
        <v>0</v>
      </c>
      <c r="AV1676" s="53">
        <f t="shared" si="315"/>
        <v>0</v>
      </c>
      <c r="AW1676" s="53">
        <f t="shared" si="315"/>
        <v>0</v>
      </c>
      <c r="AX1676" s="53">
        <f t="shared" si="316"/>
        <v>1300000000</v>
      </c>
      <c r="AY1676" s="41" t="s">
        <v>557</v>
      </c>
    </row>
    <row r="1677" spans="1:51" x14ac:dyDescent="0.2">
      <c r="A1677" s="48" t="s">
        <v>660</v>
      </c>
      <c r="B1677" s="41">
        <v>1994</v>
      </c>
      <c r="C1677" s="41" t="s">
        <v>87</v>
      </c>
      <c r="D1677" s="41" t="s">
        <v>401</v>
      </c>
      <c r="E1677" s="41">
        <v>100</v>
      </c>
      <c r="F1677" s="41" t="s">
        <v>390</v>
      </c>
      <c r="G1677" s="53">
        <v>13400000</v>
      </c>
      <c r="I1677" s="46">
        <v>0.5</v>
      </c>
      <c r="T1677" s="123">
        <f>169003*31.1/1000</f>
        <v>5255.9933000000001</v>
      </c>
      <c r="AO1677" s="53">
        <f t="shared" si="315"/>
        <v>0</v>
      </c>
      <c r="AP1677" s="53">
        <f t="shared" si="315"/>
        <v>6700000</v>
      </c>
      <c r="AQ1677" s="53">
        <f t="shared" si="315"/>
        <v>0</v>
      </c>
      <c r="AR1677" s="53">
        <f t="shared" si="315"/>
        <v>0</v>
      </c>
      <c r="AS1677" s="53">
        <f t="shared" si="315"/>
        <v>0</v>
      </c>
      <c r="AT1677" s="53">
        <f t="shared" si="315"/>
        <v>0</v>
      </c>
      <c r="AU1677" s="53">
        <f t="shared" si="315"/>
        <v>0</v>
      </c>
      <c r="AV1677" s="53">
        <f t="shared" si="315"/>
        <v>0</v>
      </c>
      <c r="AW1677" s="53">
        <f t="shared" si="315"/>
        <v>0</v>
      </c>
      <c r="AX1677" s="53">
        <f t="shared" si="316"/>
        <v>1340000000</v>
      </c>
      <c r="AY1677" s="41" t="s">
        <v>557</v>
      </c>
    </row>
    <row r="1678" spans="1:51" x14ac:dyDescent="0.2">
      <c r="A1678" s="48" t="s">
        <v>660</v>
      </c>
      <c r="B1678" s="41">
        <v>1995</v>
      </c>
      <c r="C1678" s="41" t="s">
        <v>87</v>
      </c>
      <c r="D1678" s="41" t="s">
        <v>401</v>
      </c>
      <c r="E1678" s="41">
        <v>100</v>
      </c>
      <c r="F1678" s="41" t="s">
        <v>390</v>
      </c>
      <c r="G1678" s="53">
        <v>13600000</v>
      </c>
      <c r="I1678" s="41">
        <v>0.49</v>
      </c>
      <c r="T1678" s="123">
        <f>162844*31.1/1000</f>
        <v>5064.4484000000002</v>
      </c>
      <c r="AO1678" s="53">
        <f t="shared" si="315"/>
        <v>0</v>
      </c>
      <c r="AP1678" s="53">
        <f t="shared" si="315"/>
        <v>6664000</v>
      </c>
      <c r="AQ1678" s="53">
        <f t="shared" si="315"/>
        <v>0</v>
      </c>
      <c r="AR1678" s="53">
        <f t="shared" si="315"/>
        <v>0</v>
      </c>
      <c r="AS1678" s="53">
        <f t="shared" si="315"/>
        <v>0</v>
      </c>
      <c r="AT1678" s="53">
        <f t="shared" si="315"/>
        <v>0</v>
      </c>
      <c r="AU1678" s="53">
        <f t="shared" si="315"/>
        <v>0</v>
      </c>
      <c r="AV1678" s="53">
        <f t="shared" si="315"/>
        <v>0</v>
      </c>
      <c r="AW1678" s="53">
        <f t="shared" si="315"/>
        <v>0</v>
      </c>
      <c r="AX1678" s="53">
        <f t="shared" si="316"/>
        <v>1360000000</v>
      </c>
      <c r="AY1678" s="41" t="s">
        <v>557</v>
      </c>
    </row>
    <row r="1679" spans="1:51" x14ac:dyDescent="0.2">
      <c r="A1679" s="48" t="s">
        <v>660</v>
      </c>
      <c r="B1679" s="41">
        <v>1996</v>
      </c>
      <c r="C1679" s="41" t="s">
        <v>87</v>
      </c>
      <c r="D1679" s="41" t="s">
        <v>401</v>
      </c>
      <c r="E1679" s="41">
        <v>100</v>
      </c>
      <c r="F1679" s="41" t="s">
        <v>390</v>
      </c>
      <c r="G1679" s="53">
        <v>13500000</v>
      </c>
      <c r="I1679" s="46">
        <v>0.5</v>
      </c>
      <c r="T1679" s="123">
        <f>165646*31.1/1000</f>
        <v>5151.5906000000004</v>
      </c>
      <c r="AO1679" s="53">
        <f t="shared" si="315"/>
        <v>0</v>
      </c>
      <c r="AP1679" s="53">
        <f t="shared" si="315"/>
        <v>6750000</v>
      </c>
      <c r="AQ1679" s="53">
        <f t="shared" si="315"/>
        <v>0</v>
      </c>
      <c r="AR1679" s="53">
        <f t="shared" si="315"/>
        <v>0</v>
      </c>
      <c r="AS1679" s="53">
        <f t="shared" si="315"/>
        <v>0</v>
      </c>
      <c r="AT1679" s="53">
        <f t="shared" si="315"/>
        <v>0</v>
      </c>
      <c r="AU1679" s="53">
        <f t="shared" si="315"/>
        <v>0</v>
      </c>
      <c r="AV1679" s="53">
        <f t="shared" si="315"/>
        <v>0</v>
      </c>
      <c r="AW1679" s="53">
        <f t="shared" si="315"/>
        <v>0</v>
      </c>
      <c r="AX1679" s="53">
        <f t="shared" si="316"/>
        <v>1350000000</v>
      </c>
      <c r="AY1679" s="41" t="s">
        <v>557</v>
      </c>
    </row>
    <row r="1680" spans="1:51" x14ac:dyDescent="0.2">
      <c r="A1680" s="48" t="s">
        <v>660</v>
      </c>
      <c r="B1680" s="41">
        <v>1997</v>
      </c>
      <c r="C1680" s="41" t="s">
        <v>87</v>
      </c>
      <c r="D1680" s="41" t="s">
        <v>401</v>
      </c>
      <c r="E1680" s="41">
        <v>100</v>
      </c>
      <c r="F1680" s="41" t="s">
        <v>390</v>
      </c>
      <c r="G1680" s="53">
        <v>15310000</v>
      </c>
      <c r="I1680" s="41">
        <v>0.47</v>
      </c>
      <c r="S1680" s="53"/>
      <c r="T1680" s="123">
        <f>156687*31.1/1000</f>
        <v>4872.9656999999997</v>
      </c>
      <c r="AO1680" s="53">
        <f t="shared" si="315"/>
        <v>0</v>
      </c>
      <c r="AP1680" s="53">
        <f t="shared" si="315"/>
        <v>7195700</v>
      </c>
      <c r="AQ1680" s="53">
        <f t="shared" si="315"/>
        <v>0</v>
      </c>
      <c r="AR1680" s="53">
        <f t="shared" si="315"/>
        <v>0</v>
      </c>
      <c r="AS1680" s="53">
        <f t="shared" si="315"/>
        <v>0</v>
      </c>
      <c r="AT1680" s="53">
        <f t="shared" si="315"/>
        <v>0</v>
      </c>
      <c r="AU1680" s="53">
        <f t="shared" si="315"/>
        <v>0</v>
      </c>
      <c r="AV1680" s="53">
        <f t="shared" si="315"/>
        <v>0</v>
      </c>
      <c r="AW1680" s="53">
        <f t="shared" si="315"/>
        <v>0</v>
      </c>
      <c r="AX1680" s="53">
        <f t="shared" si="316"/>
        <v>1531000000</v>
      </c>
      <c r="AY1680" s="41" t="s">
        <v>557</v>
      </c>
    </row>
    <row r="1681" spans="1:51" x14ac:dyDescent="0.2">
      <c r="A1681" s="48" t="s">
        <v>660</v>
      </c>
      <c r="B1681" s="41">
        <v>1998</v>
      </c>
      <c r="C1681" s="41" t="s">
        <v>87</v>
      </c>
      <c r="D1681" s="41" t="s">
        <v>401</v>
      </c>
      <c r="E1681" s="41">
        <v>100</v>
      </c>
      <c r="F1681" s="41" t="s">
        <v>390</v>
      </c>
      <c r="G1681" s="53">
        <v>15613000</v>
      </c>
      <c r="I1681" s="41">
        <v>0.48</v>
      </c>
      <c r="S1681" s="53"/>
      <c r="T1681" s="123">
        <f>181305*31.1/1000</f>
        <v>5638.5855000000001</v>
      </c>
      <c r="AO1681" s="53">
        <f t="shared" si="315"/>
        <v>0</v>
      </c>
      <c r="AP1681" s="53">
        <f t="shared" si="315"/>
        <v>7494240</v>
      </c>
      <c r="AQ1681" s="53">
        <f t="shared" si="315"/>
        <v>0</v>
      </c>
      <c r="AR1681" s="53">
        <f t="shared" si="315"/>
        <v>0</v>
      </c>
      <c r="AS1681" s="53">
        <f t="shared" si="315"/>
        <v>0</v>
      </c>
      <c r="AT1681" s="53">
        <f t="shared" si="315"/>
        <v>0</v>
      </c>
      <c r="AU1681" s="53">
        <f t="shared" si="315"/>
        <v>0</v>
      </c>
      <c r="AV1681" s="53">
        <f t="shared" si="315"/>
        <v>0</v>
      </c>
      <c r="AW1681" s="53">
        <f t="shared" si="315"/>
        <v>0</v>
      </c>
      <c r="AX1681" s="53">
        <f t="shared" si="316"/>
        <v>1561300000</v>
      </c>
      <c r="AY1681" s="41" t="s">
        <v>557</v>
      </c>
    </row>
    <row r="1682" spans="1:51" x14ac:dyDescent="0.2">
      <c r="A1682" s="48" t="s">
        <v>660</v>
      </c>
      <c r="B1682" s="41">
        <v>1999</v>
      </c>
      <c r="C1682" s="41" t="s">
        <v>87</v>
      </c>
      <c r="D1682" s="41" t="s">
        <v>401</v>
      </c>
      <c r="E1682" s="41">
        <v>100</v>
      </c>
      <c r="F1682" s="41" t="s">
        <v>390</v>
      </c>
      <c r="G1682" s="53">
        <v>17475000</v>
      </c>
      <c r="I1682" s="41">
        <v>0.45</v>
      </c>
      <c r="S1682" s="53"/>
      <c r="T1682" s="123">
        <f>188938*31.1/1000</f>
        <v>5875.9718000000003</v>
      </c>
      <c r="AO1682" s="53">
        <f t="shared" si="315"/>
        <v>0</v>
      </c>
      <c r="AP1682" s="53">
        <f t="shared" si="315"/>
        <v>7863750</v>
      </c>
      <c r="AQ1682" s="53">
        <f t="shared" si="315"/>
        <v>0</v>
      </c>
      <c r="AR1682" s="53">
        <f t="shared" si="315"/>
        <v>0</v>
      </c>
      <c r="AS1682" s="53">
        <f t="shared" si="315"/>
        <v>0</v>
      </c>
      <c r="AT1682" s="53">
        <f t="shared" si="315"/>
        <v>0</v>
      </c>
      <c r="AU1682" s="53">
        <f t="shared" si="315"/>
        <v>0</v>
      </c>
      <c r="AV1682" s="53">
        <f t="shared" si="315"/>
        <v>0</v>
      </c>
      <c r="AW1682" s="53">
        <f t="shared" si="315"/>
        <v>0</v>
      </c>
      <c r="AX1682" s="53">
        <f t="shared" si="316"/>
        <v>1747500000</v>
      </c>
      <c r="AY1682" s="41" t="s">
        <v>557</v>
      </c>
    </row>
    <row r="1683" spans="1:51" x14ac:dyDescent="0.2">
      <c r="A1683" s="48" t="s">
        <v>660</v>
      </c>
      <c r="B1683" s="41">
        <v>2000</v>
      </c>
      <c r="C1683" s="41" t="s">
        <v>87</v>
      </c>
      <c r="D1683" s="41" t="s">
        <v>401</v>
      </c>
      <c r="E1683" s="41">
        <v>100</v>
      </c>
      <c r="F1683" s="41" t="s">
        <v>390</v>
      </c>
      <c r="G1683" s="53">
        <v>19745000</v>
      </c>
      <c r="I1683" s="41">
        <v>0.47</v>
      </c>
      <c r="S1683" s="53"/>
      <c r="T1683" s="123">
        <f>228866*31.1/1000</f>
        <v>7117.7326000000003</v>
      </c>
      <c r="AO1683" s="53">
        <f t="shared" si="315"/>
        <v>0</v>
      </c>
      <c r="AP1683" s="53">
        <f t="shared" si="315"/>
        <v>9280150</v>
      </c>
      <c r="AQ1683" s="53">
        <f t="shared" si="315"/>
        <v>0</v>
      </c>
      <c r="AR1683" s="53">
        <f t="shared" si="315"/>
        <v>0</v>
      </c>
      <c r="AS1683" s="53">
        <f t="shared" si="315"/>
        <v>0</v>
      </c>
      <c r="AT1683" s="53">
        <f t="shared" si="315"/>
        <v>0</v>
      </c>
      <c r="AU1683" s="53">
        <f t="shared" si="315"/>
        <v>0</v>
      </c>
      <c r="AV1683" s="53">
        <f t="shared" si="315"/>
        <v>0</v>
      </c>
      <c r="AW1683" s="53">
        <f t="shared" si="315"/>
        <v>0</v>
      </c>
      <c r="AX1683" s="53">
        <f t="shared" si="316"/>
        <v>1974500000</v>
      </c>
      <c r="AY1683" s="41" t="s">
        <v>557</v>
      </c>
    </row>
    <row r="1684" spans="1:51" x14ac:dyDescent="0.2">
      <c r="A1684" s="48" t="s">
        <v>660</v>
      </c>
      <c r="B1684" s="41">
        <v>2001</v>
      </c>
      <c r="C1684" s="41" t="s">
        <v>87</v>
      </c>
      <c r="D1684" s="41" t="s">
        <v>401</v>
      </c>
      <c r="E1684" s="41">
        <v>100</v>
      </c>
      <c r="F1684" s="41" t="s">
        <v>390</v>
      </c>
      <c r="G1684" s="53">
        <v>16500000</v>
      </c>
      <c r="I1684" s="41">
        <v>0.45</v>
      </c>
      <c r="T1684" s="123">
        <f>186915*31.1/1000</f>
        <v>5813.0564999999997</v>
      </c>
      <c r="AO1684" s="53">
        <f t="shared" si="315"/>
        <v>0</v>
      </c>
      <c r="AP1684" s="53">
        <f t="shared" si="315"/>
        <v>7425000</v>
      </c>
      <c r="AQ1684" s="53">
        <f t="shared" si="315"/>
        <v>0</v>
      </c>
      <c r="AR1684" s="53">
        <f t="shared" si="315"/>
        <v>0</v>
      </c>
      <c r="AS1684" s="53">
        <f t="shared" si="315"/>
        <v>0</v>
      </c>
      <c r="AT1684" s="53">
        <f t="shared" si="315"/>
        <v>0</v>
      </c>
      <c r="AU1684" s="53">
        <f t="shared" si="315"/>
        <v>0</v>
      </c>
      <c r="AV1684" s="53">
        <f t="shared" si="315"/>
        <v>0</v>
      </c>
      <c r="AW1684" s="53">
        <f t="shared" si="315"/>
        <v>0</v>
      </c>
      <c r="AX1684" s="53">
        <f t="shared" si="316"/>
        <v>1650000000</v>
      </c>
      <c r="AY1684" s="41" t="s">
        <v>557</v>
      </c>
    </row>
    <row r="1685" spans="1:51" x14ac:dyDescent="0.2">
      <c r="A1685" s="48" t="s">
        <v>660</v>
      </c>
      <c r="B1685" s="41">
        <v>2002</v>
      </c>
      <c r="C1685" s="41" t="s">
        <v>87</v>
      </c>
      <c r="D1685" s="41" t="s">
        <v>401</v>
      </c>
      <c r="E1685" s="41">
        <v>100</v>
      </c>
      <c r="F1685" s="41" t="s">
        <v>390</v>
      </c>
      <c r="G1685" s="53">
        <v>18400000</v>
      </c>
      <c r="I1685" s="41">
        <v>0.48</v>
      </c>
      <c r="T1685" s="123">
        <f>224539*31.1/1000</f>
        <v>6983.1629000000003</v>
      </c>
      <c r="AO1685" s="53">
        <f t="shared" si="315"/>
        <v>0</v>
      </c>
      <c r="AP1685" s="53">
        <f t="shared" si="315"/>
        <v>8832000</v>
      </c>
      <c r="AQ1685" s="53">
        <f t="shared" si="315"/>
        <v>0</v>
      </c>
      <c r="AR1685" s="53">
        <f t="shared" si="315"/>
        <v>0</v>
      </c>
      <c r="AS1685" s="53">
        <f t="shared" si="315"/>
        <v>0</v>
      </c>
      <c r="AT1685" s="53">
        <f t="shared" si="315"/>
        <v>0</v>
      </c>
      <c r="AU1685" s="53">
        <f t="shared" si="315"/>
        <v>0</v>
      </c>
      <c r="AV1685" s="53">
        <f t="shared" si="315"/>
        <v>0</v>
      </c>
      <c r="AW1685" s="53">
        <f t="shared" si="315"/>
        <v>0</v>
      </c>
      <c r="AX1685" s="53">
        <f t="shared" si="316"/>
        <v>1840000000</v>
      </c>
      <c r="AY1685" s="41" t="s">
        <v>557</v>
      </c>
    </row>
    <row r="1686" spans="1:51" x14ac:dyDescent="0.2">
      <c r="A1686" s="48" t="s">
        <v>660</v>
      </c>
      <c r="B1686" s="41">
        <v>2003</v>
      </c>
      <c r="C1686" s="41" t="s">
        <v>87</v>
      </c>
      <c r="D1686" s="41" t="s">
        <v>401</v>
      </c>
      <c r="E1686" s="41">
        <v>100</v>
      </c>
      <c r="F1686" s="41" t="s">
        <v>390</v>
      </c>
      <c r="G1686" s="53">
        <v>18426000</v>
      </c>
      <c r="I1686" s="41">
        <v>0.44</v>
      </c>
      <c r="T1686" s="123">
        <f>200691*31.1/1000</f>
        <v>6241.4901000000009</v>
      </c>
      <c r="AO1686" s="53">
        <f t="shared" si="315"/>
        <v>0</v>
      </c>
      <c r="AP1686" s="53">
        <f t="shared" si="315"/>
        <v>8107440</v>
      </c>
      <c r="AQ1686" s="53">
        <f t="shared" si="315"/>
        <v>0</v>
      </c>
      <c r="AR1686" s="53">
        <f t="shared" si="315"/>
        <v>0</v>
      </c>
      <c r="AS1686" s="53">
        <f t="shared" si="315"/>
        <v>0</v>
      </c>
      <c r="AT1686" s="53">
        <f t="shared" si="315"/>
        <v>0</v>
      </c>
      <c r="AU1686" s="53">
        <f t="shared" si="315"/>
        <v>0</v>
      </c>
      <c r="AV1686" s="53">
        <f t="shared" si="315"/>
        <v>0</v>
      </c>
      <c r="AW1686" s="53">
        <f t="shared" si="315"/>
        <v>0</v>
      </c>
      <c r="AX1686" s="53">
        <f t="shared" si="316"/>
        <v>1842600000</v>
      </c>
      <c r="AY1686" s="41" t="s">
        <v>557</v>
      </c>
    </row>
    <row r="1687" spans="1:51" x14ac:dyDescent="0.2">
      <c r="A1687" s="48" t="s">
        <v>660</v>
      </c>
      <c r="B1687" s="41">
        <v>2004</v>
      </c>
      <c r="C1687" s="41" t="s">
        <v>87</v>
      </c>
      <c r="D1687" s="41" t="s">
        <v>401</v>
      </c>
      <c r="E1687" s="41">
        <v>100</v>
      </c>
      <c r="F1687" s="41" t="s">
        <v>390</v>
      </c>
      <c r="G1687" s="53">
        <v>17342000</v>
      </c>
      <c r="I1687" s="41">
        <v>0.45</v>
      </c>
      <c r="T1687" s="123">
        <f>188574*31.1/1000</f>
        <v>5864.6514000000006</v>
      </c>
      <c r="AO1687" s="53">
        <f t="shared" si="315"/>
        <v>0</v>
      </c>
      <c r="AP1687" s="53">
        <f t="shared" si="315"/>
        <v>7803900</v>
      </c>
      <c r="AQ1687" s="53">
        <f t="shared" si="315"/>
        <v>0</v>
      </c>
      <c r="AR1687" s="53">
        <f t="shared" si="315"/>
        <v>0</v>
      </c>
      <c r="AS1687" s="53">
        <f t="shared" si="315"/>
        <v>0</v>
      </c>
      <c r="AT1687" s="53">
        <f t="shared" si="315"/>
        <v>0</v>
      </c>
      <c r="AU1687" s="53">
        <f t="shared" si="315"/>
        <v>0</v>
      </c>
      <c r="AV1687" s="53">
        <f t="shared" si="315"/>
        <v>0</v>
      </c>
      <c r="AW1687" s="53">
        <f t="shared" si="315"/>
        <v>0</v>
      </c>
      <c r="AX1687" s="53">
        <f t="shared" si="316"/>
        <v>1734200000</v>
      </c>
      <c r="AY1687" s="41" t="s">
        <v>557</v>
      </c>
    </row>
    <row r="1688" spans="1:51" x14ac:dyDescent="0.2">
      <c r="A1688" s="48" t="s">
        <v>660</v>
      </c>
      <c r="B1688" s="41">
        <v>2005</v>
      </c>
      <c r="C1688" s="41" t="s">
        <v>87</v>
      </c>
      <c r="D1688" s="41" t="s">
        <v>401</v>
      </c>
      <c r="E1688" s="41">
        <v>100</v>
      </c>
      <c r="F1688" s="41" t="s">
        <v>390</v>
      </c>
      <c r="G1688" s="53">
        <v>16945000</v>
      </c>
      <c r="I1688" s="41">
        <v>0.42</v>
      </c>
      <c r="T1688" s="123">
        <f>180522*31.1/1000</f>
        <v>5614.2341999999999</v>
      </c>
      <c r="AO1688" s="53">
        <f t="shared" si="315"/>
        <v>0</v>
      </c>
      <c r="AP1688" s="53">
        <f t="shared" si="315"/>
        <v>7116900</v>
      </c>
      <c r="AQ1688" s="53">
        <f t="shared" si="315"/>
        <v>0</v>
      </c>
      <c r="AR1688" s="53">
        <f t="shared" si="315"/>
        <v>0</v>
      </c>
      <c r="AS1688" s="53">
        <f t="shared" si="315"/>
        <v>0</v>
      </c>
      <c r="AT1688" s="53">
        <f t="shared" si="315"/>
        <v>0</v>
      </c>
      <c r="AU1688" s="53">
        <f t="shared" si="315"/>
        <v>0</v>
      </c>
      <c r="AV1688" s="53">
        <f t="shared" si="315"/>
        <v>0</v>
      </c>
      <c r="AW1688" s="53">
        <f t="shared" si="315"/>
        <v>0</v>
      </c>
      <c r="AX1688" s="53">
        <f t="shared" si="316"/>
        <v>1694500000</v>
      </c>
      <c r="AY1688" s="41" t="s">
        <v>557</v>
      </c>
    </row>
    <row r="1689" spans="1:51" x14ac:dyDescent="0.2">
      <c r="A1689" s="48" t="s">
        <v>660</v>
      </c>
      <c r="B1689" s="41">
        <v>2006</v>
      </c>
      <c r="C1689" s="41" t="s">
        <v>87</v>
      </c>
      <c r="D1689" s="41" t="s">
        <v>401</v>
      </c>
      <c r="E1689" s="41">
        <v>100</v>
      </c>
      <c r="F1689" s="41" t="s">
        <v>390</v>
      </c>
      <c r="G1689" s="53">
        <v>18137000</v>
      </c>
      <c r="I1689" s="41">
        <v>0.38</v>
      </c>
      <c r="T1689" s="123">
        <f>174254*31.1/1000</f>
        <v>5419.2994000000008</v>
      </c>
      <c r="AO1689" s="53">
        <f t="shared" si="315"/>
        <v>0</v>
      </c>
      <c r="AP1689" s="53">
        <f t="shared" si="315"/>
        <v>6892060</v>
      </c>
      <c r="AQ1689" s="53">
        <f t="shared" si="315"/>
        <v>0</v>
      </c>
      <c r="AR1689" s="53">
        <f t="shared" si="315"/>
        <v>0</v>
      </c>
      <c r="AS1689" s="53">
        <f t="shared" si="315"/>
        <v>0</v>
      </c>
      <c r="AT1689" s="53">
        <f t="shared" si="315"/>
        <v>0</v>
      </c>
      <c r="AU1689" s="53">
        <f t="shared" si="315"/>
        <v>0</v>
      </c>
      <c r="AV1689" s="53">
        <f t="shared" si="315"/>
        <v>0</v>
      </c>
      <c r="AW1689" s="53">
        <f t="shared" si="315"/>
        <v>0</v>
      </c>
      <c r="AX1689" s="53">
        <f t="shared" si="316"/>
        <v>1813700000</v>
      </c>
      <c r="AY1689" s="41" t="s">
        <v>557</v>
      </c>
    </row>
    <row r="1690" spans="1:51" x14ac:dyDescent="0.2">
      <c r="A1690" s="48" t="s">
        <v>660</v>
      </c>
      <c r="B1690" s="41">
        <v>2007</v>
      </c>
      <c r="C1690" s="41" t="s">
        <v>87</v>
      </c>
      <c r="D1690" s="41" t="s">
        <v>401</v>
      </c>
      <c r="E1690" s="41">
        <v>100</v>
      </c>
      <c r="F1690" s="41" t="s">
        <v>390</v>
      </c>
      <c r="G1690" s="53">
        <v>19285000</v>
      </c>
      <c r="I1690" s="41">
        <v>0.37</v>
      </c>
      <c r="T1690" s="123">
        <f>174987*31.1/1000</f>
        <v>5442.0956999999999</v>
      </c>
      <c r="AO1690" s="53">
        <f t="shared" si="315"/>
        <v>0</v>
      </c>
      <c r="AP1690" s="53">
        <f t="shared" si="315"/>
        <v>7135450</v>
      </c>
      <c r="AQ1690" s="53">
        <f t="shared" si="315"/>
        <v>0</v>
      </c>
      <c r="AR1690" s="53">
        <f t="shared" si="315"/>
        <v>0</v>
      </c>
      <c r="AS1690" s="53">
        <f t="shared" si="315"/>
        <v>0</v>
      </c>
      <c r="AT1690" s="53">
        <f t="shared" si="315"/>
        <v>0</v>
      </c>
      <c r="AU1690" s="53">
        <f t="shared" si="315"/>
        <v>0</v>
      </c>
      <c r="AV1690" s="53">
        <f t="shared" si="315"/>
        <v>0</v>
      </c>
      <c r="AW1690" s="53">
        <f t="shared" si="315"/>
        <v>0</v>
      </c>
      <c r="AX1690" s="53">
        <f t="shared" si="316"/>
        <v>1928500000</v>
      </c>
      <c r="AY1690" s="41" t="s">
        <v>557</v>
      </c>
    </row>
    <row r="1691" spans="1:51" x14ac:dyDescent="0.2">
      <c r="A1691" s="48" t="s">
        <v>660</v>
      </c>
      <c r="B1691" s="41">
        <v>2008</v>
      </c>
      <c r="C1691" s="41" t="s">
        <v>87</v>
      </c>
      <c r="D1691" s="41" t="s">
        <v>401</v>
      </c>
      <c r="E1691" s="41">
        <v>100</v>
      </c>
      <c r="F1691" s="41" t="s">
        <v>390</v>
      </c>
      <c r="G1691" s="53">
        <v>20307000</v>
      </c>
      <c r="I1691" s="41">
        <v>0.39</v>
      </c>
      <c r="T1691" s="123">
        <f>188156*31.1/1000</f>
        <v>5851.6516000000001</v>
      </c>
      <c r="AO1691" s="53">
        <f t="shared" si="315"/>
        <v>0</v>
      </c>
      <c r="AP1691" s="53">
        <f t="shared" si="315"/>
        <v>7919730</v>
      </c>
      <c r="AQ1691" s="53">
        <f t="shared" si="315"/>
        <v>0</v>
      </c>
      <c r="AR1691" s="53">
        <f t="shared" si="315"/>
        <v>0</v>
      </c>
      <c r="AS1691" s="53">
        <f t="shared" si="315"/>
        <v>0</v>
      </c>
      <c r="AT1691" s="53">
        <f t="shared" si="315"/>
        <v>0</v>
      </c>
      <c r="AU1691" s="53">
        <f t="shared" si="315"/>
        <v>0</v>
      </c>
      <c r="AV1691" s="53">
        <f t="shared" si="315"/>
        <v>0</v>
      </c>
      <c r="AW1691" s="53">
        <f t="shared" si="315"/>
        <v>0</v>
      </c>
      <c r="AX1691" s="53">
        <f t="shared" si="316"/>
        <v>2030700000</v>
      </c>
      <c r="AY1691" s="41" t="s">
        <v>557</v>
      </c>
    </row>
    <row r="1692" spans="1:51" x14ac:dyDescent="0.2">
      <c r="A1692" s="48" t="s">
        <v>660</v>
      </c>
      <c r="B1692" s="41">
        <v>2009</v>
      </c>
      <c r="C1692" s="41" t="s">
        <v>87</v>
      </c>
      <c r="D1692" s="41" t="s">
        <v>401</v>
      </c>
      <c r="E1692" s="41">
        <v>100</v>
      </c>
      <c r="F1692" s="41" t="s">
        <v>390</v>
      </c>
      <c r="G1692" s="53">
        <v>39744000</v>
      </c>
      <c r="I1692" s="41">
        <v>0.41</v>
      </c>
      <c r="T1692" s="123">
        <f>354396*31.1/1000</f>
        <v>11021.7156</v>
      </c>
      <c r="AO1692" s="53">
        <f t="shared" si="315"/>
        <v>0</v>
      </c>
      <c r="AP1692" s="53">
        <f t="shared" si="315"/>
        <v>16295039.999999998</v>
      </c>
      <c r="AQ1692" s="53">
        <f t="shared" si="315"/>
        <v>0</v>
      </c>
      <c r="AR1692" s="53">
        <f t="shared" si="315"/>
        <v>0</v>
      </c>
      <c r="AS1692" s="53">
        <f t="shared" si="315"/>
        <v>0</v>
      </c>
      <c r="AT1692" s="53">
        <f t="shared" si="315"/>
        <v>0</v>
      </c>
      <c r="AU1692" s="53">
        <f t="shared" si="315"/>
        <v>0</v>
      </c>
      <c r="AV1692" s="53">
        <f t="shared" si="315"/>
        <v>0</v>
      </c>
      <c r="AW1692" s="53">
        <f t="shared" si="315"/>
        <v>0</v>
      </c>
      <c r="AX1692" s="53">
        <f t="shared" si="316"/>
        <v>3974400000</v>
      </c>
      <c r="AY1692" s="41" t="s">
        <v>557</v>
      </c>
    </row>
    <row r="1693" spans="1:51" x14ac:dyDescent="0.2">
      <c r="A1693" s="48" t="s">
        <v>660</v>
      </c>
      <c r="B1693" s="41">
        <v>2010</v>
      </c>
      <c r="C1693" s="41" t="s">
        <v>87</v>
      </c>
      <c r="D1693" s="41" t="s">
        <v>401</v>
      </c>
      <c r="E1693" s="41">
        <v>100</v>
      </c>
      <c r="F1693" s="41" t="s">
        <v>390</v>
      </c>
      <c r="G1693" s="53">
        <v>42658000</v>
      </c>
      <c r="I1693" s="41">
        <v>0.45</v>
      </c>
      <c r="T1693" s="123">
        <f>482397*31.1/1000</f>
        <v>15002.546700000001</v>
      </c>
      <c r="AO1693" s="53">
        <f t="shared" si="315"/>
        <v>0</v>
      </c>
      <c r="AP1693" s="53">
        <f t="shared" si="315"/>
        <v>19196100</v>
      </c>
      <c r="AQ1693" s="53">
        <f t="shared" si="315"/>
        <v>0</v>
      </c>
      <c r="AR1693" s="53">
        <f t="shared" si="315"/>
        <v>0</v>
      </c>
      <c r="AS1693" s="53">
        <f t="shared" si="315"/>
        <v>0</v>
      </c>
      <c r="AT1693" s="53">
        <f t="shared" si="315"/>
        <v>0</v>
      </c>
      <c r="AU1693" s="53">
        <f t="shared" si="315"/>
        <v>0</v>
      </c>
      <c r="AV1693" s="53">
        <f t="shared" si="315"/>
        <v>0</v>
      </c>
      <c r="AW1693" s="53">
        <f t="shared" si="315"/>
        <v>0</v>
      </c>
      <c r="AX1693" s="53">
        <f t="shared" si="316"/>
        <v>4265800000</v>
      </c>
      <c r="AY1693" s="41" t="s">
        <v>557</v>
      </c>
    </row>
    <row r="1694" spans="1:51" x14ac:dyDescent="0.2">
      <c r="A1694" s="48" t="s">
        <v>660</v>
      </c>
      <c r="B1694" s="41">
        <v>2011</v>
      </c>
      <c r="C1694" s="41" t="s">
        <v>87</v>
      </c>
      <c r="D1694" s="41" t="s">
        <v>401</v>
      </c>
      <c r="E1694" s="41">
        <v>100</v>
      </c>
      <c r="F1694" s="41" t="s">
        <v>390</v>
      </c>
      <c r="G1694" s="53">
        <v>44532000</v>
      </c>
      <c r="I1694" s="41">
        <v>0.42</v>
      </c>
      <c r="T1694" s="123">
        <f>449605*31.1/1000</f>
        <v>13982.7155</v>
      </c>
      <c r="AO1694" s="53">
        <f t="shared" si="315"/>
        <v>0</v>
      </c>
      <c r="AP1694" s="53">
        <f t="shared" si="315"/>
        <v>18703440</v>
      </c>
      <c r="AQ1694" s="53">
        <f t="shared" si="315"/>
        <v>0</v>
      </c>
      <c r="AR1694" s="53">
        <f t="shared" si="315"/>
        <v>0</v>
      </c>
      <c r="AS1694" s="53">
        <f t="shared" si="315"/>
        <v>0</v>
      </c>
      <c r="AT1694" s="53">
        <f t="shared" si="315"/>
        <v>0</v>
      </c>
      <c r="AU1694" s="53">
        <f t="shared" si="315"/>
        <v>0</v>
      </c>
      <c r="AV1694" s="53">
        <f t="shared" si="315"/>
        <v>0</v>
      </c>
      <c r="AW1694" s="53">
        <f t="shared" si="315"/>
        <v>0</v>
      </c>
      <c r="AX1694" s="53">
        <f t="shared" si="316"/>
        <v>4453200000</v>
      </c>
      <c r="AY1694" s="41" t="s">
        <v>557</v>
      </c>
    </row>
    <row r="1695" spans="1:51" x14ac:dyDescent="0.2">
      <c r="A1695" s="48" t="s">
        <v>660</v>
      </c>
      <c r="B1695" s="41">
        <v>2012</v>
      </c>
      <c r="C1695" s="41" t="s">
        <v>87</v>
      </c>
      <c r="D1695" s="41" t="s">
        <v>401</v>
      </c>
      <c r="E1695" s="41">
        <v>100</v>
      </c>
      <c r="F1695" s="41" t="s">
        <v>390</v>
      </c>
      <c r="G1695" s="53">
        <v>52976000</v>
      </c>
      <c r="I1695" s="41">
        <v>0.38</v>
      </c>
      <c r="T1695" s="123">
        <f>466709*31.1/1000</f>
        <v>14514.6499</v>
      </c>
      <c r="AO1695" s="53">
        <f t="shared" si="315"/>
        <v>0</v>
      </c>
      <c r="AP1695" s="53">
        <f t="shared" si="315"/>
        <v>20130880</v>
      </c>
      <c r="AQ1695" s="53">
        <f t="shared" si="315"/>
        <v>0</v>
      </c>
      <c r="AR1695" s="53">
        <f t="shared" si="315"/>
        <v>0</v>
      </c>
      <c r="AS1695" s="53">
        <f t="shared" si="315"/>
        <v>0</v>
      </c>
      <c r="AT1695" s="53">
        <f t="shared" si="315"/>
        <v>0</v>
      </c>
      <c r="AU1695" s="53">
        <f t="shared" si="315"/>
        <v>0</v>
      </c>
      <c r="AV1695" s="53">
        <f t="shared" si="315"/>
        <v>0</v>
      </c>
      <c r="AW1695" s="53">
        <f t="shared" si="315"/>
        <v>0</v>
      </c>
      <c r="AX1695" s="53">
        <f t="shared" si="316"/>
        <v>5297600000</v>
      </c>
      <c r="AY1695" s="41" t="s">
        <v>557</v>
      </c>
    </row>
    <row r="1696" spans="1:51" x14ac:dyDescent="0.2">
      <c r="A1696" s="48" t="s">
        <v>660</v>
      </c>
      <c r="B1696" s="41">
        <v>2013</v>
      </c>
      <c r="C1696" s="41" t="s">
        <v>87</v>
      </c>
      <c r="D1696" s="41" t="s">
        <v>401</v>
      </c>
      <c r="E1696" s="41">
        <v>100</v>
      </c>
      <c r="F1696" s="41" t="s">
        <v>390</v>
      </c>
      <c r="G1696" s="53">
        <v>55699000</v>
      </c>
      <c r="I1696" s="41">
        <v>0.38</v>
      </c>
      <c r="T1696" s="123">
        <f>500380*31.1/1000</f>
        <v>15561.817999999999</v>
      </c>
      <c r="AO1696" s="53">
        <f t="shared" si="315"/>
        <v>0</v>
      </c>
      <c r="AP1696" s="53">
        <f t="shared" si="315"/>
        <v>21165620</v>
      </c>
      <c r="AQ1696" s="53">
        <f t="shared" si="315"/>
        <v>0</v>
      </c>
      <c r="AR1696" s="53">
        <f t="shared" si="315"/>
        <v>0</v>
      </c>
      <c r="AS1696" s="53">
        <f t="shared" si="315"/>
        <v>0</v>
      </c>
      <c r="AT1696" s="53">
        <f t="shared" si="315"/>
        <v>0</v>
      </c>
      <c r="AU1696" s="53">
        <f t="shared" si="315"/>
        <v>0</v>
      </c>
      <c r="AV1696" s="53">
        <f t="shared" si="315"/>
        <v>0</v>
      </c>
      <c r="AW1696" s="53">
        <f t="shared" si="315"/>
        <v>0</v>
      </c>
      <c r="AX1696" s="53">
        <f t="shared" si="316"/>
        <v>5569900000</v>
      </c>
      <c r="AY1696" s="41" t="s">
        <v>557</v>
      </c>
    </row>
    <row r="1697" spans="1:51" x14ac:dyDescent="0.2">
      <c r="A1697" s="48" t="s">
        <v>660</v>
      </c>
      <c r="B1697" s="41">
        <v>2014</v>
      </c>
      <c r="C1697" s="41" t="s">
        <v>87</v>
      </c>
      <c r="D1697" s="41" t="s">
        <v>401</v>
      </c>
      <c r="E1697" s="41">
        <v>100</v>
      </c>
      <c r="F1697" s="41" t="s">
        <v>390</v>
      </c>
      <c r="G1697" s="53">
        <v>51397000</v>
      </c>
      <c r="I1697" s="41">
        <v>0.41</v>
      </c>
      <c r="T1697" s="123">
        <f>521026*31.1/1000</f>
        <v>16203.908600000001</v>
      </c>
      <c r="AO1697" s="53">
        <f t="shared" si="315"/>
        <v>0</v>
      </c>
      <c r="AP1697" s="53">
        <f t="shared" si="315"/>
        <v>21072770</v>
      </c>
      <c r="AQ1697" s="53">
        <f t="shared" si="315"/>
        <v>0</v>
      </c>
      <c r="AR1697" s="53">
        <f t="shared" si="315"/>
        <v>0</v>
      </c>
      <c r="AS1697" s="53">
        <f t="shared" si="315"/>
        <v>0</v>
      </c>
      <c r="AT1697" s="53">
        <f t="shared" si="315"/>
        <v>0</v>
      </c>
      <c r="AU1697" s="53">
        <f t="shared" si="315"/>
        <v>0</v>
      </c>
      <c r="AV1697" s="53">
        <f t="shared" si="315"/>
        <v>0</v>
      </c>
      <c r="AW1697" s="53">
        <f t="shared" si="315"/>
        <v>0</v>
      </c>
      <c r="AX1697" s="53">
        <f t="shared" si="316"/>
        <v>5139700000</v>
      </c>
      <c r="AY1697" s="41" t="s">
        <v>557</v>
      </c>
    </row>
    <row r="1698" spans="1:51" x14ac:dyDescent="0.2">
      <c r="A1698" s="48" t="s">
        <v>660</v>
      </c>
      <c r="B1698" s="41">
        <v>2015</v>
      </c>
      <c r="C1698" s="41" t="s">
        <v>87</v>
      </c>
      <c r="D1698" s="41" t="s">
        <v>401</v>
      </c>
      <c r="E1698" s="41">
        <v>100</v>
      </c>
      <c r="F1698" s="41" t="s">
        <v>390</v>
      </c>
      <c r="G1698" s="53">
        <v>45277000</v>
      </c>
      <c r="I1698" s="41">
        <v>0.44</v>
      </c>
      <c r="T1698" s="123">
        <f>477662*31.1/1000</f>
        <v>14855.288200000001</v>
      </c>
      <c r="AO1698" s="53">
        <f t="shared" si="315"/>
        <v>0</v>
      </c>
      <c r="AP1698" s="53">
        <f t="shared" si="315"/>
        <v>19921880</v>
      </c>
      <c r="AQ1698" s="53">
        <f t="shared" si="315"/>
        <v>0</v>
      </c>
      <c r="AR1698" s="53">
        <f t="shared" ref="AR1698:AW1699" si="317">$G1698*K1698</f>
        <v>0</v>
      </c>
      <c r="AS1698" s="53">
        <f t="shared" si="317"/>
        <v>0</v>
      </c>
      <c r="AT1698" s="53">
        <f t="shared" si="317"/>
        <v>0</v>
      </c>
      <c r="AU1698" s="53">
        <f t="shared" si="317"/>
        <v>0</v>
      </c>
      <c r="AV1698" s="53">
        <f t="shared" si="317"/>
        <v>0</v>
      </c>
      <c r="AW1698" s="53">
        <f t="shared" si="317"/>
        <v>0</v>
      </c>
      <c r="AX1698" s="53">
        <f t="shared" si="316"/>
        <v>4527700000</v>
      </c>
      <c r="AY1698" s="41" t="s">
        <v>557</v>
      </c>
    </row>
    <row r="1699" spans="1:51" x14ac:dyDescent="0.2">
      <c r="A1699" s="48" t="s">
        <v>660</v>
      </c>
      <c r="B1699" s="41">
        <v>2016</v>
      </c>
      <c r="C1699" s="41" t="s">
        <v>87</v>
      </c>
      <c r="D1699" s="41" t="s">
        <v>401</v>
      </c>
      <c r="E1699" s="41">
        <v>100</v>
      </c>
      <c r="F1699" s="41" t="s">
        <v>390</v>
      </c>
      <c r="G1699" s="53">
        <v>46816000</v>
      </c>
      <c r="I1699" s="41">
        <v>0.45</v>
      </c>
      <c r="T1699" s="123">
        <f>483014*31.1/1000</f>
        <v>15021.7354</v>
      </c>
      <c r="AO1699" s="53">
        <f>$G1699*H1699</f>
        <v>0</v>
      </c>
      <c r="AP1699" s="53">
        <f>$G1699*I1699</f>
        <v>21067200</v>
      </c>
      <c r="AQ1699" s="53">
        <f>$G1699*J1699</f>
        <v>0</v>
      </c>
      <c r="AR1699" s="53">
        <f t="shared" si="317"/>
        <v>0</v>
      </c>
      <c r="AS1699" s="53">
        <f t="shared" si="317"/>
        <v>0</v>
      </c>
      <c r="AT1699" s="53">
        <f t="shared" si="317"/>
        <v>0</v>
      </c>
      <c r="AU1699" s="53">
        <f t="shared" si="317"/>
        <v>0</v>
      </c>
      <c r="AV1699" s="53">
        <f t="shared" si="317"/>
        <v>0</v>
      </c>
      <c r="AW1699" s="53">
        <f t="shared" si="317"/>
        <v>0</v>
      </c>
      <c r="AX1699" s="53">
        <f t="shared" si="316"/>
        <v>4681600000</v>
      </c>
      <c r="AY1699" s="41" t="s">
        <v>557</v>
      </c>
    </row>
    <row r="1700" spans="1:51" x14ac:dyDescent="0.2">
      <c r="A1700" s="48" t="s">
        <v>660</v>
      </c>
      <c r="B1700" s="60" t="s">
        <v>559</v>
      </c>
      <c r="C1700" s="60" t="s">
        <v>87</v>
      </c>
      <c r="D1700" s="60" t="s">
        <v>401</v>
      </c>
      <c r="E1700" s="60">
        <v>100</v>
      </c>
      <c r="F1700" s="60" t="s">
        <v>390</v>
      </c>
      <c r="G1700" s="79">
        <f>SUM(G1670:G1699)</f>
        <v>690884000</v>
      </c>
      <c r="I1700" s="80">
        <f>AP1700/G1700</f>
        <v>0.44304724092611786</v>
      </c>
      <c r="T1700" s="79">
        <f>SUM(T1670:T1699)</f>
        <v>231325.25210000001</v>
      </c>
      <c r="AO1700" s="79">
        <f t="shared" ref="AO1700:AX1700" si="318">SUM(AO1670:AO1699)</f>
        <v>0</v>
      </c>
      <c r="AP1700" s="79">
        <f t="shared" si="318"/>
        <v>306094250</v>
      </c>
      <c r="AQ1700" s="79">
        <f t="shared" si="318"/>
        <v>0</v>
      </c>
      <c r="AR1700" s="79">
        <f t="shared" si="318"/>
        <v>0</v>
      </c>
      <c r="AS1700" s="79">
        <f t="shared" si="318"/>
        <v>0</v>
      </c>
      <c r="AT1700" s="79">
        <f t="shared" si="318"/>
        <v>0</v>
      </c>
      <c r="AU1700" s="79">
        <f t="shared" si="318"/>
        <v>0</v>
      </c>
      <c r="AV1700" s="79">
        <f t="shared" si="318"/>
        <v>0</v>
      </c>
      <c r="AW1700" s="79">
        <f t="shared" si="318"/>
        <v>0</v>
      </c>
      <c r="AX1700" s="79">
        <f t="shared" si="318"/>
        <v>69088400000</v>
      </c>
      <c r="AY1700" s="41" t="s">
        <v>557</v>
      </c>
    </row>
    <row r="1701" spans="1:51" x14ac:dyDescent="0.2">
      <c r="A1701" s="48" t="s">
        <v>660</v>
      </c>
      <c r="B1701" s="43" t="s">
        <v>560</v>
      </c>
      <c r="G1701" s="53">
        <f>STDEV(G1670:G1699)</f>
        <v>15766862.974307055</v>
      </c>
      <c r="I1701" s="46">
        <f>STDEV(I1670:I1699)</f>
        <v>0.10785313556209065</v>
      </c>
      <c r="T1701" s="53">
        <f>STDEV(T1670:T1699)</f>
        <v>4403.3489046902669</v>
      </c>
      <c r="AY1701" s="41" t="s">
        <v>557</v>
      </c>
    </row>
    <row r="1702" spans="1:51" x14ac:dyDescent="0.2">
      <c r="A1702" s="48" t="s">
        <v>660</v>
      </c>
      <c r="B1702" s="81" t="s">
        <v>249</v>
      </c>
      <c r="G1702" s="41">
        <f>COUNT(G1670:G1699)</f>
        <v>30</v>
      </c>
      <c r="I1702" s="41">
        <f>COUNT(I1670:I1699)</f>
        <v>30</v>
      </c>
      <c r="T1702" s="41">
        <f>COUNT(T1670:T1699)</f>
        <v>30</v>
      </c>
      <c r="AY1702" s="41" t="s">
        <v>557</v>
      </c>
    </row>
    <row r="1703" spans="1:51" x14ac:dyDescent="0.2">
      <c r="A1703" s="82"/>
      <c r="B1703" s="82"/>
      <c r="C1703" s="82"/>
      <c r="D1703" s="82"/>
      <c r="E1703" s="82"/>
      <c r="F1703" s="82"/>
      <c r="G1703" s="82"/>
      <c r="H1703" s="82"/>
      <c r="I1703" s="82"/>
      <c r="J1703" s="82"/>
      <c r="K1703" s="82"/>
      <c r="L1703" s="82"/>
      <c r="M1703" s="82"/>
      <c r="N1703" s="82"/>
      <c r="O1703" s="82"/>
      <c r="P1703" s="82"/>
      <c r="Q1703" s="82"/>
      <c r="R1703" s="82"/>
      <c r="S1703" s="82"/>
      <c r="T1703" s="82"/>
      <c r="U1703" s="82"/>
      <c r="V1703" s="82"/>
      <c r="W1703" s="82"/>
      <c r="X1703" s="82"/>
      <c r="Y1703" s="82"/>
      <c r="Z1703" s="82"/>
      <c r="AA1703" s="82"/>
      <c r="AB1703" s="82"/>
      <c r="AC1703" s="82"/>
      <c r="AD1703" s="82"/>
      <c r="AE1703" s="82"/>
      <c r="AF1703" s="82"/>
      <c r="AG1703" s="82"/>
      <c r="AH1703" s="82"/>
      <c r="AI1703" s="82"/>
      <c r="AJ1703" s="82"/>
      <c r="AK1703" s="82"/>
      <c r="AL1703" s="82"/>
      <c r="AM1703" s="82"/>
      <c r="AN1703" s="82"/>
      <c r="AO1703" s="82"/>
      <c r="AP1703" s="82"/>
      <c r="AQ1703" s="82"/>
      <c r="AR1703" s="82"/>
      <c r="AS1703" s="82"/>
      <c r="AT1703" s="82"/>
      <c r="AU1703" s="82"/>
      <c r="AV1703" s="82"/>
      <c r="AW1703" s="82"/>
      <c r="AX1703" s="82"/>
      <c r="AY1703" s="41" t="s">
        <v>557</v>
      </c>
    </row>
    <row r="1704" spans="1:51" x14ac:dyDescent="0.2">
      <c r="A1704" s="41" t="s">
        <v>118</v>
      </c>
      <c r="B1704" s="41">
        <v>2012</v>
      </c>
      <c r="C1704" s="41" t="s">
        <v>87</v>
      </c>
      <c r="D1704" s="41" t="s">
        <v>427</v>
      </c>
      <c r="E1704" s="41">
        <v>100</v>
      </c>
      <c r="F1704" s="41" t="s">
        <v>661</v>
      </c>
      <c r="G1704" s="62"/>
      <c r="H1704" s="109"/>
      <c r="I1704" s="109"/>
      <c r="J1704" s="62"/>
      <c r="AM1704" s="93">
        <f>4525000+2283000-1684000-503000</f>
        <v>4621000</v>
      </c>
      <c r="AO1704" s="53">
        <f t="shared" ref="AO1704:AW1708" si="319">$G1704*H1704</f>
        <v>0</v>
      </c>
      <c r="AP1704" s="53">
        <f t="shared" si="319"/>
        <v>0</v>
      </c>
      <c r="AQ1704" s="53">
        <f t="shared" si="319"/>
        <v>0</v>
      </c>
      <c r="AR1704" s="53">
        <f t="shared" si="319"/>
        <v>0</v>
      </c>
      <c r="AS1704" s="53">
        <f t="shared" si="319"/>
        <v>0</v>
      </c>
      <c r="AT1704" s="53">
        <f t="shared" si="319"/>
        <v>0</v>
      </c>
      <c r="AU1704" s="53">
        <f t="shared" si="319"/>
        <v>0</v>
      </c>
      <c r="AV1704" s="53">
        <f t="shared" si="319"/>
        <v>0</v>
      </c>
      <c r="AW1704" s="53">
        <f t="shared" si="319"/>
        <v>0</v>
      </c>
      <c r="AX1704" s="53">
        <f>$G1704*E1704</f>
        <v>0</v>
      </c>
      <c r="AY1704" s="41" t="s">
        <v>557</v>
      </c>
    </row>
    <row r="1705" spans="1:51" x14ac:dyDescent="0.2">
      <c r="A1705" s="41" t="s">
        <v>118</v>
      </c>
      <c r="B1705" s="41">
        <v>2013</v>
      </c>
      <c r="C1705" s="41" t="s">
        <v>87</v>
      </c>
      <c r="D1705" s="41" t="s">
        <v>427</v>
      </c>
      <c r="E1705" s="41">
        <v>100</v>
      </c>
      <c r="F1705" s="41" t="s">
        <v>661</v>
      </c>
      <c r="G1705" s="93">
        <f>6000+97000+170000+500+162000</f>
        <v>435500</v>
      </c>
      <c r="H1705" s="56">
        <f>100*S1705/G1705/0.75</f>
        <v>0.1521622655951014</v>
      </c>
      <c r="I1705" s="88">
        <f>((4.31/56.3)*6000+(6.24/61.7)*97000+1.09*170000+2.91*500+(6.62-(405/61.9))*162000)/G1705</f>
        <v>0.48112283357562158</v>
      </c>
      <c r="J1705" s="128">
        <f>((55.3*(4.31-(4.31/56.3)))*6000+(61.7*(6.24-(6.24/62.7)))*97000+72.07*170000+4895*500+405*162000)/G1705</f>
        <v>272.01884480725869</v>
      </c>
      <c r="R1705" s="93">
        <f>(7418/97000)*6000+7418+(649+11317)+(14269+259)</f>
        <v>34370.845360824744</v>
      </c>
      <c r="S1705" s="53">
        <f>490+7</f>
        <v>497</v>
      </c>
      <c r="T1705" s="53">
        <f>(0.69*(4.31/56.3)*6000+0.79*(6.24/61.7)*97000+0.85*1.09*170000+0.95*2.91*500+0.85*(6.62-(405/61.9))*162000)/1000</f>
        <v>177.58304999440898</v>
      </c>
      <c r="U1705" s="53">
        <f>(0.69*(4.31/(55.3/56.3))*6000+0.79*(6.24/(61.7/62.7))*97000+0.85*72.07*170000+4895*500+0.85*405*162000)/1000</f>
        <v>69134.202203872788</v>
      </c>
      <c r="AH1705" s="93">
        <f>G1705-R1705</f>
        <v>401129.15463917528</v>
      </c>
      <c r="AM1705" s="93">
        <f>(1684000+503000)+(1958000+1140000)+(532000+1218000)+(869000+673000)</f>
        <v>8577000</v>
      </c>
      <c r="AO1705" s="53">
        <f t="shared" si="319"/>
        <v>66266.666666666657</v>
      </c>
      <c r="AP1705" s="53">
        <f t="shared" si="319"/>
        <v>209528.99402218321</v>
      </c>
      <c r="AQ1705" s="53">
        <f t="shared" si="319"/>
        <v>118464206.91356117</v>
      </c>
      <c r="AR1705" s="53">
        <f t="shared" si="319"/>
        <v>0</v>
      </c>
      <c r="AS1705" s="53">
        <f t="shared" si="319"/>
        <v>0</v>
      </c>
      <c r="AT1705" s="53">
        <f t="shared" si="319"/>
        <v>0</v>
      </c>
      <c r="AU1705" s="53">
        <f t="shared" si="319"/>
        <v>0</v>
      </c>
      <c r="AV1705" s="53">
        <f t="shared" si="319"/>
        <v>0</v>
      </c>
      <c r="AW1705" s="53">
        <f t="shared" si="319"/>
        <v>0</v>
      </c>
      <c r="AX1705" s="53">
        <f>$G1705*E1705</f>
        <v>43550000</v>
      </c>
      <c r="AY1705" s="41" t="s">
        <v>557</v>
      </c>
    </row>
    <row r="1706" spans="1:51" x14ac:dyDescent="0.2">
      <c r="A1706" s="41" t="s">
        <v>118</v>
      </c>
      <c r="B1706" s="41">
        <v>2014</v>
      </c>
      <c r="C1706" s="41" t="s">
        <v>87</v>
      </c>
      <c r="D1706" s="41" t="s">
        <v>427</v>
      </c>
      <c r="E1706" s="41">
        <v>100</v>
      </c>
      <c r="F1706" s="41" t="s">
        <v>661</v>
      </c>
      <c r="G1706" s="93">
        <f>(148000+12300)+(195000)+(146000+70000)+204000</f>
        <v>775300</v>
      </c>
      <c r="H1706" s="56">
        <f>100*S1706/G1706/0.75</f>
        <v>0.19140977686057012</v>
      </c>
      <c r="I1706" s="46">
        <f>((6.67/63.5)*148000+(5.09/66.6)*195000+(4.59/63.7)*146000+(3.91/63.7)*204000)/G1706</f>
        <v>6.8994005079720727E-2</v>
      </c>
      <c r="J1706" s="52">
        <f>((62.5*(6.67-(6.67/63.5)))*148000+526*12300+(65.6*(5.09-(5.09/66.6)))*195000+(62.7*(4.59-(4.59/63.7)))*146000+194*70000+(62.7*(3.91-(3.91/63.7)))*204000)/G1706</f>
        <v>303.74614607524609</v>
      </c>
      <c r="R1706" s="93">
        <f>(1328+13678)+14276+(3217+7755)+13070</f>
        <v>53324</v>
      </c>
      <c r="S1706" s="53">
        <v>1113</v>
      </c>
      <c r="T1706" s="53">
        <f>(0.91*(6.67/63.5)*148000+0.875*(5.09/66.6)*195000+0.859*(4.59/62.7)*146000+0.89*(3.91/63.7)*204000)/1000</f>
        <v>47.512406973731515</v>
      </c>
      <c r="U1706" s="53">
        <f>(0.86*(62.5*(6.67-(6.67/63.5)))*148000+0.86*526*12300+(65.6*(5.09-(5.09/66.6)))*195000+(62.7*(4.59-(4.59/63.7)))*146000+0.759*194*70000+(62.7*(3.91-(3.91/63.7)))*204000)/1000</f>
        <v>222814.21103639028</v>
      </c>
      <c r="AH1706" s="93">
        <f>G1706-R1706</f>
        <v>721976</v>
      </c>
      <c r="AM1706" s="53">
        <f>(493000+469000)+(355000+78000+124000)+(547000+186000)+(561000+222000)</f>
        <v>3035000</v>
      </c>
      <c r="AO1706" s="53">
        <f t="shared" si="319"/>
        <v>148400</v>
      </c>
      <c r="AP1706" s="53">
        <f t="shared" si="319"/>
        <v>53491.052138307481</v>
      </c>
      <c r="AQ1706" s="53">
        <f t="shared" si="319"/>
        <v>235494387.0521383</v>
      </c>
      <c r="AR1706" s="53">
        <f t="shared" si="319"/>
        <v>0</v>
      </c>
      <c r="AS1706" s="53">
        <f t="shared" si="319"/>
        <v>0</v>
      </c>
      <c r="AT1706" s="53">
        <f t="shared" si="319"/>
        <v>0</v>
      </c>
      <c r="AU1706" s="53">
        <f t="shared" si="319"/>
        <v>0</v>
      </c>
      <c r="AV1706" s="53">
        <f t="shared" si="319"/>
        <v>0</v>
      </c>
      <c r="AW1706" s="53">
        <f t="shared" si="319"/>
        <v>0</v>
      </c>
      <c r="AX1706" s="53">
        <f>$G1706*E1706</f>
        <v>77530000</v>
      </c>
      <c r="AY1706" s="41" t="s">
        <v>557</v>
      </c>
    </row>
    <row r="1707" spans="1:51" x14ac:dyDescent="0.2">
      <c r="A1707" s="41" t="s">
        <v>118</v>
      </c>
      <c r="B1707" s="41">
        <v>2015</v>
      </c>
      <c r="C1707" s="41" t="s">
        <v>87</v>
      </c>
      <c r="D1707" s="41" t="s">
        <v>427</v>
      </c>
      <c r="E1707" s="62">
        <v>100</v>
      </c>
      <c r="F1707" s="41" t="s">
        <v>661</v>
      </c>
      <c r="G1707" s="93">
        <f>193000+172000+188000+194000</f>
        <v>747000</v>
      </c>
      <c r="H1707" s="56">
        <f>100*S1707/G1707/0.75</f>
        <v>0.20401606425702812</v>
      </c>
      <c r="I1707" s="46">
        <f>(4.06*193000+5.02*172000+5.41*188000+6.51*194000)/G1707</f>
        <v>5.2570816599732266</v>
      </c>
      <c r="J1707" s="54">
        <f>100*U1707/G1707/0.75</f>
        <v>1.174167246764837</v>
      </c>
      <c r="R1707" s="93">
        <f>13510+14362+13709+16235</f>
        <v>57816</v>
      </c>
      <c r="S1707" s="53">
        <f>270+263+312+298</f>
        <v>1143</v>
      </c>
      <c r="T1707" s="53">
        <f>(18460+20845+24213+30026)*31.1/1000</f>
        <v>2909.2183999999997</v>
      </c>
      <c r="U1707" s="53">
        <f>(55237+48272+54342+53669)*31.1/1000</f>
        <v>6578.2719999999999</v>
      </c>
      <c r="AH1707" s="93">
        <f>G1707-R1707</f>
        <v>689184</v>
      </c>
      <c r="AM1707" s="53">
        <f>(356000+181000)+(528000+128000)+(786000+71000)+(623000+106000)</f>
        <v>2779000</v>
      </c>
      <c r="AO1707" s="53">
        <f t="shared" si="319"/>
        <v>152400</v>
      </c>
      <c r="AP1707" s="53">
        <f t="shared" si="319"/>
        <v>3927040.0000000005</v>
      </c>
      <c r="AQ1707" s="53">
        <f t="shared" si="319"/>
        <v>877102.93333333323</v>
      </c>
      <c r="AR1707" s="53">
        <f t="shared" si="319"/>
        <v>0</v>
      </c>
      <c r="AS1707" s="53">
        <f t="shared" si="319"/>
        <v>0</v>
      </c>
      <c r="AT1707" s="53">
        <f t="shared" si="319"/>
        <v>0</v>
      </c>
      <c r="AU1707" s="53">
        <f t="shared" si="319"/>
        <v>0</v>
      </c>
      <c r="AV1707" s="53">
        <f t="shared" si="319"/>
        <v>0</v>
      </c>
      <c r="AW1707" s="53">
        <f t="shared" si="319"/>
        <v>0</v>
      </c>
      <c r="AX1707" s="53">
        <f>$G1707*E1707</f>
        <v>74700000</v>
      </c>
      <c r="AY1707" s="41" t="s">
        <v>557</v>
      </c>
    </row>
    <row r="1708" spans="1:51" x14ac:dyDescent="0.2">
      <c r="A1708" s="41" t="s">
        <v>118</v>
      </c>
      <c r="B1708" s="41">
        <v>2016</v>
      </c>
      <c r="C1708" s="41" t="s">
        <v>87</v>
      </c>
      <c r="D1708" s="41" t="s">
        <v>427</v>
      </c>
      <c r="E1708" s="62">
        <v>100</v>
      </c>
      <c r="F1708" s="41" t="s">
        <v>661</v>
      </c>
      <c r="G1708" s="93">
        <f>188000+199000+200000+219000</f>
        <v>806000</v>
      </c>
      <c r="H1708" s="56">
        <f>100*S1708/G1708/0.75</f>
        <v>0.20264681555004135</v>
      </c>
      <c r="I1708" s="46">
        <f>(6.61*188000+6.09*199000+5.36*200000+4.79*219000)/G1708</f>
        <v>5.6769230769230772</v>
      </c>
      <c r="J1708" s="54">
        <f>100*U1708/G1708/0.75</f>
        <v>2.2412836228287838</v>
      </c>
      <c r="R1708" s="93">
        <f>15308+14191+13056+13877</f>
        <v>56432</v>
      </c>
      <c r="S1708" s="53">
        <f>228+276+345+376</f>
        <v>1225</v>
      </c>
      <c r="T1708" s="53">
        <f>(29337+29481+25544+25674)*31.1/1000</f>
        <v>3422.1196</v>
      </c>
      <c r="U1708" s="53">
        <f>(99003+105909+114432+116301)*31.1/1000</f>
        <v>13548.559499999999</v>
      </c>
      <c r="AH1708" s="93">
        <f>G1708-R1708</f>
        <v>749568</v>
      </c>
      <c r="AM1708" s="53">
        <f>506000+(2000+777000)+(379000+245000)+(964000+108000)</f>
        <v>2981000</v>
      </c>
      <c r="AO1708" s="53">
        <f t="shared" si="319"/>
        <v>163333.33333333334</v>
      </c>
      <c r="AP1708" s="53">
        <f t="shared" si="319"/>
        <v>4575600</v>
      </c>
      <c r="AQ1708" s="53">
        <f t="shared" si="319"/>
        <v>1806474.5999999996</v>
      </c>
      <c r="AR1708" s="53">
        <f t="shared" si="319"/>
        <v>0</v>
      </c>
      <c r="AS1708" s="53">
        <f t="shared" si="319"/>
        <v>0</v>
      </c>
      <c r="AT1708" s="53">
        <f t="shared" si="319"/>
        <v>0</v>
      </c>
      <c r="AU1708" s="53">
        <f t="shared" si="319"/>
        <v>0</v>
      </c>
      <c r="AV1708" s="53">
        <f t="shared" si="319"/>
        <v>0</v>
      </c>
      <c r="AW1708" s="53">
        <f t="shared" si="319"/>
        <v>0</v>
      </c>
      <c r="AX1708" s="53">
        <f>$G1708*E1708</f>
        <v>80600000</v>
      </c>
      <c r="AY1708" s="41" t="s">
        <v>557</v>
      </c>
    </row>
    <row r="1709" spans="1:51" x14ac:dyDescent="0.2">
      <c r="A1709" s="41" t="s">
        <v>118</v>
      </c>
      <c r="B1709" s="60" t="s">
        <v>559</v>
      </c>
      <c r="C1709" s="60" t="s">
        <v>87</v>
      </c>
      <c r="D1709" s="60" t="s">
        <v>427</v>
      </c>
      <c r="E1709" s="60">
        <v>100</v>
      </c>
      <c r="F1709" s="60" t="s">
        <v>661</v>
      </c>
      <c r="G1709" s="79">
        <f>SUM(G1704:G1708)</f>
        <v>2763800</v>
      </c>
      <c r="H1709" s="80">
        <f>AO1709/G1709</f>
        <v>0.19190968955785512</v>
      </c>
      <c r="I1709" s="80">
        <f>AP1709/G1709</f>
        <v>3.1715970931907127</v>
      </c>
      <c r="J1709" s="98">
        <f>AQ1709/G1709</f>
        <v>129.04051360410767</v>
      </c>
      <c r="R1709" s="79">
        <f>SUM(R1704:R1708)</f>
        <v>201942.84536082475</v>
      </c>
      <c r="S1709" s="79">
        <f>SUM(S1704:S1708)</f>
        <v>3978</v>
      </c>
      <c r="T1709" s="79">
        <f>SUM(T1704:T1708)</f>
        <v>6556.4334569681396</v>
      </c>
      <c r="U1709" s="79">
        <f>SUM(U1704:U1708)</f>
        <v>312075.24474026304</v>
      </c>
      <c r="AH1709" s="79">
        <f>SUM(AH1704:AH1708)</f>
        <v>2561857.1546391752</v>
      </c>
      <c r="AM1709" s="79">
        <f>SUM(AM1704:AM1708)</f>
        <v>21993000</v>
      </c>
      <c r="AO1709" s="79">
        <f t="shared" ref="AO1709:AX1709" si="320">SUM(AO1704:AO1708)</f>
        <v>530400</v>
      </c>
      <c r="AP1709" s="79">
        <f t="shared" si="320"/>
        <v>8765660.0461604912</v>
      </c>
      <c r="AQ1709" s="79">
        <f t="shared" si="320"/>
        <v>356642171.4990328</v>
      </c>
      <c r="AR1709" s="79">
        <f t="shared" si="320"/>
        <v>0</v>
      </c>
      <c r="AS1709" s="79">
        <f t="shared" si="320"/>
        <v>0</v>
      </c>
      <c r="AT1709" s="79">
        <f t="shared" si="320"/>
        <v>0</v>
      </c>
      <c r="AU1709" s="79">
        <f t="shared" si="320"/>
        <v>0</v>
      </c>
      <c r="AV1709" s="79">
        <f t="shared" si="320"/>
        <v>0</v>
      </c>
      <c r="AW1709" s="79">
        <f t="shared" si="320"/>
        <v>0</v>
      </c>
      <c r="AX1709" s="79">
        <f t="shared" si="320"/>
        <v>276380000</v>
      </c>
      <c r="AY1709" s="41" t="s">
        <v>557</v>
      </c>
    </row>
    <row r="1710" spans="1:51" x14ac:dyDescent="0.2">
      <c r="A1710" s="41" t="s">
        <v>118</v>
      </c>
      <c r="B1710" s="43" t="s">
        <v>560</v>
      </c>
      <c r="G1710" s="53">
        <f>STDEV(G1704:G1708)</f>
        <v>171995.86235333298</v>
      </c>
      <c r="H1710" s="46">
        <f>STDEV(H1704:H1708)</f>
        <v>2.4264064173879663E-2</v>
      </c>
      <c r="I1710" s="46">
        <f>STDEV(I1704:I1708)</f>
        <v>3.0071769964614488</v>
      </c>
      <c r="J1710" s="46">
        <f>STDEV(J1704:J1708)</f>
        <v>165.7305837595087</v>
      </c>
      <c r="R1710" s="53">
        <f>STDEV(R1704:R1708)</f>
        <v>10906.210290643785</v>
      </c>
      <c r="S1710" s="53">
        <f>STDEV(S1704:S1708)</f>
        <v>335.02785953807881</v>
      </c>
      <c r="T1710" s="53">
        <f>STDEV(T1704:T1708)</f>
        <v>1775.9075149672701</v>
      </c>
      <c r="U1710" s="53">
        <f>STDEV(U1704:U1708)</f>
        <v>100506.72960261961</v>
      </c>
      <c r="AH1710" s="53">
        <f>STDEV(AH1704:AH1708)</f>
        <v>161454.52978424699</v>
      </c>
      <c r="AM1710" s="53">
        <f>STDEV(AM1704:AM1708)</f>
        <v>2449519.7080244119</v>
      </c>
      <c r="AY1710" s="41" t="s">
        <v>557</v>
      </c>
    </row>
    <row r="1711" spans="1:51" x14ac:dyDescent="0.2">
      <c r="A1711" s="41" t="s">
        <v>118</v>
      </c>
      <c r="B1711" s="81" t="s">
        <v>249</v>
      </c>
      <c r="G1711" s="41">
        <f>COUNT(G1704:G1708)</f>
        <v>4</v>
      </c>
      <c r="H1711" s="41">
        <f>COUNT(H1704:H1708)</f>
        <v>4</v>
      </c>
      <c r="I1711" s="41">
        <f>COUNT(I1704:I1708)</f>
        <v>4</v>
      </c>
      <c r="J1711" s="41">
        <f>COUNT(J1704:J1708)</f>
        <v>4</v>
      </c>
      <c r="R1711" s="41">
        <f>COUNT(R1704:R1708)</f>
        <v>4</v>
      </c>
      <c r="S1711" s="41">
        <f>COUNT(S1704:S1708)</f>
        <v>4</v>
      </c>
      <c r="T1711" s="41">
        <f>COUNT(T1704:T1708)</f>
        <v>4</v>
      </c>
      <c r="U1711" s="41">
        <f>COUNT(U1704:U1708)</f>
        <v>4</v>
      </c>
      <c r="AH1711" s="41">
        <f>COUNT(AH1704:AH1708)</f>
        <v>4</v>
      </c>
      <c r="AM1711" s="41">
        <f>COUNT(AM1704:AM1708)</f>
        <v>5</v>
      </c>
      <c r="AY1711" s="41" t="s">
        <v>557</v>
      </c>
    </row>
    <row r="1712" spans="1:51" x14ac:dyDescent="0.2">
      <c r="A1712" s="82"/>
      <c r="B1712" s="82"/>
      <c r="C1712" s="82"/>
      <c r="D1712" s="82"/>
      <c r="E1712" s="82"/>
      <c r="F1712" s="82"/>
      <c r="G1712" s="82"/>
      <c r="H1712" s="82"/>
      <c r="I1712" s="82"/>
      <c r="J1712" s="82"/>
      <c r="K1712" s="82"/>
      <c r="L1712" s="82"/>
      <c r="M1712" s="82"/>
      <c r="N1712" s="82"/>
      <c r="O1712" s="82"/>
      <c r="P1712" s="82"/>
      <c r="Q1712" s="82"/>
      <c r="R1712" s="82"/>
      <c r="S1712" s="82"/>
      <c r="T1712" s="82"/>
      <c r="U1712" s="82"/>
      <c r="V1712" s="82"/>
      <c r="W1712" s="82"/>
      <c r="X1712" s="82"/>
      <c r="Y1712" s="82"/>
      <c r="Z1712" s="82"/>
      <c r="AA1712" s="82"/>
      <c r="AB1712" s="82"/>
      <c r="AC1712" s="82"/>
      <c r="AD1712" s="82"/>
      <c r="AE1712" s="82"/>
      <c r="AF1712" s="82"/>
      <c r="AG1712" s="82"/>
      <c r="AH1712" s="82"/>
      <c r="AI1712" s="82"/>
      <c r="AJ1712" s="82"/>
      <c r="AK1712" s="82"/>
      <c r="AL1712" s="82"/>
      <c r="AM1712" s="82"/>
      <c r="AN1712" s="82"/>
      <c r="AO1712" s="82"/>
      <c r="AP1712" s="82"/>
      <c r="AQ1712" s="82"/>
      <c r="AR1712" s="82"/>
      <c r="AS1712" s="82"/>
      <c r="AT1712" s="82"/>
      <c r="AU1712" s="82"/>
      <c r="AV1712" s="82"/>
      <c r="AW1712" s="82"/>
      <c r="AX1712" s="82"/>
      <c r="AY1712" s="41" t="s">
        <v>557</v>
      </c>
    </row>
    <row r="1713" spans="1:51" x14ac:dyDescent="0.2">
      <c r="A1713" s="41" t="s">
        <v>662</v>
      </c>
      <c r="B1713" s="41">
        <v>1943</v>
      </c>
      <c r="C1713" s="41" t="s">
        <v>91</v>
      </c>
      <c r="D1713" s="41" t="s">
        <v>137</v>
      </c>
      <c r="E1713" s="41">
        <v>0</v>
      </c>
      <c r="F1713" s="41" t="s">
        <v>9</v>
      </c>
      <c r="G1713" s="53">
        <v>162163.76</v>
      </c>
      <c r="H1713" s="51">
        <v>4.6386504604974625</v>
      </c>
      <c r="R1713" s="76">
        <f t="shared" ref="R1713:R1776" si="321">S1713*4</f>
        <v>24071.072</v>
      </c>
      <c r="S1713" s="53">
        <v>6017.768</v>
      </c>
      <c r="AO1713" s="53">
        <f t="shared" ref="AO1713:AW1741" si="322">$G1713*H1713</f>
        <v>752221</v>
      </c>
      <c r="AP1713" s="53">
        <f t="shared" si="322"/>
        <v>0</v>
      </c>
      <c r="AQ1713" s="53">
        <f t="shared" si="322"/>
        <v>0</v>
      </c>
      <c r="AR1713" s="53">
        <f t="shared" si="322"/>
        <v>0</v>
      </c>
      <c r="AS1713" s="53">
        <f t="shared" si="322"/>
        <v>0</v>
      </c>
      <c r="AT1713" s="53">
        <f t="shared" si="322"/>
        <v>0</v>
      </c>
      <c r="AU1713" s="53">
        <f t="shared" si="322"/>
        <v>0</v>
      </c>
      <c r="AV1713" s="53">
        <f t="shared" si="322"/>
        <v>0</v>
      </c>
      <c r="AW1713" s="53">
        <f t="shared" si="322"/>
        <v>0</v>
      </c>
      <c r="AX1713" s="53">
        <f t="shared" ref="AX1713:AX1776" si="323">$G1713*E1713</f>
        <v>0</v>
      </c>
      <c r="AY1713" s="41" t="s">
        <v>557</v>
      </c>
    </row>
    <row r="1714" spans="1:51" x14ac:dyDescent="0.2">
      <c r="A1714" s="41" t="s">
        <v>662</v>
      </c>
      <c r="B1714" s="41">
        <v>1944</v>
      </c>
      <c r="C1714" s="41" t="s">
        <v>91</v>
      </c>
      <c r="D1714" s="41" t="s">
        <v>137</v>
      </c>
      <c r="E1714" s="41">
        <v>0</v>
      </c>
      <c r="F1714" s="41" t="s">
        <v>9</v>
      </c>
      <c r="G1714" s="53">
        <v>282981.40000000002</v>
      </c>
      <c r="H1714" s="51">
        <v>4.7</v>
      </c>
      <c r="R1714" s="76">
        <f t="shared" si="321"/>
        <v>50235.103999999999</v>
      </c>
      <c r="S1714" s="53">
        <v>12558.776</v>
      </c>
      <c r="AO1714" s="53">
        <f t="shared" si="322"/>
        <v>1330012.58</v>
      </c>
      <c r="AP1714" s="53">
        <f t="shared" si="322"/>
        <v>0</v>
      </c>
      <c r="AQ1714" s="53">
        <f t="shared" si="322"/>
        <v>0</v>
      </c>
      <c r="AR1714" s="53">
        <f t="shared" si="322"/>
        <v>0</v>
      </c>
      <c r="AS1714" s="53">
        <f t="shared" si="322"/>
        <v>0</v>
      </c>
      <c r="AT1714" s="53">
        <f t="shared" si="322"/>
        <v>0</v>
      </c>
      <c r="AU1714" s="53">
        <f t="shared" si="322"/>
        <v>0</v>
      </c>
      <c r="AV1714" s="53">
        <f t="shared" si="322"/>
        <v>0</v>
      </c>
      <c r="AW1714" s="53">
        <f t="shared" si="322"/>
        <v>0</v>
      </c>
      <c r="AX1714" s="53">
        <f t="shared" si="323"/>
        <v>0</v>
      </c>
      <c r="AY1714" s="41" t="s">
        <v>557</v>
      </c>
    </row>
    <row r="1715" spans="1:51" x14ac:dyDescent="0.2">
      <c r="A1715" s="41" t="s">
        <v>662</v>
      </c>
      <c r="B1715" s="41">
        <v>1945</v>
      </c>
      <c r="C1715" s="41" t="s">
        <v>91</v>
      </c>
      <c r="D1715" s="41" t="s">
        <v>137</v>
      </c>
      <c r="E1715" s="41">
        <v>0</v>
      </c>
      <c r="F1715" s="41" t="s">
        <v>9</v>
      </c>
      <c r="G1715" s="53">
        <v>275620.47999999998</v>
      </c>
      <c r="H1715" s="51">
        <v>4.1900000000000004</v>
      </c>
      <c r="J1715" s="47">
        <v>9.1830708661417315</v>
      </c>
      <c r="R1715" s="76">
        <f t="shared" si="321"/>
        <v>43200.32</v>
      </c>
      <c r="S1715" s="53">
        <v>10800.08</v>
      </c>
      <c r="U1715" s="53">
        <v>2046.4733000000001</v>
      </c>
      <c r="AO1715" s="53">
        <f t="shared" si="322"/>
        <v>1154849.8112000001</v>
      </c>
      <c r="AP1715" s="53">
        <f t="shared" si="322"/>
        <v>0</v>
      </c>
      <c r="AQ1715" s="53">
        <f t="shared" si="322"/>
        <v>2531042.3999999994</v>
      </c>
      <c r="AR1715" s="53">
        <f t="shared" si="322"/>
        <v>0</v>
      </c>
      <c r="AS1715" s="53">
        <f t="shared" si="322"/>
        <v>0</v>
      </c>
      <c r="AT1715" s="53">
        <f t="shared" si="322"/>
        <v>0</v>
      </c>
      <c r="AU1715" s="53">
        <f t="shared" si="322"/>
        <v>0</v>
      </c>
      <c r="AV1715" s="53">
        <f t="shared" si="322"/>
        <v>0</v>
      </c>
      <c r="AW1715" s="53">
        <f t="shared" si="322"/>
        <v>0</v>
      </c>
      <c r="AX1715" s="53">
        <f t="shared" si="323"/>
        <v>0</v>
      </c>
      <c r="AY1715" s="41" t="s">
        <v>557</v>
      </c>
    </row>
    <row r="1716" spans="1:51" x14ac:dyDescent="0.2">
      <c r="A1716" s="41" t="s">
        <v>662</v>
      </c>
      <c r="B1716" s="41">
        <v>1946</v>
      </c>
      <c r="C1716" s="41" t="s">
        <v>91</v>
      </c>
      <c r="D1716" s="41" t="s">
        <v>137</v>
      </c>
      <c r="E1716" s="41">
        <v>0</v>
      </c>
      <c r="F1716" s="41" t="s">
        <v>9</v>
      </c>
      <c r="G1716" s="53">
        <v>53807.360000000001</v>
      </c>
      <c r="H1716" s="51">
        <v>4.5</v>
      </c>
      <c r="R1716" s="76">
        <f t="shared" si="321"/>
        <v>9054.5920000000006</v>
      </c>
      <c r="S1716" s="53">
        <v>2263.6480000000001</v>
      </c>
      <c r="AO1716" s="53">
        <f t="shared" si="322"/>
        <v>242133.12</v>
      </c>
      <c r="AP1716" s="53">
        <f t="shared" si="322"/>
        <v>0</v>
      </c>
      <c r="AQ1716" s="53">
        <f t="shared" si="322"/>
        <v>0</v>
      </c>
      <c r="AR1716" s="53">
        <f t="shared" si="322"/>
        <v>0</v>
      </c>
      <c r="AS1716" s="53">
        <f t="shared" si="322"/>
        <v>0</v>
      </c>
      <c r="AT1716" s="53">
        <f t="shared" si="322"/>
        <v>0</v>
      </c>
      <c r="AU1716" s="53">
        <f t="shared" si="322"/>
        <v>0</v>
      </c>
      <c r="AV1716" s="53">
        <f t="shared" si="322"/>
        <v>0</v>
      </c>
      <c r="AW1716" s="53">
        <f t="shared" si="322"/>
        <v>0</v>
      </c>
      <c r="AX1716" s="53">
        <f t="shared" si="323"/>
        <v>0</v>
      </c>
      <c r="AY1716" s="41" t="s">
        <v>557</v>
      </c>
    </row>
    <row r="1717" spans="1:51" x14ac:dyDescent="0.2">
      <c r="A1717" s="41" t="s">
        <v>662</v>
      </c>
      <c r="B1717" s="41">
        <v>1953</v>
      </c>
      <c r="C1717" s="41" t="s">
        <v>91</v>
      </c>
      <c r="D1717" s="41" t="s">
        <v>137</v>
      </c>
      <c r="E1717" s="41">
        <v>0</v>
      </c>
      <c r="F1717" s="41" t="s">
        <v>9</v>
      </c>
      <c r="G1717" s="53">
        <v>507312.16800000001</v>
      </c>
      <c r="H1717" s="77">
        <v>3.56</v>
      </c>
      <c r="R1717" s="76">
        <f t="shared" si="321"/>
        <v>61266.425600000002</v>
      </c>
      <c r="S1717" s="53">
        <v>15316.606400000001</v>
      </c>
      <c r="AO1717" s="53">
        <f t="shared" si="322"/>
        <v>1806031.3180800001</v>
      </c>
      <c r="AP1717" s="53">
        <f t="shared" si="322"/>
        <v>0</v>
      </c>
      <c r="AQ1717" s="53">
        <f t="shared" si="322"/>
        <v>0</v>
      </c>
      <c r="AR1717" s="53">
        <f t="shared" si="322"/>
        <v>0</v>
      </c>
      <c r="AS1717" s="53">
        <f t="shared" si="322"/>
        <v>0</v>
      </c>
      <c r="AT1717" s="53">
        <f t="shared" si="322"/>
        <v>0</v>
      </c>
      <c r="AU1717" s="53">
        <f t="shared" si="322"/>
        <v>0</v>
      </c>
      <c r="AV1717" s="53">
        <f t="shared" si="322"/>
        <v>0</v>
      </c>
      <c r="AW1717" s="53">
        <f t="shared" si="322"/>
        <v>0</v>
      </c>
      <c r="AX1717" s="53">
        <f t="shared" si="323"/>
        <v>0</v>
      </c>
      <c r="AY1717" s="41" t="s">
        <v>557</v>
      </c>
    </row>
    <row r="1718" spans="1:51" x14ac:dyDescent="0.2">
      <c r="A1718" s="41" t="s">
        <v>662</v>
      </c>
      <c r="B1718" s="41">
        <v>1954</v>
      </c>
      <c r="C1718" s="41" t="s">
        <v>91</v>
      </c>
      <c r="D1718" s="41" t="s">
        <v>137</v>
      </c>
      <c r="E1718" s="41">
        <v>0</v>
      </c>
      <c r="F1718" s="41" t="s">
        <v>9</v>
      </c>
      <c r="G1718" s="53">
        <v>544039.55200000003</v>
      </c>
      <c r="H1718" s="77">
        <v>4.16</v>
      </c>
      <c r="R1718" s="76">
        <f t="shared" si="321"/>
        <v>78884.92224</v>
      </c>
      <c r="S1718" s="53">
        <v>19721.23056</v>
      </c>
      <c r="AO1718" s="53">
        <f t="shared" si="322"/>
        <v>2263204.53632</v>
      </c>
      <c r="AP1718" s="53">
        <f t="shared" si="322"/>
        <v>0</v>
      </c>
      <c r="AQ1718" s="53">
        <f t="shared" si="322"/>
        <v>0</v>
      </c>
      <c r="AR1718" s="53">
        <f t="shared" si="322"/>
        <v>0</v>
      </c>
      <c r="AS1718" s="53">
        <f t="shared" si="322"/>
        <v>0</v>
      </c>
      <c r="AT1718" s="53">
        <f t="shared" si="322"/>
        <v>0</v>
      </c>
      <c r="AU1718" s="53">
        <f t="shared" si="322"/>
        <v>0</v>
      </c>
      <c r="AV1718" s="53">
        <f t="shared" si="322"/>
        <v>0</v>
      </c>
      <c r="AW1718" s="53">
        <f t="shared" si="322"/>
        <v>0</v>
      </c>
      <c r="AX1718" s="53">
        <f t="shared" si="323"/>
        <v>0</v>
      </c>
      <c r="AY1718" s="41" t="s">
        <v>557</v>
      </c>
    </row>
    <row r="1719" spans="1:51" x14ac:dyDescent="0.2">
      <c r="A1719" s="41" t="s">
        <v>662</v>
      </c>
      <c r="B1719" s="41">
        <v>1955</v>
      </c>
      <c r="C1719" s="41" t="s">
        <v>91</v>
      </c>
      <c r="D1719" s="41" t="s">
        <v>137</v>
      </c>
      <c r="E1719" s="41">
        <v>0</v>
      </c>
      <c r="F1719" s="41" t="s">
        <v>9</v>
      </c>
      <c r="G1719" s="53">
        <v>605414.07999999996</v>
      </c>
      <c r="H1719" s="59">
        <v>3.9</v>
      </c>
      <c r="R1719" s="76">
        <f t="shared" si="321"/>
        <v>82446.368000000002</v>
      </c>
      <c r="S1719" s="53">
        <v>20611.592000000001</v>
      </c>
      <c r="AO1719" s="53">
        <f t="shared" si="322"/>
        <v>2361114.912</v>
      </c>
      <c r="AP1719" s="53">
        <f t="shared" si="322"/>
        <v>0</v>
      </c>
      <c r="AQ1719" s="53">
        <f t="shared" si="322"/>
        <v>0</v>
      </c>
      <c r="AR1719" s="53">
        <f t="shared" si="322"/>
        <v>0</v>
      </c>
      <c r="AS1719" s="53">
        <f t="shared" si="322"/>
        <v>0</v>
      </c>
      <c r="AT1719" s="53">
        <f t="shared" si="322"/>
        <v>0</v>
      </c>
      <c r="AU1719" s="53">
        <f t="shared" si="322"/>
        <v>0</v>
      </c>
      <c r="AV1719" s="53">
        <f t="shared" si="322"/>
        <v>0</v>
      </c>
      <c r="AW1719" s="53">
        <f t="shared" si="322"/>
        <v>0</v>
      </c>
      <c r="AX1719" s="53">
        <f t="shared" si="323"/>
        <v>0</v>
      </c>
      <c r="AY1719" s="41" t="s">
        <v>557</v>
      </c>
    </row>
    <row r="1720" spans="1:51" x14ac:dyDescent="0.2">
      <c r="A1720" s="41" t="s">
        <v>662</v>
      </c>
      <c r="B1720" s="41">
        <v>1956</v>
      </c>
      <c r="C1720" s="41" t="s">
        <v>91</v>
      </c>
      <c r="D1720" s="41" t="s">
        <v>137</v>
      </c>
      <c r="E1720" s="41">
        <v>0</v>
      </c>
      <c r="F1720" s="41" t="s">
        <v>9</v>
      </c>
      <c r="G1720" s="53">
        <v>753707.40800000005</v>
      </c>
      <c r="H1720" s="59">
        <v>3.95</v>
      </c>
      <c r="R1720" s="76">
        <f t="shared" si="321"/>
        <v>111512.09600000001</v>
      </c>
      <c r="S1720" s="53">
        <v>27878.024000000001</v>
      </c>
      <c r="AO1720" s="53">
        <f t="shared" si="322"/>
        <v>2977144.2616000003</v>
      </c>
      <c r="AP1720" s="53">
        <f t="shared" si="322"/>
        <v>0</v>
      </c>
      <c r="AQ1720" s="53">
        <f t="shared" si="322"/>
        <v>0</v>
      </c>
      <c r="AR1720" s="53">
        <f t="shared" si="322"/>
        <v>0</v>
      </c>
      <c r="AS1720" s="53">
        <f t="shared" si="322"/>
        <v>0</v>
      </c>
      <c r="AT1720" s="53">
        <f t="shared" si="322"/>
        <v>0</v>
      </c>
      <c r="AU1720" s="53">
        <f t="shared" si="322"/>
        <v>0</v>
      </c>
      <c r="AV1720" s="53">
        <f t="shared" si="322"/>
        <v>0</v>
      </c>
      <c r="AW1720" s="53">
        <f t="shared" si="322"/>
        <v>0</v>
      </c>
      <c r="AX1720" s="53">
        <f t="shared" si="323"/>
        <v>0</v>
      </c>
      <c r="AY1720" s="41" t="s">
        <v>557</v>
      </c>
    </row>
    <row r="1721" spans="1:51" x14ac:dyDescent="0.2">
      <c r="A1721" s="41" t="s">
        <v>662</v>
      </c>
      <c r="B1721" s="41">
        <v>1957</v>
      </c>
      <c r="C1721" s="41" t="s">
        <v>91</v>
      </c>
      <c r="D1721" s="41" t="s">
        <v>137</v>
      </c>
      <c r="E1721" s="41">
        <v>0</v>
      </c>
      <c r="F1721" s="41" t="s">
        <v>9</v>
      </c>
      <c r="G1721" s="53">
        <v>699775.08</v>
      </c>
      <c r="H1721" s="59">
        <v>3.9</v>
      </c>
      <c r="R1721" s="76">
        <f t="shared" si="321"/>
        <v>113080.8</v>
      </c>
      <c r="S1721" s="53">
        <v>28270.2</v>
      </c>
      <c r="AO1721" s="53">
        <f t="shared" si="322"/>
        <v>2729122.8119999999</v>
      </c>
      <c r="AP1721" s="53">
        <f t="shared" si="322"/>
        <v>0</v>
      </c>
      <c r="AQ1721" s="53">
        <f t="shared" si="322"/>
        <v>0</v>
      </c>
      <c r="AR1721" s="53">
        <f t="shared" si="322"/>
        <v>0</v>
      </c>
      <c r="AS1721" s="53">
        <f t="shared" si="322"/>
        <v>0</v>
      </c>
      <c r="AT1721" s="53">
        <f t="shared" si="322"/>
        <v>0</v>
      </c>
      <c r="AU1721" s="53">
        <f t="shared" si="322"/>
        <v>0</v>
      </c>
      <c r="AV1721" s="53">
        <f t="shared" si="322"/>
        <v>0</v>
      </c>
      <c r="AW1721" s="53">
        <f t="shared" si="322"/>
        <v>0</v>
      </c>
      <c r="AX1721" s="53">
        <f t="shared" si="323"/>
        <v>0</v>
      </c>
      <c r="AY1721" s="41" t="s">
        <v>557</v>
      </c>
    </row>
    <row r="1722" spans="1:51" x14ac:dyDescent="0.2">
      <c r="A1722" s="41" t="s">
        <v>662</v>
      </c>
      <c r="B1722" s="41">
        <v>1958</v>
      </c>
      <c r="C1722" s="41" t="s">
        <v>91</v>
      </c>
      <c r="D1722" s="41" t="s">
        <v>137</v>
      </c>
      <c r="E1722" s="41">
        <v>0</v>
      </c>
      <c r="F1722" s="41" t="s">
        <v>9</v>
      </c>
      <c r="G1722" s="53">
        <v>986678.24</v>
      </c>
      <c r="H1722" s="59">
        <v>4.26</v>
      </c>
      <c r="R1722" s="76">
        <f t="shared" si="321"/>
        <v>156419.296</v>
      </c>
      <c r="S1722" s="53">
        <v>39104.824000000001</v>
      </c>
      <c r="AO1722" s="53">
        <f t="shared" si="322"/>
        <v>4203249.3023999995</v>
      </c>
      <c r="AP1722" s="53">
        <f t="shared" si="322"/>
        <v>0</v>
      </c>
      <c r="AQ1722" s="53">
        <f t="shared" si="322"/>
        <v>0</v>
      </c>
      <c r="AR1722" s="53">
        <f t="shared" si="322"/>
        <v>0</v>
      </c>
      <c r="AS1722" s="53">
        <f t="shared" si="322"/>
        <v>0</v>
      </c>
      <c r="AT1722" s="53">
        <f t="shared" si="322"/>
        <v>0</v>
      </c>
      <c r="AU1722" s="53">
        <f t="shared" si="322"/>
        <v>0</v>
      </c>
      <c r="AV1722" s="53">
        <f t="shared" si="322"/>
        <v>0</v>
      </c>
      <c r="AW1722" s="53">
        <f t="shared" si="322"/>
        <v>0</v>
      </c>
      <c r="AX1722" s="53">
        <f t="shared" si="323"/>
        <v>0</v>
      </c>
      <c r="AY1722" s="41" t="s">
        <v>557</v>
      </c>
    </row>
    <row r="1723" spans="1:51" x14ac:dyDescent="0.2">
      <c r="A1723" s="41" t="s">
        <v>662</v>
      </c>
      <c r="B1723" s="41">
        <v>1959</v>
      </c>
      <c r="C1723" s="41" t="s">
        <v>91</v>
      </c>
      <c r="D1723" s="41" t="s">
        <v>137</v>
      </c>
      <c r="E1723" s="41">
        <v>0</v>
      </c>
      <c r="F1723" s="41" t="s">
        <v>9</v>
      </c>
      <c r="G1723" s="53">
        <v>1748655.888</v>
      </c>
      <c r="H1723" s="59">
        <v>3.6</v>
      </c>
      <c r="R1723" s="76">
        <f t="shared" si="321"/>
        <v>162060.128</v>
      </c>
      <c r="S1723" s="53">
        <v>40515.031999999999</v>
      </c>
      <c r="AO1723" s="53">
        <f t="shared" si="322"/>
        <v>6295161.1968</v>
      </c>
      <c r="AP1723" s="53">
        <f t="shared" si="322"/>
        <v>0</v>
      </c>
      <c r="AQ1723" s="53">
        <f t="shared" si="322"/>
        <v>0</v>
      </c>
      <c r="AR1723" s="53">
        <f t="shared" si="322"/>
        <v>0</v>
      </c>
      <c r="AS1723" s="53">
        <f t="shared" si="322"/>
        <v>0</v>
      </c>
      <c r="AT1723" s="53">
        <f t="shared" si="322"/>
        <v>0</v>
      </c>
      <c r="AU1723" s="53">
        <f t="shared" si="322"/>
        <v>0</v>
      </c>
      <c r="AV1723" s="53">
        <f t="shared" si="322"/>
        <v>0</v>
      </c>
      <c r="AW1723" s="53">
        <f t="shared" si="322"/>
        <v>0</v>
      </c>
      <c r="AX1723" s="53">
        <f t="shared" si="323"/>
        <v>0</v>
      </c>
      <c r="AY1723" s="41" t="s">
        <v>557</v>
      </c>
    </row>
    <row r="1724" spans="1:51" x14ac:dyDescent="0.2">
      <c r="A1724" s="41" t="s">
        <v>662</v>
      </c>
      <c r="B1724" s="41">
        <v>1960</v>
      </c>
      <c r="C1724" s="41" t="s">
        <v>91</v>
      </c>
      <c r="D1724" s="41" t="s">
        <v>137</v>
      </c>
      <c r="E1724" s="41">
        <v>0</v>
      </c>
      <c r="F1724" s="41" t="s">
        <v>9</v>
      </c>
      <c r="G1724" s="53">
        <v>2062305.2480000001</v>
      </c>
      <c r="H1724" s="59">
        <v>3.8</v>
      </c>
      <c r="R1724" s="76">
        <f t="shared" si="321"/>
        <v>289474.65600000002</v>
      </c>
      <c r="S1724" s="53">
        <v>72368.664000000004</v>
      </c>
      <c r="AO1724" s="53">
        <f t="shared" si="322"/>
        <v>7836759.9424000001</v>
      </c>
      <c r="AP1724" s="53">
        <f t="shared" si="322"/>
        <v>0</v>
      </c>
      <c r="AQ1724" s="53">
        <f t="shared" si="322"/>
        <v>0</v>
      </c>
      <c r="AR1724" s="53">
        <f t="shared" si="322"/>
        <v>0</v>
      </c>
      <c r="AS1724" s="53">
        <f t="shared" si="322"/>
        <v>0</v>
      </c>
      <c r="AT1724" s="53">
        <f t="shared" si="322"/>
        <v>0</v>
      </c>
      <c r="AU1724" s="53">
        <f t="shared" si="322"/>
        <v>0</v>
      </c>
      <c r="AV1724" s="53">
        <f t="shared" si="322"/>
        <v>0</v>
      </c>
      <c r="AW1724" s="53">
        <f t="shared" si="322"/>
        <v>0</v>
      </c>
      <c r="AX1724" s="53">
        <f t="shared" si="323"/>
        <v>0</v>
      </c>
      <c r="AY1724" s="41" t="s">
        <v>557</v>
      </c>
    </row>
    <row r="1725" spans="1:51" x14ac:dyDescent="0.2">
      <c r="A1725" s="41" t="s">
        <v>662</v>
      </c>
      <c r="B1725" s="41">
        <v>1961</v>
      </c>
      <c r="C1725" s="41" t="s">
        <v>91</v>
      </c>
      <c r="D1725" s="41" t="s">
        <v>137</v>
      </c>
      <c r="E1725" s="41">
        <v>0</v>
      </c>
      <c r="F1725" s="41" t="s">
        <v>9</v>
      </c>
      <c r="G1725" s="53">
        <v>2101367.4</v>
      </c>
      <c r="H1725" s="59">
        <v>3.6</v>
      </c>
      <c r="R1725" s="76">
        <f t="shared" si="321"/>
        <v>234565.95199999999</v>
      </c>
      <c r="S1725" s="53">
        <v>58641.487999999998</v>
      </c>
      <c r="AO1725" s="53">
        <f t="shared" si="322"/>
        <v>7564922.6399999997</v>
      </c>
      <c r="AP1725" s="53">
        <f t="shared" si="322"/>
        <v>0</v>
      </c>
      <c r="AQ1725" s="53">
        <f t="shared" si="322"/>
        <v>0</v>
      </c>
      <c r="AR1725" s="53">
        <f t="shared" si="322"/>
        <v>0</v>
      </c>
      <c r="AS1725" s="53">
        <f t="shared" si="322"/>
        <v>0</v>
      </c>
      <c r="AT1725" s="53">
        <f t="shared" si="322"/>
        <v>0</v>
      </c>
      <c r="AU1725" s="53">
        <f t="shared" si="322"/>
        <v>0</v>
      </c>
      <c r="AV1725" s="53">
        <f t="shared" si="322"/>
        <v>0</v>
      </c>
      <c r="AW1725" s="53">
        <f t="shared" si="322"/>
        <v>0</v>
      </c>
      <c r="AX1725" s="53">
        <f t="shared" si="323"/>
        <v>0</v>
      </c>
      <c r="AY1725" s="41" t="s">
        <v>557</v>
      </c>
    </row>
    <row r="1726" spans="1:51" x14ac:dyDescent="0.2">
      <c r="A1726" s="41" t="s">
        <v>662</v>
      </c>
      <c r="B1726" s="41">
        <v>1962</v>
      </c>
      <c r="C1726" s="41" t="s">
        <v>91</v>
      </c>
      <c r="D1726" s="41" t="s">
        <v>137</v>
      </c>
      <c r="E1726" s="41">
        <v>0</v>
      </c>
      <c r="F1726" s="41" t="s">
        <v>9</v>
      </c>
      <c r="G1726" s="53">
        <v>2304061.432</v>
      </c>
      <c r="H1726" s="56">
        <v>3.5877217826869527</v>
      </c>
      <c r="R1726" s="76">
        <f t="shared" si="321"/>
        <v>281055.26719999994</v>
      </c>
      <c r="S1726" s="53">
        <v>70263.816799999986</v>
      </c>
      <c r="AO1726" s="53">
        <f t="shared" si="322"/>
        <v>8266331.3882352933</v>
      </c>
      <c r="AP1726" s="53">
        <f t="shared" si="322"/>
        <v>0</v>
      </c>
      <c r="AQ1726" s="53">
        <f t="shared" si="322"/>
        <v>0</v>
      </c>
      <c r="AR1726" s="53">
        <f t="shared" si="322"/>
        <v>0</v>
      </c>
      <c r="AS1726" s="53">
        <f t="shared" si="322"/>
        <v>0</v>
      </c>
      <c r="AT1726" s="53">
        <f t="shared" si="322"/>
        <v>0</v>
      </c>
      <c r="AU1726" s="53">
        <f t="shared" si="322"/>
        <v>0</v>
      </c>
      <c r="AV1726" s="53">
        <f t="shared" si="322"/>
        <v>0</v>
      </c>
      <c r="AW1726" s="53">
        <f t="shared" si="322"/>
        <v>0</v>
      </c>
      <c r="AX1726" s="53">
        <f t="shared" si="323"/>
        <v>0</v>
      </c>
      <c r="AY1726" s="41" t="s">
        <v>557</v>
      </c>
    </row>
    <row r="1727" spans="1:51" x14ac:dyDescent="0.2">
      <c r="A1727" s="41" t="s">
        <v>662</v>
      </c>
      <c r="B1727" s="41">
        <v>1963</v>
      </c>
      <c r="C1727" s="41" t="s">
        <v>91</v>
      </c>
      <c r="D1727" s="41" t="s">
        <v>137</v>
      </c>
      <c r="E1727" s="41">
        <v>50</v>
      </c>
      <c r="F1727" s="41" t="s">
        <v>9</v>
      </c>
      <c r="G1727" s="53">
        <v>2591916.5840000003</v>
      </c>
      <c r="H1727" s="56">
        <v>3.1055561452027489</v>
      </c>
      <c r="R1727" s="76">
        <f t="shared" si="321"/>
        <v>273677.64416000003</v>
      </c>
      <c r="S1727" s="53">
        <v>68419.411040000006</v>
      </c>
      <c r="AM1727" s="53">
        <v>5351885</v>
      </c>
      <c r="AO1727" s="53">
        <f t="shared" si="322"/>
        <v>8049342.4752941178</v>
      </c>
      <c r="AP1727" s="53">
        <f t="shared" si="322"/>
        <v>0</v>
      </c>
      <c r="AQ1727" s="53">
        <f t="shared" si="322"/>
        <v>0</v>
      </c>
      <c r="AR1727" s="53">
        <f t="shared" si="322"/>
        <v>0</v>
      </c>
      <c r="AS1727" s="53">
        <f t="shared" si="322"/>
        <v>0</v>
      </c>
      <c r="AT1727" s="53">
        <f t="shared" si="322"/>
        <v>0</v>
      </c>
      <c r="AU1727" s="53">
        <f t="shared" si="322"/>
        <v>0</v>
      </c>
      <c r="AV1727" s="53">
        <f t="shared" si="322"/>
        <v>0</v>
      </c>
      <c r="AW1727" s="53">
        <f t="shared" si="322"/>
        <v>0</v>
      </c>
      <c r="AX1727" s="53">
        <f t="shared" si="323"/>
        <v>129595829.20000002</v>
      </c>
      <c r="AY1727" s="41" t="s">
        <v>557</v>
      </c>
    </row>
    <row r="1728" spans="1:51" x14ac:dyDescent="0.2">
      <c r="A1728" s="41" t="s">
        <v>662</v>
      </c>
      <c r="B1728" s="41">
        <v>1964</v>
      </c>
      <c r="C1728" s="41" t="s">
        <v>91</v>
      </c>
      <c r="D1728" s="41" t="s">
        <v>137</v>
      </c>
      <c r="E1728" s="41">
        <v>50</v>
      </c>
      <c r="F1728" s="41" t="s">
        <v>9</v>
      </c>
      <c r="G1728" s="53">
        <v>1847743.32</v>
      </c>
      <c r="H1728" s="56">
        <v>3.8386199939094929</v>
      </c>
      <c r="R1728" s="76">
        <f t="shared" si="321"/>
        <v>241154.67136000001</v>
      </c>
      <c r="S1728" s="53">
        <v>60288.667840000002</v>
      </c>
      <c r="AM1728" s="53">
        <v>4281508</v>
      </c>
      <c r="AO1728" s="53">
        <f t="shared" si="322"/>
        <v>7092784.4517647065</v>
      </c>
      <c r="AP1728" s="53">
        <f t="shared" si="322"/>
        <v>0</v>
      </c>
      <c r="AQ1728" s="53">
        <f t="shared" si="322"/>
        <v>0</v>
      </c>
      <c r="AR1728" s="53">
        <f t="shared" si="322"/>
        <v>0</v>
      </c>
      <c r="AS1728" s="53">
        <f t="shared" si="322"/>
        <v>0</v>
      </c>
      <c r="AT1728" s="53">
        <f t="shared" si="322"/>
        <v>0</v>
      </c>
      <c r="AU1728" s="53">
        <f t="shared" si="322"/>
        <v>0</v>
      </c>
      <c r="AV1728" s="53">
        <f t="shared" si="322"/>
        <v>0</v>
      </c>
      <c r="AW1728" s="53">
        <f t="shared" si="322"/>
        <v>0</v>
      </c>
      <c r="AX1728" s="53">
        <f t="shared" si="323"/>
        <v>92387166</v>
      </c>
      <c r="AY1728" s="41" t="s">
        <v>557</v>
      </c>
    </row>
    <row r="1729" spans="1:51" x14ac:dyDescent="0.2">
      <c r="A1729" s="41" t="s">
        <v>662</v>
      </c>
      <c r="B1729" s="41">
        <v>1965</v>
      </c>
      <c r="C1729" s="41" t="s">
        <v>91</v>
      </c>
      <c r="D1729" s="41" t="s">
        <v>137</v>
      </c>
      <c r="E1729" s="41">
        <v>50</v>
      </c>
      <c r="F1729" s="41" t="s">
        <v>9</v>
      </c>
      <c r="G1729" s="53">
        <v>1751251.7679999999</v>
      </c>
      <c r="H1729" s="56">
        <v>3.6749197788675696</v>
      </c>
      <c r="R1729" s="76">
        <f t="shared" si="321"/>
        <v>218814.13183999999</v>
      </c>
      <c r="S1729" s="53">
        <v>54703.532959999997</v>
      </c>
      <c r="AM1729" s="53">
        <v>3493494.3118459997</v>
      </c>
      <c r="AO1729" s="53">
        <f t="shared" si="322"/>
        <v>6435709.7599999998</v>
      </c>
      <c r="AP1729" s="53">
        <f t="shared" si="322"/>
        <v>0</v>
      </c>
      <c r="AQ1729" s="53">
        <f t="shared" si="322"/>
        <v>0</v>
      </c>
      <c r="AR1729" s="53">
        <f t="shared" si="322"/>
        <v>0</v>
      </c>
      <c r="AS1729" s="53">
        <f t="shared" si="322"/>
        <v>0</v>
      </c>
      <c r="AT1729" s="53">
        <f t="shared" si="322"/>
        <v>0</v>
      </c>
      <c r="AU1729" s="53">
        <f t="shared" si="322"/>
        <v>0</v>
      </c>
      <c r="AV1729" s="53">
        <f t="shared" si="322"/>
        <v>0</v>
      </c>
      <c r="AW1729" s="53">
        <f t="shared" si="322"/>
        <v>0</v>
      </c>
      <c r="AX1729" s="53">
        <f t="shared" si="323"/>
        <v>87562588.399999991</v>
      </c>
      <c r="AY1729" s="41" t="s">
        <v>557</v>
      </c>
    </row>
    <row r="1730" spans="1:51" x14ac:dyDescent="0.2">
      <c r="A1730" s="41" t="s">
        <v>662</v>
      </c>
      <c r="B1730" s="41">
        <v>1966</v>
      </c>
      <c r="C1730" s="41" t="s">
        <v>91</v>
      </c>
      <c r="D1730" s="41" t="s">
        <v>137</v>
      </c>
      <c r="E1730" s="41">
        <v>0</v>
      </c>
      <c r="F1730" s="41" t="s">
        <v>9</v>
      </c>
      <c r="G1730" s="53">
        <v>1698369.9839999999</v>
      </c>
      <c r="H1730" s="59">
        <v>2.57</v>
      </c>
      <c r="R1730" s="76">
        <f t="shared" si="321"/>
        <v>260624.32</v>
      </c>
      <c r="S1730" s="53">
        <v>65156.08</v>
      </c>
      <c r="AO1730" s="53">
        <f t="shared" si="322"/>
        <v>4364810.8588799993</v>
      </c>
      <c r="AP1730" s="53">
        <f t="shared" si="322"/>
        <v>0</v>
      </c>
      <c r="AQ1730" s="53">
        <f t="shared" si="322"/>
        <v>0</v>
      </c>
      <c r="AR1730" s="53">
        <f t="shared" si="322"/>
        <v>0</v>
      </c>
      <c r="AS1730" s="53">
        <f t="shared" si="322"/>
        <v>0</v>
      </c>
      <c r="AT1730" s="53">
        <f t="shared" si="322"/>
        <v>0</v>
      </c>
      <c r="AU1730" s="53">
        <f t="shared" si="322"/>
        <v>0</v>
      </c>
      <c r="AV1730" s="53">
        <f t="shared" si="322"/>
        <v>0</v>
      </c>
      <c r="AW1730" s="53">
        <f t="shared" si="322"/>
        <v>0</v>
      </c>
      <c r="AX1730" s="53">
        <f t="shared" si="323"/>
        <v>0</v>
      </c>
      <c r="AY1730" s="41" t="s">
        <v>557</v>
      </c>
    </row>
    <row r="1731" spans="1:51" x14ac:dyDescent="0.2">
      <c r="A1731" s="41" t="s">
        <v>662</v>
      </c>
      <c r="B1731" s="41">
        <v>1967</v>
      </c>
      <c r="C1731" s="41" t="s">
        <v>91</v>
      </c>
      <c r="D1731" s="41" t="s">
        <v>137</v>
      </c>
      <c r="E1731" s="41">
        <v>0</v>
      </c>
      <c r="F1731" s="41" t="s">
        <v>9</v>
      </c>
      <c r="G1731" s="53">
        <v>2454334.9440000001</v>
      </c>
      <c r="H1731" s="56">
        <v>2.1524494292543328</v>
      </c>
      <c r="R1731" s="76">
        <f t="shared" si="321"/>
        <v>179616.28287999998</v>
      </c>
      <c r="S1731" s="53">
        <v>44904.070719999996</v>
      </c>
      <c r="AO1731" s="53">
        <f t="shared" si="322"/>
        <v>5282831.8494117651</v>
      </c>
      <c r="AP1731" s="53">
        <f t="shared" si="322"/>
        <v>0</v>
      </c>
      <c r="AQ1731" s="53">
        <f t="shared" si="322"/>
        <v>0</v>
      </c>
      <c r="AR1731" s="53">
        <f t="shared" si="322"/>
        <v>0</v>
      </c>
      <c r="AS1731" s="53">
        <f t="shared" si="322"/>
        <v>0</v>
      </c>
      <c r="AT1731" s="53">
        <f t="shared" si="322"/>
        <v>0</v>
      </c>
      <c r="AU1731" s="53">
        <f t="shared" si="322"/>
        <v>0</v>
      </c>
      <c r="AV1731" s="53">
        <f t="shared" si="322"/>
        <v>0</v>
      </c>
      <c r="AW1731" s="53">
        <f t="shared" si="322"/>
        <v>0</v>
      </c>
      <c r="AX1731" s="53">
        <f t="shared" si="323"/>
        <v>0</v>
      </c>
      <c r="AY1731" s="41" t="s">
        <v>557</v>
      </c>
    </row>
    <row r="1732" spans="1:51" x14ac:dyDescent="0.2">
      <c r="A1732" s="41" t="s">
        <v>662</v>
      </c>
      <c r="B1732" s="41">
        <v>1968</v>
      </c>
      <c r="C1732" s="41" t="s">
        <v>91</v>
      </c>
      <c r="D1732" s="41" t="s">
        <v>137</v>
      </c>
      <c r="E1732" s="41">
        <v>0</v>
      </c>
      <c r="F1732" s="41" t="s">
        <v>9</v>
      </c>
      <c r="G1732" s="53">
        <v>2721591.7119999998</v>
      </c>
      <c r="H1732" s="56">
        <v>2.751010113564706</v>
      </c>
      <c r="R1732" s="76">
        <f t="shared" si="321"/>
        <v>254562.29504</v>
      </c>
      <c r="S1732" s="53">
        <v>63640.573759999999</v>
      </c>
      <c r="AO1732" s="53">
        <f t="shared" si="322"/>
        <v>7487126.324705882</v>
      </c>
      <c r="AP1732" s="53">
        <f t="shared" si="322"/>
        <v>0</v>
      </c>
      <c r="AQ1732" s="53">
        <f t="shared" si="322"/>
        <v>0</v>
      </c>
      <c r="AR1732" s="53">
        <f t="shared" si="322"/>
        <v>0</v>
      </c>
      <c r="AS1732" s="53">
        <f t="shared" si="322"/>
        <v>0</v>
      </c>
      <c r="AT1732" s="53">
        <f t="shared" si="322"/>
        <v>0</v>
      </c>
      <c r="AU1732" s="53">
        <f t="shared" si="322"/>
        <v>0</v>
      </c>
      <c r="AV1732" s="53">
        <f t="shared" si="322"/>
        <v>0</v>
      </c>
      <c r="AW1732" s="53">
        <f t="shared" si="322"/>
        <v>0</v>
      </c>
      <c r="AX1732" s="53">
        <f t="shared" si="323"/>
        <v>0</v>
      </c>
      <c r="AY1732" s="41" t="s">
        <v>557</v>
      </c>
    </row>
    <row r="1733" spans="1:51" x14ac:dyDescent="0.2">
      <c r="A1733" s="41" t="s">
        <v>662</v>
      </c>
      <c r="B1733" s="41">
        <v>1969</v>
      </c>
      <c r="C1733" s="41" t="s">
        <v>91</v>
      </c>
      <c r="D1733" s="41" t="s">
        <v>137</v>
      </c>
      <c r="E1733" s="41">
        <v>0</v>
      </c>
      <c r="F1733" s="41" t="s">
        <v>9</v>
      </c>
      <c r="G1733" s="53">
        <v>3344535.8560000001</v>
      </c>
      <c r="H1733" s="56">
        <v>2.8499630515301155</v>
      </c>
      <c r="R1733" s="76">
        <f t="shared" si="321"/>
        <v>324081.32287999999</v>
      </c>
      <c r="S1733" s="53">
        <v>81020.330719999998</v>
      </c>
      <c r="AO1733" s="53">
        <f t="shared" si="322"/>
        <v>9531803.6141176466</v>
      </c>
      <c r="AP1733" s="53">
        <f t="shared" si="322"/>
        <v>0</v>
      </c>
      <c r="AQ1733" s="53">
        <f t="shared" si="322"/>
        <v>0</v>
      </c>
      <c r="AR1733" s="53">
        <f t="shared" si="322"/>
        <v>0</v>
      </c>
      <c r="AS1733" s="53">
        <f t="shared" si="322"/>
        <v>0</v>
      </c>
      <c r="AT1733" s="53">
        <f t="shared" si="322"/>
        <v>0</v>
      </c>
      <c r="AU1733" s="53">
        <f t="shared" si="322"/>
        <v>0</v>
      </c>
      <c r="AV1733" s="53">
        <f t="shared" si="322"/>
        <v>0</v>
      </c>
      <c r="AW1733" s="53">
        <f t="shared" si="322"/>
        <v>0</v>
      </c>
      <c r="AX1733" s="53">
        <f t="shared" si="323"/>
        <v>0</v>
      </c>
      <c r="AY1733" s="41" t="s">
        <v>557</v>
      </c>
    </row>
    <row r="1734" spans="1:51" x14ac:dyDescent="0.2">
      <c r="A1734" s="41" t="s">
        <v>662</v>
      </c>
      <c r="B1734" s="41">
        <v>1970</v>
      </c>
      <c r="C1734" s="41" t="s">
        <v>91</v>
      </c>
      <c r="D1734" s="41" t="s">
        <v>137</v>
      </c>
      <c r="E1734" s="41">
        <v>0</v>
      </c>
      <c r="F1734" s="41" t="s">
        <v>9</v>
      </c>
      <c r="G1734" s="53">
        <v>3714511.24</v>
      </c>
      <c r="H1734" s="56">
        <v>2.7995074354100269</v>
      </c>
      <c r="R1734" s="76">
        <f t="shared" si="321"/>
        <v>353559.26240000001</v>
      </c>
      <c r="S1734" s="53">
        <v>88389.815600000002</v>
      </c>
      <c r="AO1734" s="53">
        <f t="shared" si="322"/>
        <v>10398801.83529412</v>
      </c>
      <c r="AP1734" s="53">
        <f t="shared" si="322"/>
        <v>0</v>
      </c>
      <c r="AQ1734" s="53">
        <f t="shared" si="322"/>
        <v>0</v>
      </c>
      <c r="AR1734" s="53">
        <f t="shared" si="322"/>
        <v>0</v>
      </c>
      <c r="AS1734" s="53">
        <f t="shared" si="322"/>
        <v>0</v>
      </c>
      <c r="AT1734" s="53">
        <f t="shared" si="322"/>
        <v>0</v>
      </c>
      <c r="AU1734" s="53">
        <f t="shared" si="322"/>
        <v>0</v>
      </c>
      <c r="AV1734" s="53">
        <f t="shared" si="322"/>
        <v>0</v>
      </c>
      <c r="AW1734" s="53">
        <f t="shared" si="322"/>
        <v>0</v>
      </c>
      <c r="AX1734" s="53">
        <f t="shared" si="323"/>
        <v>0</v>
      </c>
      <c r="AY1734" s="41" t="s">
        <v>557</v>
      </c>
    </row>
    <row r="1735" spans="1:51" x14ac:dyDescent="0.2">
      <c r="A1735" s="41" t="s">
        <v>662</v>
      </c>
      <c r="B1735" s="41">
        <v>1971</v>
      </c>
      <c r="C1735" s="41" t="s">
        <v>91</v>
      </c>
      <c r="D1735" s="41" t="s">
        <v>137</v>
      </c>
      <c r="E1735" s="41">
        <v>0</v>
      </c>
      <c r="F1735" s="41" t="s">
        <v>9</v>
      </c>
      <c r="G1735" s="53">
        <v>3928887.24</v>
      </c>
      <c r="H1735" s="59">
        <v>3.1</v>
      </c>
      <c r="R1735" s="76">
        <f t="shared" si="321"/>
        <v>467278.72000000003</v>
      </c>
      <c r="S1735" s="53">
        <v>116819.68000000001</v>
      </c>
      <c r="AO1735" s="53">
        <f t="shared" si="322"/>
        <v>12179550.444</v>
      </c>
      <c r="AP1735" s="53">
        <f t="shared" si="322"/>
        <v>0</v>
      </c>
      <c r="AQ1735" s="53">
        <f t="shared" si="322"/>
        <v>0</v>
      </c>
      <c r="AR1735" s="53">
        <f t="shared" si="322"/>
        <v>0</v>
      </c>
      <c r="AS1735" s="53">
        <f t="shared" si="322"/>
        <v>0</v>
      </c>
      <c r="AT1735" s="53">
        <f t="shared" si="322"/>
        <v>0</v>
      </c>
      <c r="AU1735" s="53">
        <f t="shared" si="322"/>
        <v>0</v>
      </c>
      <c r="AV1735" s="53">
        <f t="shared" si="322"/>
        <v>0</v>
      </c>
      <c r="AW1735" s="53">
        <f t="shared" si="322"/>
        <v>0</v>
      </c>
      <c r="AX1735" s="53">
        <f t="shared" si="323"/>
        <v>0</v>
      </c>
      <c r="AY1735" s="41" t="s">
        <v>557</v>
      </c>
    </row>
    <row r="1736" spans="1:51" x14ac:dyDescent="0.2">
      <c r="A1736" s="41" t="s">
        <v>662</v>
      </c>
      <c r="B1736" s="41">
        <v>1972</v>
      </c>
      <c r="C1736" s="41" t="s">
        <v>91</v>
      </c>
      <c r="D1736" s="41" t="s">
        <v>137</v>
      </c>
      <c r="E1736" s="41">
        <v>0</v>
      </c>
      <c r="F1736" s="41" t="s">
        <v>9</v>
      </c>
      <c r="G1736" s="53">
        <v>4171314</v>
      </c>
      <c r="H1736" s="59">
        <v>2.9</v>
      </c>
      <c r="R1736" s="76">
        <f t="shared" si="321"/>
        <v>472996</v>
      </c>
      <c r="S1736" s="53">
        <v>118249</v>
      </c>
      <c r="AO1736" s="53">
        <f t="shared" si="322"/>
        <v>12096810.6</v>
      </c>
      <c r="AP1736" s="53">
        <f t="shared" si="322"/>
        <v>0</v>
      </c>
      <c r="AQ1736" s="53">
        <f t="shared" si="322"/>
        <v>0</v>
      </c>
      <c r="AR1736" s="53">
        <f t="shared" si="322"/>
        <v>0</v>
      </c>
      <c r="AS1736" s="53">
        <f t="shared" si="322"/>
        <v>0</v>
      </c>
      <c r="AT1736" s="53">
        <f t="shared" si="322"/>
        <v>0</v>
      </c>
      <c r="AU1736" s="53">
        <f t="shared" si="322"/>
        <v>0</v>
      </c>
      <c r="AV1736" s="53">
        <f t="shared" si="322"/>
        <v>0</v>
      </c>
      <c r="AW1736" s="53">
        <f t="shared" si="322"/>
        <v>0</v>
      </c>
      <c r="AX1736" s="53">
        <f t="shared" si="323"/>
        <v>0</v>
      </c>
      <c r="AY1736" s="41" t="s">
        <v>557</v>
      </c>
    </row>
    <row r="1737" spans="1:51" x14ac:dyDescent="0.2">
      <c r="A1737" s="41" t="s">
        <v>662</v>
      </c>
      <c r="B1737" s="41">
        <v>1973</v>
      </c>
      <c r="C1737" s="41" t="s">
        <v>91</v>
      </c>
      <c r="D1737" s="41" t="s">
        <v>137</v>
      </c>
      <c r="E1737" s="41">
        <v>0</v>
      </c>
      <c r="F1737" s="41" t="s">
        <v>9</v>
      </c>
      <c r="G1737" s="53">
        <v>5069954</v>
      </c>
      <c r="H1737" s="47">
        <v>2.8959762948539574</v>
      </c>
      <c r="R1737" s="76">
        <f t="shared" si="321"/>
        <v>522516</v>
      </c>
      <c r="S1737" s="53">
        <v>130629</v>
      </c>
      <c r="AO1737" s="53">
        <f t="shared" si="322"/>
        <v>14682466.6</v>
      </c>
      <c r="AP1737" s="53">
        <f t="shared" si="322"/>
        <v>0</v>
      </c>
      <c r="AQ1737" s="53">
        <f t="shared" si="322"/>
        <v>0</v>
      </c>
      <c r="AR1737" s="53">
        <f t="shared" si="322"/>
        <v>0</v>
      </c>
      <c r="AS1737" s="53">
        <f t="shared" si="322"/>
        <v>0</v>
      </c>
      <c r="AT1737" s="53">
        <f t="shared" si="322"/>
        <v>0</v>
      </c>
      <c r="AU1737" s="53">
        <f t="shared" si="322"/>
        <v>0</v>
      </c>
      <c r="AV1737" s="53">
        <f t="shared" si="322"/>
        <v>0</v>
      </c>
      <c r="AW1737" s="53">
        <f t="shared" si="322"/>
        <v>0</v>
      </c>
      <c r="AX1737" s="53">
        <f t="shared" si="323"/>
        <v>0</v>
      </c>
      <c r="AY1737" s="41" t="s">
        <v>557</v>
      </c>
    </row>
    <row r="1738" spans="1:51" x14ac:dyDescent="0.2">
      <c r="A1738" s="41" t="s">
        <v>662</v>
      </c>
      <c r="B1738" s="41">
        <v>1974</v>
      </c>
      <c r="C1738" s="41" t="s">
        <v>91</v>
      </c>
      <c r="D1738" s="41" t="s">
        <v>137</v>
      </c>
      <c r="E1738" s="41">
        <v>0</v>
      </c>
      <c r="F1738" s="41" t="s">
        <v>9</v>
      </c>
      <c r="G1738" s="53">
        <v>4949215</v>
      </c>
      <c r="H1738" s="56">
        <v>3.7968231563282377</v>
      </c>
      <c r="R1738" s="76">
        <f t="shared" si="321"/>
        <v>638904</v>
      </c>
      <c r="S1738" s="53">
        <v>159726</v>
      </c>
      <c r="AO1738" s="53">
        <f t="shared" si="322"/>
        <v>18791294.117647059</v>
      </c>
      <c r="AP1738" s="53">
        <f t="shared" si="322"/>
        <v>0</v>
      </c>
      <c r="AQ1738" s="53">
        <f t="shared" si="322"/>
        <v>0</v>
      </c>
      <c r="AR1738" s="53">
        <f t="shared" si="322"/>
        <v>0</v>
      </c>
      <c r="AS1738" s="53">
        <f t="shared" si="322"/>
        <v>0</v>
      </c>
      <c r="AT1738" s="53">
        <f t="shared" si="322"/>
        <v>0</v>
      </c>
      <c r="AU1738" s="53">
        <f t="shared" si="322"/>
        <v>0</v>
      </c>
      <c r="AV1738" s="53">
        <f t="shared" si="322"/>
        <v>0</v>
      </c>
      <c r="AW1738" s="53">
        <f t="shared" si="322"/>
        <v>0</v>
      </c>
      <c r="AX1738" s="53">
        <f t="shared" si="323"/>
        <v>0</v>
      </c>
      <c r="AY1738" s="41" t="s">
        <v>557</v>
      </c>
    </row>
    <row r="1739" spans="1:51" x14ac:dyDescent="0.2">
      <c r="A1739" s="41" t="s">
        <v>662</v>
      </c>
      <c r="B1739" s="41">
        <v>1975</v>
      </c>
      <c r="C1739" s="41" t="s">
        <v>91</v>
      </c>
      <c r="D1739" s="41" t="s">
        <v>137</v>
      </c>
      <c r="E1739" s="41">
        <v>0</v>
      </c>
      <c r="F1739" s="41" t="s">
        <v>9</v>
      </c>
      <c r="G1739" s="53">
        <v>4210657</v>
      </c>
      <c r="H1739" s="59">
        <v>3.1</v>
      </c>
      <c r="R1739" s="76">
        <f t="shared" si="321"/>
        <v>603264</v>
      </c>
      <c r="S1739" s="53">
        <v>150816</v>
      </c>
      <c r="AO1739" s="53">
        <f t="shared" si="322"/>
        <v>13053036.700000001</v>
      </c>
      <c r="AP1739" s="53">
        <f t="shared" si="322"/>
        <v>0</v>
      </c>
      <c r="AQ1739" s="53">
        <f t="shared" si="322"/>
        <v>0</v>
      </c>
      <c r="AR1739" s="53">
        <f t="shared" si="322"/>
        <v>0</v>
      </c>
      <c r="AS1739" s="53">
        <f t="shared" si="322"/>
        <v>0</v>
      </c>
      <c r="AT1739" s="53">
        <f t="shared" si="322"/>
        <v>0</v>
      </c>
      <c r="AU1739" s="53">
        <f t="shared" si="322"/>
        <v>0</v>
      </c>
      <c r="AV1739" s="53">
        <f t="shared" si="322"/>
        <v>0</v>
      </c>
      <c r="AW1739" s="53">
        <f t="shared" si="322"/>
        <v>0</v>
      </c>
      <c r="AX1739" s="53">
        <f t="shared" si="323"/>
        <v>0</v>
      </c>
      <c r="AY1739" s="41" t="s">
        <v>557</v>
      </c>
    </row>
    <row r="1740" spans="1:51" x14ac:dyDescent="0.2">
      <c r="A1740" s="41" t="s">
        <v>662</v>
      </c>
      <c r="B1740" s="41">
        <v>1976</v>
      </c>
      <c r="C1740" s="41" t="s">
        <v>91</v>
      </c>
      <c r="D1740" s="41" t="s">
        <v>137</v>
      </c>
      <c r="E1740" s="41">
        <v>0</v>
      </c>
      <c r="F1740" s="41" t="s">
        <v>9</v>
      </c>
      <c r="G1740" s="53">
        <v>4514319</v>
      </c>
      <c r="H1740" s="59">
        <v>3.23</v>
      </c>
      <c r="R1740" s="76">
        <f t="shared" si="321"/>
        <v>571564</v>
      </c>
      <c r="S1740" s="53">
        <v>142891</v>
      </c>
      <c r="AO1740" s="53">
        <f t="shared" si="322"/>
        <v>14581250.369999999</v>
      </c>
      <c r="AP1740" s="53">
        <f t="shared" si="322"/>
        <v>0</v>
      </c>
      <c r="AQ1740" s="53">
        <f t="shared" si="322"/>
        <v>0</v>
      </c>
      <c r="AR1740" s="53">
        <f t="shared" si="322"/>
        <v>0</v>
      </c>
      <c r="AS1740" s="53">
        <f t="shared" si="322"/>
        <v>0</v>
      </c>
      <c r="AT1740" s="53">
        <f t="shared" si="322"/>
        <v>0</v>
      </c>
      <c r="AU1740" s="53">
        <f t="shared" si="322"/>
        <v>0</v>
      </c>
      <c r="AV1740" s="53">
        <f t="shared" si="322"/>
        <v>0</v>
      </c>
      <c r="AW1740" s="53">
        <f t="shared" si="322"/>
        <v>0</v>
      </c>
      <c r="AX1740" s="53">
        <f t="shared" si="323"/>
        <v>0</v>
      </c>
      <c r="AY1740" s="41" t="s">
        <v>557</v>
      </c>
    </row>
    <row r="1741" spans="1:51" x14ac:dyDescent="0.2">
      <c r="A1741" s="41" t="s">
        <v>662</v>
      </c>
      <c r="B1741" s="41">
        <v>1977</v>
      </c>
      <c r="C1741" s="41" t="s">
        <v>91</v>
      </c>
      <c r="D1741" s="41" t="s">
        <v>137</v>
      </c>
      <c r="E1741" s="41">
        <v>0</v>
      </c>
      <c r="F1741" s="41" t="s">
        <v>9</v>
      </c>
      <c r="G1741" s="53">
        <v>5018591</v>
      </c>
      <c r="H1741" s="59">
        <v>3.1</v>
      </c>
      <c r="R1741" s="76">
        <f t="shared" si="321"/>
        <v>572876</v>
      </c>
      <c r="S1741" s="53">
        <v>143219</v>
      </c>
      <c r="AO1741" s="53">
        <f t="shared" si="322"/>
        <v>15557632.1</v>
      </c>
      <c r="AP1741" s="53">
        <f t="shared" si="322"/>
        <v>0</v>
      </c>
      <c r="AQ1741" s="53">
        <f t="shared" si="322"/>
        <v>0</v>
      </c>
      <c r="AR1741" s="53">
        <f t="shared" ref="AR1741:AW1772" si="324">$G1741*K1741</f>
        <v>0</v>
      </c>
      <c r="AS1741" s="53">
        <f t="shared" si="324"/>
        <v>0</v>
      </c>
      <c r="AT1741" s="53">
        <f t="shared" si="324"/>
        <v>0</v>
      </c>
      <c r="AU1741" s="53">
        <f t="shared" si="324"/>
        <v>0</v>
      </c>
      <c r="AV1741" s="53">
        <f t="shared" si="324"/>
        <v>0</v>
      </c>
      <c r="AW1741" s="53">
        <f t="shared" si="324"/>
        <v>0</v>
      </c>
      <c r="AX1741" s="53">
        <f t="shared" si="323"/>
        <v>0</v>
      </c>
      <c r="AY1741" s="41" t="s">
        <v>557</v>
      </c>
    </row>
    <row r="1742" spans="1:51" x14ac:dyDescent="0.2">
      <c r="A1742" s="41" t="s">
        <v>662</v>
      </c>
      <c r="B1742" s="41">
        <v>1978</v>
      </c>
      <c r="C1742" s="41" t="s">
        <v>91</v>
      </c>
      <c r="D1742" s="41" t="s">
        <v>137</v>
      </c>
      <c r="E1742" s="41">
        <v>0</v>
      </c>
      <c r="F1742" s="41" t="s">
        <v>9</v>
      </c>
      <c r="G1742" s="53">
        <v>4831957</v>
      </c>
      <c r="H1742" s="59">
        <v>3.4</v>
      </c>
      <c r="R1742" s="76">
        <f t="shared" si="321"/>
        <v>576464</v>
      </c>
      <c r="S1742" s="53">
        <v>144116</v>
      </c>
      <c r="AO1742" s="53">
        <f t="shared" ref="AO1742:AW1773" si="325">$G1742*H1742</f>
        <v>16428653.799999999</v>
      </c>
      <c r="AP1742" s="53">
        <f t="shared" si="325"/>
        <v>0</v>
      </c>
      <c r="AQ1742" s="53">
        <f t="shared" si="325"/>
        <v>0</v>
      </c>
      <c r="AR1742" s="53">
        <f t="shared" si="324"/>
        <v>0</v>
      </c>
      <c r="AS1742" s="53">
        <f t="shared" si="324"/>
        <v>0</v>
      </c>
      <c r="AT1742" s="53">
        <f t="shared" si="324"/>
        <v>0</v>
      </c>
      <c r="AU1742" s="53">
        <f t="shared" si="324"/>
        <v>0</v>
      </c>
      <c r="AV1742" s="53">
        <f t="shared" si="324"/>
        <v>0</v>
      </c>
      <c r="AW1742" s="53">
        <f t="shared" si="324"/>
        <v>0</v>
      </c>
      <c r="AX1742" s="53">
        <f t="shared" si="323"/>
        <v>0</v>
      </c>
      <c r="AY1742" s="41" t="s">
        <v>557</v>
      </c>
    </row>
    <row r="1743" spans="1:51" x14ac:dyDescent="0.2">
      <c r="A1743" s="41" t="s">
        <v>662</v>
      </c>
      <c r="B1743" s="41">
        <v>1979</v>
      </c>
      <c r="C1743" s="41" t="s">
        <v>91</v>
      </c>
      <c r="D1743" s="41" t="s">
        <v>137</v>
      </c>
      <c r="E1743" s="41">
        <v>0</v>
      </c>
      <c r="F1743" s="41" t="s">
        <v>9</v>
      </c>
      <c r="G1743" s="53">
        <v>4619100</v>
      </c>
      <c r="H1743" s="59">
        <v>3.8</v>
      </c>
      <c r="R1743" s="76">
        <f t="shared" si="321"/>
        <v>585416</v>
      </c>
      <c r="S1743" s="53">
        <v>146354</v>
      </c>
      <c r="AO1743" s="53">
        <f t="shared" si="325"/>
        <v>17552580</v>
      </c>
      <c r="AP1743" s="53">
        <f t="shared" si="325"/>
        <v>0</v>
      </c>
      <c r="AQ1743" s="53">
        <f t="shared" si="325"/>
        <v>0</v>
      </c>
      <c r="AR1743" s="53">
        <f t="shared" si="324"/>
        <v>0</v>
      </c>
      <c r="AS1743" s="53">
        <f t="shared" si="324"/>
        <v>0</v>
      </c>
      <c r="AT1743" s="53">
        <f t="shared" si="324"/>
        <v>0</v>
      </c>
      <c r="AU1743" s="53">
        <f t="shared" si="324"/>
        <v>0</v>
      </c>
      <c r="AV1743" s="53">
        <f t="shared" si="324"/>
        <v>0</v>
      </c>
      <c r="AW1743" s="53">
        <f t="shared" si="324"/>
        <v>0</v>
      </c>
      <c r="AX1743" s="53">
        <f t="shared" si="323"/>
        <v>0</v>
      </c>
      <c r="AY1743" s="41" t="s">
        <v>557</v>
      </c>
    </row>
    <row r="1744" spans="1:51" x14ac:dyDescent="0.2">
      <c r="A1744" s="41" t="s">
        <v>662</v>
      </c>
      <c r="B1744" s="41">
        <v>1980</v>
      </c>
      <c r="C1744" s="41" t="s">
        <v>91</v>
      </c>
      <c r="D1744" s="41" t="s">
        <v>137</v>
      </c>
      <c r="E1744" s="41">
        <v>0</v>
      </c>
      <c r="F1744" s="41" t="s">
        <v>9</v>
      </c>
      <c r="G1744" s="53">
        <v>4585583</v>
      </c>
      <c r="H1744" s="59">
        <v>2.88</v>
      </c>
      <c r="R1744" s="76">
        <f t="shared" si="321"/>
        <v>585552</v>
      </c>
      <c r="S1744" s="53">
        <v>146388</v>
      </c>
      <c r="AO1744" s="53">
        <f t="shared" si="325"/>
        <v>13206479.039999999</v>
      </c>
      <c r="AP1744" s="53">
        <f t="shared" si="325"/>
        <v>0</v>
      </c>
      <c r="AQ1744" s="53">
        <f t="shared" si="325"/>
        <v>0</v>
      </c>
      <c r="AR1744" s="53">
        <f t="shared" si="324"/>
        <v>0</v>
      </c>
      <c r="AS1744" s="53">
        <f t="shared" si="324"/>
        <v>0</v>
      </c>
      <c r="AT1744" s="53">
        <f t="shared" si="324"/>
        <v>0</v>
      </c>
      <c r="AU1744" s="53">
        <f t="shared" si="324"/>
        <v>0</v>
      </c>
      <c r="AV1744" s="53">
        <f t="shared" si="324"/>
        <v>0</v>
      </c>
      <c r="AW1744" s="53">
        <f t="shared" si="324"/>
        <v>0</v>
      </c>
      <c r="AX1744" s="53">
        <f t="shared" si="323"/>
        <v>0</v>
      </c>
      <c r="AY1744" s="41" t="s">
        <v>557</v>
      </c>
    </row>
    <row r="1745" spans="1:51" x14ac:dyDescent="0.2">
      <c r="A1745" s="41" t="s">
        <v>662</v>
      </c>
      <c r="B1745" s="41">
        <v>1981</v>
      </c>
      <c r="C1745" s="41" t="s">
        <v>91</v>
      </c>
      <c r="D1745" s="41" t="s">
        <v>137</v>
      </c>
      <c r="E1745" s="41">
        <v>0</v>
      </c>
      <c r="F1745" s="41" t="s">
        <v>9</v>
      </c>
      <c r="G1745" s="53">
        <v>4802188</v>
      </c>
      <c r="H1745" s="59">
        <v>3.6</v>
      </c>
      <c r="R1745" s="76">
        <f t="shared" si="321"/>
        <v>551308</v>
      </c>
      <c r="S1745" s="53">
        <v>137827</v>
      </c>
      <c r="AO1745" s="53">
        <f t="shared" si="325"/>
        <v>17287876.800000001</v>
      </c>
      <c r="AP1745" s="53">
        <f t="shared" si="325"/>
        <v>0</v>
      </c>
      <c r="AQ1745" s="53">
        <f t="shared" si="325"/>
        <v>0</v>
      </c>
      <c r="AR1745" s="53">
        <f t="shared" si="324"/>
        <v>0</v>
      </c>
      <c r="AS1745" s="53">
        <f t="shared" si="324"/>
        <v>0</v>
      </c>
      <c r="AT1745" s="53">
        <f t="shared" si="324"/>
        <v>0</v>
      </c>
      <c r="AU1745" s="53">
        <f t="shared" si="324"/>
        <v>0</v>
      </c>
      <c r="AV1745" s="53">
        <f t="shared" si="324"/>
        <v>0</v>
      </c>
      <c r="AW1745" s="53">
        <f t="shared" si="324"/>
        <v>0</v>
      </c>
      <c r="AX1745" s="53">
        <f t="shared" si="323"/>
        <v>0</v>
      </c>
      <c r="AY1745" s="41" t="s">
        <v>557</v>
      </c>
    </row>
    <row r="1746" spans="1:51" x14ac:dyDescent="0.2">
      <c r="A1746" s="41" t="s">
        <v>662</v>
      </c>
      <c r="B1746" s="41">
        <v>1982</v>
      </c>
      <c r="C1746" s="41" t="s">
        <v>91</v>
      </c>
      <c r="D1746" s="41" t="s">
        <v>137</v>
      </c>
      <c r="E1746" s="41">
        <v>0</v>
      </c>
      <c r="F1746" s="41" t="s">
        <v>9</v>
      </c>
      <c r="G1746" s="53">
        <v>5209626</v>
      </c>
      <c r="H1746" s="46">
        <v>3.1884109703844383</v>
      </c>
      <c r="R1746" s="76">
        <f t="shared" si="321"/>
        <v>620628</v>
      </c>
      <c r="S1746" s="53">
        <v>155157</v>
      </c>
      <c r="AO1746" s="53">
        <f t="shared" si="325"/>
        <v>16610428.689999999</v>
      </c>
      <c r="AP1746" s="53">
        <f t="shared" si="325"/>
        <v>0</v>
      </c>
      <c r="AQ1746" s="53">
        <f t="shared" si="325"/>
        <v>0</v>
      </c>
      <c r="AR1746" s="53">
        <f t="shared" si="324"/>
        <v>0</v>
      </c>
      <c r="AS1746" s="53">
        <f t="shared" si="324"/>
        <v>0</v>
      </c>
      <c r="AT1746" s="53">
        <f t="shared" si="324"/>
        <v>0</v>
      </c>
      <c r="AU1746" s="53">
        <f t="shared" si="324"/>
        <v>0</v>
      </c>
      <c r="AV1746" s="53">
        <f t="shared" si="324"/>
        <v>0</v>
      </c>
      <c r="AW1746" s="53">
        <f t="shared" si="324"/>
        <v>0</v>
      </c>
      <c r="AX1746" s="53">
        <f t="shared" si="323"/>
        <v>0</v>
      </c>
      <c r="AY1746" s="41" t="s">
        <v>557</v>
      </c>
    </row>
    <row r="1747" spans="1:51" x14ac:dyDescent="0.2">
      <c r="A1747" s="41" t="s">
        <v>662</v>
      </c>
      <c r="B1747" s="41">
        <v>1983</v>
      </c>
      <c r="C1747" s="41" t="s">
        <v>91</v>
      </c>
      <c r="D1747" s="41" t="s">
        <v>137</v>
      </c>
      <c r="E1747" s="41">
        <v>0</v>
      </c>
      <c r="F1747" s="41" t="s">
        <v>9</v>
      </c>
      <c r="G1747" s="53">
        <v>5429625</v>
      </c>
      <c r="H1747" s="46">
        <v>3.2416575730368118</v>
      </c>
      <c r="R1747" s="76">
        <f t="shared" si="321"/>
        <v>658428</v>
      </c>
      <c r="S1747" s="53">
        <v>164607</v>
      </c>
      <c r="AO1747" s="53">
        <f t="shared" si="325"/>
        <v>17600985</v>
      </c>
      <c r="AP1747" s="53">
        <f t="shared" si="325"/>
        <v>0</v>
      </c>
      <c r="AQ1747" s="53">
        <f t="shared" si="325"/>
        <v>0</v>
      </c>
      <c r="AR1747" s="53">
        <f t="shared" si="324"/>
        <v>0</v>
      </c>
      <c r="AS1747" s="53">
        <f t="shared" si="324"/>
        <v>0</v>
      </c>
      <c r="AT1747" s="53">
        <f t="shared" si="324"/>
        <v>0</v>
      </c>
      <c r="AU1747" s="53">
        <f t="shared" si="324"/>
        <v>0</v>
      </c>
      <c r="AV1747" s="53">
        <f t="shared" si="324"/>
        <v>0</v>
      </c>
      <c r="AW1747" s="53">
        <f t="shared" si="324"/>
        <v>0</v>
      </c>
      <c r="AX1747" s="53">
        <f t="shared" si="323"/>
        <v>0</v>
      </c>
      <c r="AY1747" s="41" t="s">
        <v>557</v>
      </c>
    </row>
    <row r="1748" spans="1:51" x14ac:dyDescent="0.2">
      <c r="A1748" s="41" t="s">
        <v>662</v>
      </c>
      <c r="B1748" s="41">
        <v>1984</v>
      </c>
      <c r="C1748" s="41" t="s">
        <v>91</v>
      </c>
      <c r="D1748" s="41" t="s">
        <v>137</v>
      </c>
      <c r="E1748" s="41">
        <v>0</v>
      </c>
      <c r="F1748" s="41" t="s">
        <v>9</v>
      </c>
      <c r="G1748" s="53">
        <v>4664542</v>
      </c>
      <c r="H1748" s="59">
        <v>3.55</v>
      </c>
      <c r="R1748" s="76">
        <f t="shared" si="321"/>
        <v>638856</v>
      </c>
      <c r="S1748" s="53">
        <v>159714</v>
      </c>
      <c r="AO1748" s="53">
        <f t="shared" si="325"/>
        <v>16559124.1</v>
      </c>
      <c r="AP1748" s="53">
        <f t="shared" si="325"/>
        <v>0</v>
      </c>
      <c r="AQ1748" s="53">
        <f t="shared" si="325"/>
        <v>0</v>
      </c>
      <c r="AR1748" s="53">
        <f t="shared" si="324"/>
        <v>0</v>
      </c>
      <c r="AS1748" s="53">
        <f t="shared" si="324"/>
        <v>0</v>
      </c>
      <c r="AT1748" s="53">
        <f t="shared" si="324"/>
        <v>0</v>
      </c>
      <c r="AU1748" s="53">
        <f t="shared" si="324"/>
        <v>0</v>
      </c>
      <c r="AV1748" s="53">
        <f t="shared" si="324"/>
        <v>0</v>
      </c>
      <c r="AW1748" s="53">
        <f t="shared" si="324"/>
        <v>0</v>
      </c>
      <c r="AX1748" s="53">
        <f t="shared" si="323"/>
        <v>0</v>
      </c>
      <c r="AY1748" s="41" t="s">
        <v>557</v>
      </c>
    </row>
    <row r="1749" spans="1:51" x14ac:dyDescent="0.2">
      <c r="A1749" s="41" t="s">
        <v>662</v>
      </c>
      <c r="B1749" s="41">
        <v>1985</v>
      </c>
      <c r="C1749" s="41" t="s">
        <v>91</v>
      </c>
      <c r="D1749" s="41" t="s">
        <v>137</v>
      </c>
      <c r="E1749" s="41">
        <v>0</v>
      </c>
      <c r="F1749" s="41" t="s">
        <v>9</v>
      </c>
      <c r="G1749" s="53">
        <v>5191718</v>
      </c>
      <c r="H1749" s="59">
        <v>3.61</v>
      </c>
      <c r="R1749" s="76">
        <f t="shared" si="321"/>
        <v>719620</v>
      </c>
      <c r="S1749" s="53">
        <v>179905</v>
      </c>
      <c r="AO1749" s="53">
        <f t="shared" si="325"/>
        <v>18742101.98</v>
      </c>
      <c r="AP1749" s="53">
        <f t="shared" si="325"/>
        <v>0</v>
      </c>
      <c r="AQ1749" s="53">
        <f t="shared" si="325"/>
        <v>0</v>
      </c>
      <c r="AR1749" s="53">
        <f t="shared" si="324"/>
        <v>0</v>
      </c>
      <c r="AS1749" s="53">
        <f t="shared" si="324"/>
        <v>0</v>
      </c>
      <c r="AT1749" s="53">
        <f t="shared" si="324"/>
        <v>0</v>
      </c>
      <c r="AU1749" s="53">
        <f t="shared" si="324"/>
        <v>0</v>
      </c>
      <c r="AV1749" s="53">
        <f t="shared" si="324"/>
        <v>0</v>
      </c>
      <c r="AW1749" s="53">
        <f t="shared" si="324"/>
        <v>0</v>
      </c>
      <c r="AX1749" s="53">
        <f t="shared" si="323"/>
        <v>0</v>
      </c>
      <c r="AY1749" s="41" t="s">
        <v>557</v>
      </c>
    </row>
    <row r="1750" spans="1:51" x14ac:dyDescent="0.2">
      <c r="A1750" s="41" t="s">
        <v>662</v>
      </c>
      <c r="B1750" s="41">
        <v>1986</v>
      </c>
      <c r="C1750" s="41" t="s">
        <v>91</v>
      </c>
      <c r="D1750" s="41" t="s">
        <v>137</v>
      </c>
      <c r="E1750" s="41">
        <v>0</v>
      </c>
      <c r="F1750" s="41" t="s">
        <v>9</v>
      </c>
      <c r="G1750" s="53">
        <v>5706167</v>
      </c>
      <c r="H1750" s="59">
        <v>3.24</v>
      </c>
      <c r="R1750" s="76">
        <f t="shared" si="321"/>
        <v>702328</v>
      </c>
      <c r="S1750" s="53">
        <v>175582</v>
      </c>
      <c r="AO1750" s="53">
        <f t="shared" si="325"/>
        <v>18487981.080000002</v>
      </c>
      <c r="AP1750" s="53">
        <f t="shared" si="325"/>
        <v>0</v>
      </c>
      <c r="AQ1750" s="53">
        <f t="shared" si="325"/>
        <v>0</v>
      </c>
      <c r="AR1750" s="53">
        <f t="shared" si="324"/>
        <v>0</v>
      </c>
      <c r="AS1750" s="53">
        <f t="shared" si="324"/>
        <v>0</v>
      </c>
      <c r="AT1750" s="53">
        <f t="shared" si="324"/>
        <v>0</v>
      </c>
      <c r="AU1750" s="53">
        <f t="shared" si="324"/>
        <v>0</v>
      </c>
      <c r="AV1750" s="53">
        <f t="shared" si="324"/>
        <v>0</v>
      </c>
      <c r="AW1750" s="53">
        <f t="shared" si="324"/>
        <v>0</v>
      </c>
      <c r="AX1750" s="53">
        <f t="shared" si="323"/>
        <v>0</v>
      </c>
      <c r="AY1750" s="41" t="s">
        <v>557</v>
      </c>
    </row>
    <row r="1751" spans="1:51" x14ac:dyDescent="0.2">
      <c r="A1751" s="41" t="s">
        <v>662</v>
      </c>
      <c r="B1751" s="41">
        <v>1987</v>
      </c>
      <c r="C1751" s="41" t="s">
        <v>91</v>
      </c>
      <c r="D1751" s="41" t="s">
        <v>137</v>
      </c>
      <c r="E1751" s="41">
        <v>0</v>
      </c>
      <c r="F1751" s="41" t="s">
        <v>9</v>
      </c>
      <c r="G1751" s="53">
        <v>6142625</v>
      </c>
      <c r="H1751" s="46">
        <v>3.2548028326651881</v>
      </c>
      <c r="R1751" s="76">
        <f t="shared" si="321"/>
        <v>756468</v>
      </c>
      <c r="S1751" s="53">
        <v>189117</v>
      </c>
      <c r="AO1751" s="53">
        <f t="shared" si="325"/>
        <v>19993033.25</v>
      </c>
      <c r="AP1751" s="53">
        <f t="shared" si="325"/>
        <v>0</v>
      </c>
      <c r="AQ1751" s="53">
        <f t="shared" si="325"/>
        <v>0</v>
      </c>
      <c r="AR1751" s="53">
        <f t="shared" si="324"/>
        <v>0</v>
      </c>
      <c r="AS1751" s="53">
        <f t="shared" si="324"/>
        <v>0</v>
      </c>
      <c r="AT1751" s="53">
        <f t="shared" si="324"/>
        <v>0</v>
      </c>
      <c r="AU1751" s="53">
        <f t="shared" si="324"/>
        <v>0</v>
      </c>
      <c r="AV1751" s="53">
        <f t="shared" si="324"/>
        <v>0</v>
      </c>
      <c r="AW1751" s="53">
        <f t="shared" si="324"/>
        <v>0</v>
      </c>
      <c r="AX1751" s="53">
        <f t="shared" si="323"/>
        <v>0</v>
      </c>
      <c r="AY1751" s="41" t="s">
        <v>557</v>
      </c>
    </row>
    <row r="1752" spans="1:51" x14ac:dyDescent="0.2">
      <c r="A1752" s="41" t="s">
        <v>662</v>
      </c>
      <c r="B1752" s="41">
        <v>1988</v>
      </c>
      <c r="C1752" s="41" t="s">
        <v>91</v>
      </c>
      <c r="D1752" s="41" t="s">
        <v>137</v>
      </c>
      <c r="E1752" s="41">
        <v>0</v>
      </c>
      <c r="F1752" s="41" t="s">
        <v>9</v>
      </c>
      <c r="G1752" s="53">
        <v>5430636</v>
      </c>
      <c r="H1752" s="47">
        <v>3</v>
      </c>
      <c r="R1752" s="76">
        <f t="shared" si="321"/>
        <v>643400</v>
      </c>
      <c r="S1752" s="53">
        <v>160850</v>
      </c>
      <c r="AO1752" s="53">
        <f t="shared" si="325"/>
        <v>16291908</v>
      </c>
      <c r="AP1752" s="53">
        <f t="shared" si="325"/>
        <v>0</v>
      </c>
      <c r="AQ1752" s="53">
        <f t="shared" si="325"/>
        <v>0</v>
      </c>
      <c r="AR1752" s="53">
        <f t="shared" si="324"/>
        <v>0</v>
      </c>
      <c r="AS1752" s="53">
        <f t="shared" si="324"/>
        <v>0</v>
      </c>
      <c r="AT1752" s="53">
        <f t="shared" si="324"/>
        <v>0</v>
      </c>
      <c r="AU1752" s="53">
        <f t="shared" si="324"/>
        <v>0</v>
      </c>
      <c r="AV1752" s="53">
        <f t="shared" si="324"/>
        <v>0</v>
      </c>
      <c r="AW1752" s="53">
        <f t="shared" si="324"/>
        <v>0</v>
      </c>
      <c r="AX1752" s="53">
        <f t="shared" si="323"/>
        <v>0</v>
      </c>
      <c r="AY1752" s="41" t="s">
        <v>557</v>
      </c>
    </row>
    <row r="1753" spans="1:51" x14ac:dyDescent="0.2">
      <c r="A1753" s="41" t="s">
        <v>662</v>
      </c>
      <c r="B1753" s="41">
        <v>1989</v>
      </c>
      <c r="C1753" s="41" t="s">
        <v>91</v>
      </c>
      <c r="D1753" s="41" t="s">
        <v>137</v>
      </c>
      <c r="E1753" s="41">
        <v>0</v>
      </c>
      <c r="F1753" s="41" t="s">
        <v>9</v>
      </c>
      <c r="G1753" s="53">
        <v>5855071</v>
      </c>
      <c r="H1753" s="41">
        <v>3.1</v>
      </c>
      <c r="R1753" s="76">
        <f t="shared" si="321"/>
        <v>696600</v>
      </c>
      <c r="S1753" s="53">
        <v>174150</v>
      </c>
      <c r="AO1753" s="53">
        <f t="shared" si="325"/>
        <v>18150720.100000001</v>
      </c>
      <c r="AP1753" s="53">
        <f t="shared" si="325"/>
        <v>0</v>
      </c>
      <c r="AQ1753" s="53">
        <f t="shared" si="325"/>
        <v>0</v>
      </c>
      <c r="AR1753" s="53">
        <f t="shared" si="324"/>
        <v>0</v>
      </c>
      <c r="AS1753" s="53">
        <f t="shared" si="324"/>
        <v>0</v>
      </c>
      <c r="AT1753" s="53">
        <f t="shared" si="324"/>
        <v>0</v>
      </c>
      <c r="AU1753" s="53">
        <f t="shared" si="324"/>
        <v>0</v>
      </c>
      <c r="AV1753" s="53">
        <f t="shared" si="324"/>
        <v>0</v>
      </c>
      <c r="AW1753" s="53">
        <f t="shared" si="324"/>
        <v>0</v>
      </c>
      <c r="AX1753" s="53">
        <f t="shared" si="323"/>
        <v>0</v>
      </c>
      <c r="AY1753" s="41" t="s">
        <v>557</v>
      </c>
    </row>
    <row r="1754" spans="1:51" x14ac:dyDescent="0.2">
      <c r="A1754" s="41" t="s">
        <v>662</v>
      </c>
      <c r="B1754" s="41">
        <v>1990</v>
      </c>
      <c r="C1754" s="41" t="s">
        <v>91</v>
      </c>
      <c r="D1754" s="41" t="s">
        <v>137</v>
      </c>
      <c r="E1754" s="41">
        <v>0</v>
      </c>
      <c r="F1754" s="41" t="s">
        <v>9</v>
      </c>
      <c r="G1754" s="53">
        <v>5980710</v>
      </c>
      <c r="H1754" s="41">
        <v>3.1</v>
      </c>
      <c r="R1754" s="76">
        <f t="shared" si="321"/>
        <v>717040</v>
      </c>
      <c r="S1754" s="53">
        <v>179260</v>
      </c>
      <c r="AO1754" s="53">
        <f t="shared" si="325"/>
        <v>18540201</v>
      </c>
      <c r="AP1754" s="53">
        <f t="shared" si="325"/>
        <v>0</v>
      </c>
      <c r="AQ1754" s="53">
        <f t="shared" si="325"/>
        <v>0</v>
      </c>
      <c r="AR1754" s="53">
        <f t="shared" si="324"/>
        <v>0</v>
      </c>
      <c r="AS1754" s="53">
        <f t="shared" si="324"/>
        <v>0</v>
      </c>
      <c r="AT1754" s="53">
        <f t="shared" si="324"/>
        <v>0</v>
      </c>
      <c r="AU1754" s="53">
        <f t="shared" si="324"/>
        <v>0</v>
      </c>
      <c r="AV1754" s="53">
        <f t="shared" si="324"/>
        <v>0</v>
      </c>
      <c r="AW1754" s="53">
        <f t="shared" si="324"/>
        <v>0</v>
      </c>
      <c r="AX1754" s="53">
        <f t="shared" si="323"/>
        <v>0</v>
      </c>
      <c r="AY1754" s="41" t="s">
        <v>557</v>
      </c>
    </row>
    <row r="1755" spans="1:51" x14ac:dyDescent="0.2">
      <c r="A1755" s="41" t="s">
        <v>662</v>
      </c>
      <c r="B1755" s="41">
        <v>1991</v>
      </c>
      <c r="C1755" s="41" t="s">
        <v>91</v>
      </c>
      <c r="D1755" s="41" t="s">
        <v>137</v>
      </c>
      <c r="E1755" s="41">
        <v>0</v>
      </c>
      <c r="F1755" s="41" t="s">
        <v>9</v>
      </c>
      <c r="G1755" s="53">
        <v>5772349</v>
      </c>
      <c r="H1755" s="41">
        <v>3.2</v>
      </c>
      <c r="R1755" s="76">
        <f t="shared" si="321"/>
        <v>717216</v>
      </c>
      <c r="S1755" s="53">
        <v>179304</v>
      </c>
      <c r="AO1755" s="53">
        <f t="shared" si="325"/>
        <v>18471516.800000001</v>
      </c>
      <c r="AP1755" s="53">
        <f t="shared" si="325"/>
        <v>0</v>
      </c>
      <c r="AQ1755" s="53">
        <f t="shared" si="325"/>
        <v>0</v>
      </c>
      <c r="AR1755" s="53">
        <f t="shared" si="324"/>
        <v>0</v>
      </c>
      <c r="AS1755" s="53">
        <f t="shared" si="324"/>
        <v>0</v>
      </c>
      <c r="AT1755" s="53">
        <f t="shared" si="324"/>
        <v>0</v>
      </c>
      <c r="AU1755" s="53">
        <f t="shared" si="324"/>
        <v>0</v>
      </c>
      <c r="AV1755" s="53">
        <f t="shared" si="324"/>
        <v>0</v>
      </c>
      <c r="AW1755" s="53">
        <f t="shared" si="324"/>
        <v>0</v>
      </c>
      <c r="AX1755" s="53">
        <f t="shared" si="323"/>
        <v>0</v>
      </c>
      <c r="AY1755" s="41" t="s">
        <v>557</v>
      </c>
    </row>
    <row r="1756" spans="1:51" x14ac:dyDescent="0.2">
      <c r="A1756" s="41" t="s">
        <v>662</v>
      </c>
      <c r="B1756" s="41">
        <v>1992</v>
      </c>
      <c r="C1756" s="41" t="s">
        <v>91</v>
      </c>
      <c r="D1756" s="41" t="s">
        <v>137</v>
      </c>
      <c r="E1756" s="41">
        <v>0</v>
      </c>
      <c r="F1756" s="41" t="s">
        <v>9</v>
      </c>
      <c r="G1756" s="53">
        <v>5260484</v>
      </c>
      <c r="H1756" s="41">
        <v>3.1</v>
      </c>
      <c r="R1756" s="76">
        <f t="shared" si="321"/>
        <v>683612</v>
      </c>
      <c r="S1756" s="53">
        <v>170903</v>
      </c>
      <c r="AO1756" s="53">
        <f t="shared" si="325"/>
        <v>16307500.4</v>
      </c>
      <c r="AP1756" s="53">
        <f t="shared" si="325"/>
        <v>0</v>
      </c>
      <c r="AQ1756" s="53">
        <f t="shared" si="325"/>
        <v>0</v>
      </c>
      <c r="AR1756" s="53">
        <f t="shared" si="324"/>
        <v>0</v>
      </c>
      <c r="AS1756" s="53">
        <f t="shared" si="324"/>
        <v>0</v>
      </c>
      <c r="AT1756" s="53">
        <f t="shared" si="324"/>
        <v>0</v>
      </c>
      <c r="AU1756" s="53">
        <f t="shared" si="324"/>
        <v>0</v>
      </c>
      <c r="AV1756" s="53">
        <f t="shared" si="324"/>
        <v>0</v>
      </c>
      <c r="AW1756" s="53">
        <f t="shared" si="324"/>
        <v>0</v>
      </c>
      <c r="AX1756" s="53">
        <f t="shared" si="323"/>
        <v>0</v>
      </c>
      <c r="AY1756" s="41" t="s">
        <v>557</v>
      </c>
    </row>
    <row r="1757" spans="1:51" x14ac:dyDescent="0.2">
      <c r="A1757" s="41" t="s">
        <v>662</v>
      </c>
      <c r="B1757" s="41">
        <v>1993</v>
      </c>
      <c r="C1757" s="41" t="s">
        <v>91</v>
      </c>
      <c r="D1757" s="41" t="s">
        <v>137</v>
      </c>
      <c r="E1757" s="41">
        <v>0</v>
      </c>
      <c r="F1757" s="41" t="s">
        <v>9</v>
      </c>
      <c r="G1757" s="53">
        <v>6022438</v>
      </c>
      <c r="H1757" s="41">
        <v>3.3</v>
      </c>
      <c r="R1757" s="76">
        <f t="shared" si="321"/>
        <v>755213.72519999999</v>
      </c>
      <c r="S1757" s="53">
        <v>188803.4313</v>
      </c>
      <c r="AO1757" s="53">
        <f t="shared" si="325"/>
        <v>19874045.399999999</v>
      </c>
      <c r="AP1757" s="53">
        <f t="shared" si="325"/>
        <v>0</v>
      </c>
      <c r="AQ1757" s="53">
        <f t="shared" si="325"/>
        <v>0</v>
      </c>
      <c r="AR1757" s="53">
        <f t="shared" si="324"/>
        <v>0</v>
      </c>
      <c r="AS1757" s="53">
        <f t="shared" si="324"/>
        <v>0</v>
      </c>
      <c r="AT1757" s="53">
        <f t="shared" si="324"/>
        <v>0</v>
      </c>
      <c r="AU1757" s="53">
        <f t="shared" si="324"/>
        <v>0</v>
      </c>
      <c r="AV1757" s="53">
        <f t="shared" si="324"/>
        <v>0</v>
      </c>
      <c r="AW1757" s="53">
        <f t="shared" si="324"/>
        <v>0</v>
      </c>
      <c r="AX1757" s="53">
        <f t="shared" si="323"/>
        <v>0</v>
      </c>
      <c r="AY1757" s="41" t="s">
        <v>557</v>
      </c>
    </row>
    <row r="1758" spans="1:51" x14ac:dyDescent="0.2">
      <c r="A1758" s="41" t="s">
        <v>662</v>
      </c>
      <c r="B1758" s="41">
        <v>1994</v>
      </c>
      <c r="C1758" s="41" t="s">
        <v>91</v>
      </c>
      <c r="D1758" s="41" t="s">
        <v>137</v>
      </c>
      <c r="E1758" s="41">
        <v>0</v>
      </c>
      <c r="F1758" s="41" t="s">
        <v>9</v>
      </c>
      <c r="G1758" s="53">
        <v>5941932</v>
      </c>
      <c r="H1758" s="41">
        <v>3.3</v>
      </c>
      <c r="R1758" s="76">
        <f t="shared" si="321"/>
        <v>739627.92763199995</v>
      </c>
      <c r="S1758" s="53">
        <v>184906.98190799999</v>
      </c>
      <c r="AO1758" s="53">
        <f t="shared" si="325"/>
        <v>19608375.599999998</v>
      </c>
      <c r="AP1758" s="53">
        <f t="shared" si="325"/>
        <v>0</v>
      </c>
      <c r="AQ1758" s="53">
        <f t="shared" si="325"/>
        <v>0</v>
      </c>
      <c r="AR1758" s="53">
        <f t="shared" si="324"/>
        <v>0</v>
      </c>
      <c r="AS1758" s="53">
        <f t="shared" si="324"/>
        <v>0</v>
      </c>
      <c r="AT1758" s="53">
        <f t="shared" si="324"/>
        <v>0</v>
      </c>
      <c r="AU1758" s="53">
        <f t="shared" si="324"/>
        <v>0</v>
      </c>
      <c r="AV1758" s="53">
        <f t="shared" si="324"/>
        <v>0</v>
      </c>
      <c r="AW1758" s="53">
        <f t="shared" si="324"/>
        <v>0</v>
      </c>
      <c r="AX1758" s="53">
        <f t="shared" si="323"/>
        <v>0</v>
      </c>
      <c r="AY1758" s="41" t="s">
        <v>557</v>
      </c>
    </row>
    <row r="1759" spans="1:51" x14ac:dyDescent="0.2">
      <c r="A1759" s="41" t="s">
        <v>662</v>
      </c>
      <c r="B1759" s="41">
        <v>1995</v>
      </c>
      <c r="C1759" s="41" t="s">
        <v>91</v>
      </c>
      <c r="D1759" s="41" t="s">
        <v>137</v>
      </c>
      <c r="E1759" s="41">
        <v>0</v>
      </c>
      <c r="F1759" s="41" t="s">
        <v>9</v>
      </c>
      <c r="G1759" s="53">
        <v>4892674</v>
      </c>
      <c r="H1759" s="41">
        <v>3.3</v>
      </c>
      <c r="R1759" s="76">
        <f t="shared" si="321"/>
        <v>611603.82069599989</v>
      </c>
      <c r="S1759" s="53">
        <v>152900.95517399997</v>
      </c>
      <c r="AO1759" s="53">
        <f t="shared" si="325"/>
        <v>16145824.199999999</v>
      </c>
      <c r="AP1759" s="53">
        <f t="shared" si="325"/>
        <v>0</v>
      </c>
      <c r="AQ1759" s="53">
        <f t="shared" si="325"/>
        <v>0</v>
      </c>
      <c r="AR1759" s="53">
        <f t="shared" si="324"/>
        <v>0</v>
      </c>
      <c r="AS1759" s="53">
        <f t="shared" si="324"/>
        <v>0</v>
      </c>
      <c r="AT1759" s="53">
        <f t="shared" si="324"/>
        <v>0</v>
      </c>
      <c r="AU1759" s="53">
        <f t="shared" si="324"/>
        <v>0</v>
      </c>
      <c r="AV1759" s="53">
        <f t="shared" si="324"/>
        <v>0</v>
      </c>
      <c r="AW1759" s="53">
        <f t="shared" si="324"/>
        <v>0</v>
      </c>
      <c r="AX1759" s="53">
        <f t="shared" si="323"/>
        <v>0</v>
      </c>
      <c r="AY1759" s="41" t="s">
        <v>557</v>
      </c>
    </row>
    <row r="1760" spans="1:51" x14ac:dyDescent="0.2">
      <c r="A1760" s="41" t="s">
        <v>662</v>
      </c>
      <c r="B1760" s="41">
        <v>1996</v>
      </c>
      <c r="C1760" s="41" t="s">
        <v>91</v>
      </c>
      <c r="D1760" s="41" t="s">
        <v>137</v>
      </c>
      <c r="E1760" s="41">
        <v>0</v>
      </c>
      <c r="F1760" s="41" t="s">
        <v>9</v>
      </c>
      <c r="G1760" s="53">
        <v>5718596</v>
      </c>
      <c r="H1760" s="41">
        <v>3.3</v>
      </c>
      <c r="R1760" s="76">
        <f t="shared" si="321"/>
        <v>710318.24635199993</v>
      </c>
      <c r="S1760" s="53">
        <v>177579.56158799998</v>
      </c>
      <c r="AO1760" s="53">
        <f t="shared" si="325"/>
        <v>18871366.800000001</v>
      </c>
      <c r="AP1760" s="53">
        <f t="shared" si="325"/>
        <v>0</v>
      </c>
      <c r="AQ1760" s="53">
        <f t="shared" si="325"/>
        <v>0</v>
      </c>
      <c r="AR1760" s="53">
        <f t="shared" si="324"/>
        <v>0</v>
      </c>
      <c r="AS1760" s="53">
        <f t="shared" si="324"/>
        <v>0</v>
      </c>
      <c r="AT1760" s="53">
        <f t="shared" si="324"/>
        <v>0</v>
      </c>
      <c r="AU1760" s="53">
        <f t="shared" si="324"/>
        <v>0</v>
      </c>
      <c r="AV1760" s="53">
        <f t="shared" si="324"/>
        <v>0</v>
      </c>
      <c r="AW1760" s="53">
        <f t="shared" si="324"/>
        <v>0</v>
      </c>
      <c r="AX1760" s="53">
        <f t="shared" si="323"/>
        <v>0</v>
      </c>
      <c r="AY1760" s="41" t="s">
        <v>557</v>
      </c>
    </row>
    <row r="1761" spans="1:51" x14ac:dyDescent="0.2">
      <c r="A1761" s="41" t="s">
        <v>662</v>
      </c>
      <c r="B1761" s="41">
        <v>1997</v>
      </c>
      <c r="C1761" s="41" t="s">
        <v>91</v>
      </c>
      <c r="D1761" s="41" t="s">
        <v>137</v>
      </c>
      <c r="E1761" s="41">
        <v>0</v>
      </c>
      <c r="F1761" s="41" t="s">
        <v>9</v>
      </c>
      <c r="G1761" s="53">
        <v>5460023</v>
      </c>
      <c r="H1761" s="41">
        <v>3.5</v>
      </c>
      <c r="R1761" s="76">
        <f t="shared" si="321"/>
        <v>713188.20426000014</v>
      </c>
      <c r="S1761" s="53">
        <v>178297.05106500004</v>
      </c>
      <c r="AO1761" s="53">
        <f t="shared" si="325"/>
        <v>19110080.5</v>
      </c>
      <c r="AP1761" s="53">
        <f t="shared" si="325"/>
        <v>0</v>
      </c>
      <c r="AQ1761" s="53">
        <f t="shared" si="325"/>
        <v>0</v>
      </c>
      <c r="AR1761" s="53">
        <f t="shared" si="324"/>
        <v>0</v>
      </c>
      <c r="AS1761" s="53">
        <f t="shared" si="324"/>
        <v>0</v>
      </c>
      <c r="AT1761" s="53">
        <f t="shared" si="324"/>
        <v>0</v>
      </c>
      <c r="AU1761" s="53">
        <f t="shared" si="324"/>
        <v>0</v>
      </c>
      <c r="AV1761" s="53">
        <f t="shared" si="324"/>
        <v>0</v>
      </c>
      <c r="AW1761" s="53">
        <f t="shared" si="324"/>
        <v>0</v>
      </c>
      <c r="AX1761" s="53">
        <f t="shared" si="323"/>
        <v>0</v>
      </c>
      <c r="AY1761" s="41" t="s">
        <v>557</v>
      </c>
    </row>
    <row r="1762" spans="1:51" x14ac:dyDescent="0.2">
      <c r="A1762" s="41" t="s">
        <v>662</v>
      </c>
      <c r="B1762" s="41">
        <v>1998</v>
      </c>
      <c r="C1762" s="41" t="s">
        <v>91</v>
      </c>
      <c r="D1762" s="41" t="s">
        <v>137</v>
      </c>
      <c r="E1762" s="41">
        <v>0</v>
      </c>
      <c r="F1762" s="41" t="s">
        <v>9</v>
      </c>
      <c r="G1762" s="53">
        <v>4177133</v>
      </c>
      <c r="H1762" s="46">
        <v>3.7827114587062587</v>
      </c>
      <c r="R1762" s="76">
        <f t="shared" si="321"/>
        <v>584519.53644000005</v>
      </c>
      <c r="S1762" s="53">
        <v>146129.88411000001</v>
      </c>
      <c r="AO1762" s="53">
        <f t="shared" si="325"/>
        <v>15800888.863640051</v>
      </c>
      <c r="AP1762" s="53">
        <f t="shared" si="325"/>
        <v>0</v>
      </c>
      <c r="AQ1762" s="53">
        <f t="shared" si="325"/>
        <v>0</v>
      </c>
      <c r="AR1762" s="53">
        <f t="shared" si="324"/>
        <v>0</v>
      </c>
      <c r="AS1762" s="53">
        <f t="shared" si="324"/>
        <v>0</v>
      </c>
      <c r="AT1762" s="53">
        <f t="shared" si="324"/>
        <v>0</v>
      </c>
      <c r="AU1762" s="53">
        <f t="shared" si="324"/>
        <v>0</v>
      </c>
      <c r="AV1762" s="53">
        <f t="shared" si="324"/>
        <v>0</v>
      </c>
      <c r="AW1762" s="53">
        <f t="shared" si="324"/>
        <v>0</v>
      </c>
      <c r="AX1762" s="53">
        <f t="shared" si="323"/>
        <v>0</v>
      </c>
      <c r="AY1762" s="41" t="s">
        <v>557</v>
      </c>
    </row>
    <row r="1763" spans="1:51" x14ac:dyDescent="0.2">
      <c r="A1763" s="41" t="s">
        <v>662</v>
      </c>
      <c r="B1763" s="41">
        <v>1999</v>
      </c>
      <c r="C1763" s="41" t="s">
        <v>91</v>
      </c>
      <c r="D1763" s="41" t="s">
        <v>137</v>
      </c>
      <c r="E1763" s="41">
        <v>0</v>
      </c>
      <c r="F1763" s="41" t="s">
        <v>9</v>
      </c>
      <c r="G1763" s="53">
        <v>5032311</v>
      </c>
      <c r="H1763" s="46">
        <v>3.8296909481606995</v>
      </c>
      <c r="R1763" s="76">
        <f t="shared" si="321"/>
        <v>640118.91859999998</v>
      </c>
      <c r="S1763" s="53">
        <v>160029.72964999999</v>
      </c>
      <c r="AO1763" s="53">
        <f t="shared" si="325"/>
        <v>19272195.885029517</v>
      </c>
      <c r="AP1763" s="53">
        <f t="shared" si="325"/>
        <v>0</v>
      </c>
      <c r="AQ1763" s="53">
        <f t="shared" si="325"/>
        <v>0</v>
      </c>
      <c r="AR1763" s="53">
        <f t="shared" si="324"/>
        <v>0</v>
      </c>
      <c r="AS1763" s="53">
        <f t="shared" si="324"/>
        <v>0</v>
      </c>
      <c r="AT1763" s="53">
        <f t="shared" si="324"/>
        <v>0</v>
      </c>
      <c r="AU1763" s="53">
        <f t="shared" si="324"/>
        <v>0</v>
      </c>
      <c r="AV1763" s="53">
        <f t="shared" si="324"/>
        <v>0</v>
      </c>
      <c r="AW1763" s="53">
        <f t="shared" si="324"/>
        <v>0</v>
      </c>
      <c r="AX1763" s="53">
        <f t="shared" si="323"/>
        <v>0</v>
      </c>
      <c r="AY1763" s="41" t="s">
        <v>557</v>
      </c>
    </row>
    <row r="1764" spans="1:51" x14ac:dyDescent="0.2">
      <c r="A1764" s="41" t="s">
        <v>662</v>
      </c>
      <c r="B1764" s="41">
        <v>2000</v>
      </c>
      <c r="C1764" s="41" t="s">
        <v>91</v>
      </c>
      <c r="D1764" s="41" t="s">
        <v>137</v>
      </c>
      <c r="E1764" s="41">
        <v>0</v>
      </c>
      <c r="F1764" s="41" t="s">
        <v>9</v>
      </c>
      <c r="G1764" s="53">
        <v>5273168</v>
      </c>
      <c r="H1764" s="46">
        <v>3.7383561578849234</v>
      </c>
      <c r="R1764" s="76">
        <f t="shared" si="321"/>
        <v>728529.04706399993</v>
      </c>
      <c r="S1764" s="53">
        <v>182132.26176599998</v>
      </c>
      <c r="AO1764" s="53">
        <f t="shared" si="325"/>
        <v>19712980.064361725</v>
      </c>
      <c r="AP1764" s="53">
        <f t="shared" si="325"/>
        <v>0</v>
      </c>
      <c r="AQ1764" s="53">
        <f t="shared" si="325"/>
        <v>0</v>
      </c>
      <c r="AR1764" s="53">
        <f t="shared" si="324"/>
        <v>0</v>
      </c>
      <c r="AS1764" s="53">
        <f t="shared" si="324"/>
        <v>0</v>
      </c>
      <c r="AT1764" s="53">
        <f t="shared" si="324"/>
        <v>0</v>
      </c>
      <c r="AU1764" s="53">
        <f t="shared" si="324"/>
        <v>0</v>
      </c>
      <c r="AV1764" s="53">
        <f t="shared" si="324"/>
        <v>0</v>
      </c>
      <c r="AW1764" s="53">
        <f t="shared" si="324"/>
        <v>0</v>
      </c>
      <c r="AX1764" s="53">
        <f t="shared" si="323"/>
        <v>0</v>
      </c>
      <c r="AY1764" s="41" t="s">
        <v>557</v>
      </c>
    </row>
    <row r="1765" spans="1:51" x14ac:dyDescent="0.2">
      <c r="A1765" s="41" t="s">
        <v>662</v>
      </c>
      <c r="B1765" s="41">
        <v>2001</v>
      </c>
      <c r="C1765" s="41" t="s">
        <v>91</v>
      </c>
      <c r="D1765" s="41" t="s">
        <v>137</v>
      </c>
      <c r="E1765" s="41">
        <v>0</v>
      </c>
      <c r="F1765" s="41" t="s">
        <v>9</v>
      </c>
      <c r="G1765" s="53">
        <v>5767301</v>
      </c>
      <c r="H1765" s="46">
        <v>3.5999518908411403</v>
      </c>
      <c r="R1765" s="76">
        <f t="shared" si="321"/>
        <v>744193.86465599993</v>
      </c>
      <c r="S1765" s="53">
        <v>186048.46616399998</v>
      </c>
      <c r="AO1765" s="53">
        <f t="shared" si="325"/>
        <v>20762006.140000001</v>
      </c>
      <c r="AP1765" s="53">
        <f t="shared" si="325"/>
        <v>0</v>
      </c>
      <c r="AQ1765" s="53">
        <f t="shared" si="325"/>
        <v>0</v>
      </c>
      <c r="AR1765" s="53">
        <f t="shared" si="324"/>
        <v>0</v>
      </c>
      <c r="AS1765" s="53">
        <f t="shared" si="324"/>
        <v>0</v>
      </c>
      <c r="AT1765" s="53">
        <f t="shared" si="324"/>
        <v>0</v>
      </c>
      <c r="AU1765" s="53">
        <f t="shared" si="324"/>
        <v>0</v>
      </c>
      <c r="AV1765" s="53">
        <f t="shared" si="324"/>
        <v>0</v>
      </c>
      <c r="AW1765" s="53">
        <f t="shared" si="324"/>
        <v>0</v>
      </c>
      <c r="AX1765" s="53">
        <f t="shared" si="323"/>
        <v>0</v>
      </c>
      <c r="AY1765" s="41" t="s">
        <v>557</v>
      </c>
    </row>
    <row r="1766" spans="1:51" x14ac:dyDescent="0.2">
      <c r="A1766" s="41" t="s">
        <v>662</v>
      </c>
      <c r="B1766" s="41">
        <v>2002</v>
      </c>
      <c r="C1766" s="41" t="s">
        <v>91</v>
      </c>
      <c r="D1766" s="41" t="s">
        <v>137</v>
      </c>
      <c r="E1766" s="41">
        <v>0</v>
      </c>
      <c r="F1766" s="41" t="s">
        <v>9</v>
      </c>
      <c r="G1766" s="53">
        <v>5583273</v>
      </c>
      <c r="H1766" s="46">
        <v>3.5029010797071902</v>
      </c>
      <c r="R1766" s="76">
        <f t="shared" si="321"/>
        <v>780135.64214400004</v>
      </c>
      <c r="S1766" s="53">
        <v>195033.91053600001</v>
      </c>
      <c r="AO1766" s="53">
        <f t="shared" si="325"/>
        <v>19557653.020000003</v>
      </c>
      <c r="AP1766" s="53">
        <f t="shared" si="325"/>
        <v>0</v>
      </c>
      <c r="AQ1766" s="53">
        <f t="shared" si="325"/>
        <v>0</v>
      </c>
      <c r="AR1766" s="53">
        <f t="shared" si="324"/>
        <v>0</v>
      </c>
      <c r="AS1766" s="53">
        <f t="shared" si="324"/>
        <v>0</v>
      </c>
      <c r="AT1766" s="53">
        <f t="shared" si="324"/>
        <v>0</v>
      </c>
      <c r="AU1766" s="53">
        <f t="shared" si="324"/>
        <v>0</v>
      </c>
      <c r="AV1766" s="53">
        <f t="shared" si="324"/>
        <v>0</v>
      </c>
      <c r="AW1766" s="53">
        <f t="shared" si="324"/>
        <v>0</v>
      </c>
      <c r="AX1766" s="53">
        <f t="shared" si="323"/>
        <v>0</v>
      </c>
      <c r="AY1766" s="41" t="s">
        <v>557</v>
      </c>
    </row>
    <row r="1767" spans="1:51" x14ac:dyDescent="0.2">
      <c r="A1767" s="41" t="s">
        <v>662</v>
      </c>
      <c r="B1767" s="41">
        <v>2003</v>
      </c>
      <c r="C1767" s="41" t="s">
        <v>91</v>
      </c>
      <c r="D1767" s="41" t="s">
        <v>137</v>
      </c>
      <c r="E1767" s="41">
        <v>0</v>
      </c>
      <c r="F1767" s="41" t="s">
        <v>9</v>
      </c>
      <c r="G1767" s="53">
        <v>5186464</v>
      </c>
      <c r="H1767" s="41">
        <v>3.49</v>
      </c>
      <c r="R1767" s="76">
        <f t="shared" si="321"/>
        <v>797348</v>
      </c>
      <c r="S1767" s="53">
        <v>199337</v>
      </c>
      <c r="AO1767" s="53">
        <f t="shared" si="325"/>
        <v>18100759.359999999</v>
      </c>
      <c r="AP1767" s="53">
        <f t="shared" si="325"/>
        <v>0</v>
      </c>
      <c r="AQ1767" s="53">
        <f t="shared" si="325"/>
        <v>0</v>
      </c>
      <c r="AR1767" s="53">
        <f t="shared" si="324"/>
        <v>0</v>
      </c>
      <c r="AS1767" s="53">
        <f t="shared" si="324"/>
        <v>0</v>
      </c>
      <c r="AT1767" s="53">
        <f t="shared" si="324"/>
        <v>0</v>
      </c>
      <c r="AU1767" s="53">
        <f t="shared" si="324"/>
        <v>0</v>
      </c>
      <c r="AV1767" s="53">
        <f t="shared" si="324"/>
        <v>0</v>
      </c>
      <c r="AW1767" s="53">
        <f t="shared" si="324"/>
        <v>0</v>
      </c>
      <c r="AX1767" s="53">
        <f t="shared" si="323"/>
        <v>0</v>
      </c>
      <c r="AY1767" s="41" t="s">
        <v>557</v>
      </c>
    </row>
    <row r="1768" spans="1:51" x14ac:dyDescent="0.2">
      <c r="A1768" s="41" t="s">
        <v>662</v>
      </c>
      <c r="B1768" s="41">
        <v>2004</v>
      </c>
      <c r="C1768" s="41" t="s">
        <v>91</v>
      </c>
      <c r="D1768" s="41" t="s">
        <v>137</v>
      </c>
      <c r="E1768" s="41">
        <v>0</v>
      </c>
      <c r="F1768" s="41" t="s">
        <v>9</v>
      </c>
      <c r="G1768" s="53">
        <v>5481698</v>
      </c>
      <c r="H1768" s="41">
        <v>3.37</v>
      </c>
      <c r="R1768" s="76">
        <f t="shared" si="321"/>
        <v>680788</v>
      </c>
      <c r="S1768" s="53">
        <v>170197</v>
      </c>
      <c r="AO1768" s="53">
        <f t="shared" si="325"/>
        <v>18473322.260000002</v>
      </c>
      <c r="AP1768" s="53">
        <f t="shared" si="325"/>
        <v>0</v>
      </c>
      <c r="AQ1768" s="53">
        <f t="shared" si="325"/>
        <v>0</v>
      </c>
      <c r="AR1768" s="53">
        <f t="shared" si="324"/>
        <v>0</v>
      </c>
      <c r="AS1768" s="53">
        <f t="shared" si="324"/>
        <v>0</v>
      </c>
      <c r="AT1768" s="53">
        <f t="shared" si="324"/>
        <v>0</v>
      </c>
      <c r="AU1768" s="53">
        <f t="shared" si="324"/>
        <v>0</v>
      </c>
      <c r="AV1768" s="53">
        <f t="shared" si="324"/>
        <v>0</v>
      </c>
      <c r="AW1768" s="53">
        <f t="shared" si="324"/>
        <v>0</v>
      </c>
      <c r="AX1768" s="53">
        <f t="shared" si="323"/>
        <v>0</v>
      </c>
      <c r="AY1768" s="41" t="s">
        <v>557</v>
      </c>
    </row>
    <row r="1769" spans="1:51" x14ac:dyDescent="0.2">
      <c r="A1769" s="41" t="s">
        <v>662</v>
      </c>
      <c r="B1769" s="41">
        <v>2005</v>
      </c>
      <c r="C1769" s="41" t="s">
        <v>91</v>
      </c>
      <c r="D1769" s="41" t="s">
        <v>137</v>
      </c>
      <c r="E1769" s="41">
        <v>0</v>
      </c>
      <c r="F1769" s="41" t="s">
        <v>9</v>
      </c>
      <c r="G1769" s="53">
        <v>5638312</v>
      </c>
      <c r="H1769" s="41">
        <v>3.36</v>
      </c>
      <c r="R1769" s="76">
        <f t="shared" si="321"/>
        <v>709928</v>
      </c>
      <c r="S1769" s="53">
        <v>177482</v>
      </c>
      <c r="AO1769" s="53">
        <f t="shared" si="325"/>
        <v>18944728.32</v>
      </c>
      <c r="AP1769" s="53">
        <f t="shared" si="325"/>
        <v>0</v>
      </c>
      <c r="AQ1769" s="53">
        <f t="shared" si="325"/>
        <v>0</v>
      </c>
      <c r="AR1769" s="53">
        <f t="shared" si="324"/>
        <v>0</v>
      </c>
      <c r="AS1769" s="53">
        <f t="shared" si="324"/>
        <v>0</v>
      </c>
      <c r="AT1769" s="53">
        <f t="shared" si="324"/>
        <v>0</v>
      </c>
      <c r="AU1769" s="53">
        <f t="shared" si="324"/>
        <v>0</v>
      </c>
      <c r="AV1769" s="53">
        <f t="shared" si="324"/>
        <v>0</v>
      </c>
      <c r="AW1769" s="53">
        <f t="shared" si="324"/>
        <v>0</v>
      </c>
      <c r="AX1769" s="53">
        <f t="shared" si="323"/>
        <v>0</v>
      </c>
      <c r="AY1769" s="41" t="s">
        <v>557</v>
      </c>
    </row>
    <row r="1770" spans="1:51" x14ac:dyDescent="0.2">
      <c r="A1770" s="41" t="s">
        <v>662</v>
      </c>
      <c r="B1770" s="41">
        <v>2006</v>
      </c>
      <c r="C1770" s="41" t="s">
        <v>91</v>
      </c>
      <c r="D1770" s="41" t="s">
        <v>137</v>
      </c>
      <c r="E1770" s="41">
        <v>0</v>
      </c>
      <c r="F1770" s="41" t="s">
        <v>9</v>
      </c>
      <c r="G1770" s="53">
        <v>6129366</v>
      </c>
      <c r="H1770" s="41">
        <v>3.42</v>
      </c>
      <c r="R1770" s="76">
        <f t="shared" si="321"/>
        <v>776540</v>
      </c>
      <c r="S1770" s="53">
        <v>194135</v>
      </c>
      <c r="AO1770" s="53">
        <f t="shared" si="325"/>
        <v>20962431.719999999</v>
      </c>
      <c r="AP1770" s="53">
        <f t="shared" si="325"/>
        <v>0</v>
      </c>
      <c r="AQ1770" s="53">
        <f t="shared" si="325"/>
        <v>0</v>
      </c>
      <c r="AR1770" s="53">
        <f t="shared" si="324"/>
        <v>0</v>
      </c>
      <c r="AS1770" s="53">
        <f t="shared" si="324"/>
        <v>0</v>
      </c>
      <c r="AT1770" s="53">
        <f t="shared" si="324"/>
        <v>0</v>
      </c>
      <c r="AU1770" s="53">
        <f t="shared" si="324"/>
        <v>0</v>
      </c>
      <c r="AV1770" s="53">
        <f t="shared" si="324"/>
        <v>0</v>
      </c>
      <c r="AW1770" s="53">
        <f t="shared" si="324"/>
        <v>0</v>
      </c>
      <c r="AX1770" s="53">
        <f t="shared" si="323"/>
        <v>0</v>
      </c>
      <c r="AY1770" s="41" t="s">
        <v>557</v>
      </c>
    </row>
    <row r="1771" spans="1:51" x14ac:dyDescent="0.2">
      <c r="A1771" s="41" t="s">
        <v>662</v>
      </c>
      <c r="B1771" s="41">
        <v>2007</v>
      </c>
      <c r="C1771" s="41" t="s">
        <v>91</v>
      </c>
      <c r="D1771" s="41" t="s">
        <v>137</v>
      </c>
      <c r="E1771" s="41">
        <v>0</v>
      </c>
      <c r="F1771" s="41" t="s">
        <v>9</v>
      </c>
      <c r="G1771" s="53">
        <v>6059744</v>
      </c>
      <c r="H1771" s="41">
        <v>3.12</v>
      </c>
      <c r="R1771" s="76">
        <f t="shared" si="321"/>
        <v>690208</v>
      </c>
      <c r="S1771" s="53">
        <v>172552</v>
      </c>
      <c r="AO1771" s="53">
        <f t="shared" si="325"/>
        <v>18906401.280000001</v>
      </c>
      <c r="AP1771" s="53">
        <f t="shared" si="325"/>
        <v>0</v>
      </c>
      <c r="AQ1771" s="53">
        <f t="shared" si="325"/>
        <v>0</v>
      </c>
      <c r="AR1771" s="53">
        <f t="shared" si="324"/>
        <v>0</v>
      </c>
      <c r="AS1771" s="53">
        <f t="shared" si="324"/>
        <v>0</v>
      </c>
      <c r="AT1771" s="53">
        <f t="shared" si="324"/>
        <v>0</v>
      </c>
      <c r="AU1771" s="53">
        <f t="shared" si="324"/>
        <v>0</v>
      </c>
      <c r="AV1771" s="53">
        <f t="shared" si="324"/>
        <v>0</v>
      </c>
      <c r="AW1771" s="53">
        <f t="shared" si="324"/>
        <v>0</v>
      </c>
      <c r="AX1771" s="53">
        <f t="shared" si="323"/>
        <v>0</v>
      </c>
      <c r="AY1771" s="41" t="s">
        <v>557</v>
      </c>
    </row>
    <row r="1772" spans="1:51" x14ac:dyDescent="0.2">
      <c r="A1772" s="41" t="s">
        <v>662</v>
      </c>
      <c r="B1772" s="41">
        <v>2008</v>
      </c>
      <c r="C1772" s="41" t="s">
        <v>91</v>
      </c>
      <c r="D1772" s="41" t="s">
        <v>137</v>
      </c>
      <c r="E1772" s="41">
        <v>0</v>
      </c>
      <c r="F1772" s="41" t="s">
        <v>9</v>
      </c>
      <c r="G1772" s="53">
        <v>5881244</v>
      </c>
      <c r="H1772" s="41">
        <v>2.84</v>
      </c>
      <c r="R1772" s="76">
        <f t="shared" si="321"/>
        <v>606308</v>
      </c>
      <c r="S1772" s="53">
        <v>151577</v>
      </c>
      <c r="AO1772" s="53">
        <f t="shared" si="325"/>
        <v>16702732.959999999</v>
      </c>
      <c r="AP1772" s="53">
        <f t="shared" si="325"/>
        <v>0</v>
      </c>
      <c r="AQ1772" s="53">
        <f t="shared" si="325"/>
        <v>0</v>
      </c>
      <c r="AR1772" s="53">
        <f t="shared" si="324"/>
        <v>0</v>
      </c>
      <c r="AS1772" s="53">
        <f t="shared" si="324"/>
        <v>0</v>
      </c>
      <c r="AT1772" s="53">
        <f t="shared" si="324"/>
        <v>0</v>
      </c>
      <c r="AU1772" s="53">
        <f t="shared" si="324"/>
        <v>0</v>
      </c>
      <c r="AV1772" s="53">
        <f t="shared" si="324"/>
        <v>0</v>
      </c>
      <c r="AW1772" s="53">
        <f t="shared" si="324"/>
        <v>0</v>
      </c>
      <c r="AX1772" s="53">
        <f t="shared" si="323"/>
        <v>0</v>
      </c>
      <c r="AY1772" s="41" t="s">
        <v>557</v>
      </c>
    </row>
    <row r="1773" spans="1:51" x14ac:dyDescent="0.2">
      <c r="A1773" s="41" t="s">
        <v>662</v>
      </c>
      <c r="B1773" s="41">
        <v>2009</v>
      </c>
      <c r="C1773" s="41" t="s">
        <v>91</v>
      </c>
      <c r="D1773" s="41" t="s">
        <v>137</v>
      </c>
      <c r="E1773" s="41">
        <v>0</v>
      </c>
      <c r="F1773" s="41" t="s">
        <v>9</v>
      </c>
      <c r="G1773" s="53">
        <v>6028600</v>
      </c>
      <c r="H1773" s="41">
        <v>2.95</v>
      </c>
      <c r="R1773" s="76">
        <f t="shared" si="321"/>
        <v>647788</v>
      </c>
      <c r="S1773" s="53">
        <v>161947</v>
      </c>
      <c r="AO1773" s="53">
        <f t="shared" si="325"/>
        <v>17784370</v>
      </c>
      <c r="AP1773" s="53">
        <f t="shared" si="325"/>
        <v>0</v>
      </c>
      <c r="AQ1773" s="53">
        <f t="shared" si="325"/>
        <v>0</v>
      </c>
      <c r="AR1773" s="53">
        <f t="shared" si="325"/>
        <v>0</v>
      </c>
      <c r="AS1773" s="53">
        <f t="shared" si="325"/>
        <v>0</v>
      </c>
      <c r="AT1773" s="53">
        <f t="shared" si="325"/>
        <v>0</v>
      </c>
      <c r="AU1773" s="53">
        <f t="shared" si="325"/>
        <v>0</v>
      </c>
      <c r="AV1773" s="53">
        <f t="shared" si="325"/>
        <v>0</v>
      </c>
      <c r="AW1773" s="53">
        <f t="shared" si="325"/>
        <v>0</v>
      </c>
      <c r="AX1773" s="53">
        <f t="shared" si="323"/>
        <v>0</v>
      </c>
      <c r="AY1773" s="41" t="s">
        <v>557</v>
      </c>
    </row>
    <row r="1774" spans="1:51" x14ac:dyDescent="0.2">
      <c r="A1774" s="41" t="s">
        <v>662</v>
      </c>
      <c r="B1774" s="41">
        <v>2010</v>
      </c>
      <c r="C1774" s="41" t="s">
        <v>91</v>
      </c>
      <c r="D1774" s="41" t="s">
        <v>137</v>
      </c>
      <c r="E1774" s="41">
        <v>0</v>
      </c>
      <c r="F1774" s="41" t="s">
        <v>9</v>
      </c>
      <c r="G1774" s="53">
        <v>6092414</v>
      </c>
      <c r="H1774" s="41">
        <v>2.91</v>
      </c>
      <c r="R1774" s="76">
        <f t="shared" si="321"/>
        <v>630784</v>
      </c>
      <c r="S1774" s="53">
        <v>157696</v>
      </c>
      <c r="AO1774" s="53">
        <f t="shared" ref="AO1774:AW1781" si="326">$G1774*H1774</f>
        <v>17728924.740000002</v>
      </c>
      <c r="AP1774" s="53">
        <f t="shared" si="326"/>
        <v>0</v>
      </c>
      <c r="AQ1774" s="53">
        <f t="shared" si="326"/>
        <v>0</v>
      </c>
      <c r="AR1774" s="53">
        <f t="shared" si="326"/>
        <v>0</v>
      </c>
      <c r="AS1774" s="53">
        <f t="shared" si="326"/>
        <v>0</v>
      </c>
      <c r="AT1774" s="53">
        <f t="shared" si="326"/>
        <v>0</v>
      </c>
      <c r="AU1774" s="53">
        <f t="shared" si="326"/>
        <v>0</v>
      </c>
      <c r="AV1774" s="53">
        <f t="shared" si="326"/>
        <v>0</v>
      </c>
      <c r="AW1774" s="53">
        <f t="shared" si="326"/>
        <v>0</v>
      </c>
      <c r="AX1774" s="53">
        <f t="shared" si="323"/>
        <v>0</v>
      </c>
      <c r="AY1774" s="41" t="s">
        <v>557</v>
      </c>
    </row>
    <row r="1775" spans="1:51" x14ac:dyDescent="0.2">
      <c r="A1775" s="41" t="s">
        <v>662</v>
      </c>
      <c r="B1775" s="41">
        <v>2011</v>
      </c>
      <c r="C1775" s="41" t="s">
        <v>91</v>
      </c>
      <c r="D1775" s="41" t="s">
        <v>137</v>
      </c>
      <c r="E1775" s="41">
        <v>0</v>
      </c>
      <c r="F1775" s="41" t="s">
        <v>9</v>
      </c>
      <c r="G1775" s="53">
        <v>5882967</v>
      </c>
      <c r="H1775" s="41">
        <v>2.73</v>
      </c>
      <c r="R1775" s="76">
        <f t="shared" si="321"/>
        <v>595036</v>
      </c>
      <c r="S1775" s="53">
        <v>148759</v>
      </c>
      <c r="AO1775" s="53">
        <f t="shared" si="326"/>
        <v>16060499.91</v>
      </c>
      <c r="AP1775" s="53">
        <f t="shared" si="326"/>
        <v>0</v>
      </c>
      <c r="AQ1775" s="53">
        <f t="shared" si="326"/>
        <v>0</v>
      </c>
      <c r="AR1775" s="53">
        <f t="shared" si="326"/>
        <v>0</v>
      </c>
      <c r="AS1775" s="53">
        <f t="shared" si="326"/>
        <v>0</v>
      </c>
      <c r="AT1775" s="53">
        <f t="shared" si="326"/>
        <v>0</v>
      </c>
      <c r="AU1775" s="53">
        <f t="shared" si="326"/>
        <v>0</v>
      </c>
      <c r="AV1775" s="53">
        <f t="shared" si="326"/>
        <v>0</v>
      </c>
      <c r="AW1775" s="53">
        <f t="shared" si="326"/>
        <v>0</v>
      </c>
      <c r="AX1775" s="53">
        <f t="shared" si="323"/>
        <v>0</v>
      </c>
      <c r="AY1775" s="41" t="s">
        <v>557</v>
      </c>
    </row>
    <row r="1776" spans="1:51" x14ac:dyDescent="0.2">
      <c r="A1776" s="41" t="s">
        <v>662</v>
      </c>
      <c r="B1776" s="41">
        <v>2012</v>
      </c>
      <c r="C1776" s="41" t="s">
        <v>91</v>
      </c>
      <c r="D1776" s="41" t="s">
        <v>137</v>
      </c>
      <c r="E1776" s="41">
        <v>0</v>
      </c>
      <c r="F1776" s="41" t="s">
        <v>9</v>
      </c>
      <c r="G1776" s="53">
        <v>6305368</v>
      </c>
      <c r="H1776" s="41">
        <v>2.4900000000000002</v>
      </c>
      <c r="R1776" s="76">
        <f t="shared" si="321"/>
        <v>570820</v>
      </c>
      <c r="S1776" s="53">
        <v>142705</v>
      </c>
      <c r="AO1776" s="53">
        <f t="shared" si="326"/>
        <v>15700366.320000002</v>
      </c>
      <c r="AP1776" s="53">
        <f t="shared" si="326"/>
        <v>0</v>
      </c>
      <c r="AQ1776" s="53">
        <f t="shared" si="326"/>
        <v>0</v>
      </c>
      <c r="AR1776" s="53">
        <f t="shared" si="326"/>
        <v>0</v>
      </c>
      <c r="AS1776" s="53">
        <f t="shared" si="326"/>
        <v>0</v>
      </c>
      <c r="AT1776" s="53">
        <f t="shared" si="326"/>
        <v>0</v>
      </c>
      <c r="AU1776" s="53">
        <f t="shared" si="326"/>
        <v>0</v>
      </c>
      <c r="AV1776" s="53">
        <f t="shared" si="326"/>
        <v>0</v>
      </c>
      <c r="AW1776" s="53">
        <f t="shared" si="326"/>
        <v>0</v>
      </c>
      <c r="AX1776" s="53">
        <f t="shared" si="323"/>
        <v>0</v>
      </c>
      <c r="AY1776" s="41" t="s">
        <v>557</v>
      </c>
    </row>
    <row r="1777" spans="1:51" x14ac:dyDescent="0.2">
      <c r="A1777" s="41" t="s">
        <v>662</v>
      </c>
      <c r="B1777" s="41">
        <v>2013</v>
      </c>
      <c r="C1777" s="41" t="s">
        <v>91</v>
      </c>
      <c r="D1777" s="41" t="s">
        <v>137</v>
      </c>
      <c r="E1777" s="41">
        <v>0</v>
      </c>
      <c r="F1777" s="41" t="s">
        <v>9</v>
      </c>
      <c r="G1777" s="76">
        <v>6300000</v>
      </c>
      <c r="H1777" s="56">
        <v>2.4342079207920793</v>
      </c>
      <c r="R1777" s="76">
        <f>S1777*4</f>
        <v>574161.49069306941</v>
      </c>
      <c r="S1777" s="76">
        <v>143540.37267326735</v>
      </c>
      <c r="AO1777" s="53">
        <f t="shared" si="326"/>
        <v>15335509.900990099</v>
      </c>
      <c r="AP1777" s="53">
        <f t="shared" si="326"/>
        <v>0</v>
      </c>
      <c r="AQ1777" s="53">
        <f t="shared" si="326"/>
        <v>0</v>
      </c>
      <c r="AR1777" s="53">
        <f t="shared" si="326"/>
        <v>0</v>
      </c>
      <c r="AS1777" s="53">
        <f t="shared" si="326"/>
        <v>0</v>
      </c>
      <c r="AT1777" s="53">
        <f t="shared" si="326"/>
        <v>0</v>
      </c>
      <c r="AU1777" s="53">
        <f t="shared" si="326"/>
        <v>0</v>
      </c>
      <c r="AV1777" s="53">
        <f t="shared" si="326"/>
        <v>0</v>
      </c>
      <c r="AW1777" s="53">
        <f t="shared" si="326"/>
        <v>0</v>
      </c>
      <c r="AX1777" s="53">
        <f t="shared" ref="AX1777:AX1840" si="327">$G1777*E1777</f>
        <v>0</v>
      </c>
      <c r="AY1777" s="41" t="s">
        <v>557</v>
      </c>
    </row>
    <row r="1778" spans="1:51" x14ac:dyDescent="0.2">
      <c r="A1778" s="41" t="s">
        <v>662</v>
      </c>
      <c r="B1778" s="41">
        <v>2014</v>
      </c>
      <c r="C1778" s="41" t="s">
        <v>91</v>
      </c>
      <c r="D1778" s="41" t="s">
        <v>137</v>
      </c>
      <c r="E1778" s="41">
        <v>0</v>
      </c>
      <c r="F1778" s="41" t="s">
        <v>9</v>
      </c>
      <c r="G1778" s="76">
        <v>6500000</v>
      </c>
      <c r="H1778" s="56">
        <v>2.3096774193548382</v>
      </c>
      <c r="R1778" s="76">
        <f>S1778*4</f>
        <v>562083.09677419346</v>
      </c>
      <c r="S1778" s="76">
        <v>140520.77419354836</v>
      </c>
      <c r="AO1778" s="53">
        <f t="shared" si="326"/>
        <v>15012903.225806449</v>
      </c>
      <c r="AP1778" s="53">
        <f t="shared" si="326"/>
        <v>0</v>
      </c>
      <c r="AQ1778" s="53">
        <f t="shared" si="326"/>
        <v>0</v>
      </c>
      <c r="AR1778" s="53">
        <f t="shared" si="326"/>
        <v>0</v>
      </c>
      <c r="AS1778" s="53">
        <f t="shared" si="326"/>
        <v>0</v>
      </c>
      <c r="AT1778" s="53">
        <f t="shared" si="326"/>
        <v>0</v>
      </c>
      <c r="AU1778" s="53">
        <f t="shared" si="326"/>
        <v>0</v>
      </c>
      <c r="AV1778" s="53">
        <f t="shared" si="326"/>
        <v>0</v>
      </c>
      <c r="AW1778" s="53">
        <f t="shared" si="326"/>
        <v>0</v>
      </c>
      <c r="AX1778" s="53">
        <f t="shared" si="327"/>
        <v>0</v>
      </c>
      <c r="AY1778" s="41" t="s">
        <v>557</v>
      </c>
    </row>
    <row r="1779" spans="1:51" x14ac:dyDescent="0.2">
      <c r="A1779" s="41" t="s">
        <v>662</v>
      </c>
      <c r="B1779" s="41">
        <v>2015</v>
      </c>
      <c r="C1779" s="41" t="s">
        <v>91</v>
      </c>
      <c r="D1779" s="41" t="s">
        <v>137</v>
      </c>
      <c r="E1779" s="41">
        <v>0</v>
      </c>
      <c r="F1779" s="41" t="s">
        <v>9</v>
      </c>
      <c r="G1779" s="76">
        <v>6500000</v>
      </c>
      <c r="H1779" s="56">
        <v>2.2167905405405404</v>
      </c>
      <c r="R1779" s="76">
        <f>S1779*4</f>
        <v>539478.14594594599</v>
      </c>
      <c r="S1779" s="76">
        <v>134869.5364864865</v>
      </c>
      <c r="AO1779" s="53">
        <f t="shared" si="326"/>
        <v>14409138.513513513</v>
      </c>
      <c r="AP1779" s="53">
        <f t="shared" si="326"/>
        <v>0</v>
      </c>
      <c r="AQ1779" s="53">
        <f t="shared" si="326"/>
        <v>0</v>
      </c>
      <c r="AR1779" s="53">
        <f t="shared" si="326"/>
        <v>0</v>
      </c>
      <c r="AS1779" s="53">
        <f t="shared" si="326"/>
        <v>0</v>
      </c>
      <c r="AT1779" s="53">
        <f t="shared" si="326"/>
        <v>0</v>
      </c>
      <c r="AU1779" s="53">
        <f t="shared" si="326"/>
        <v>0</v>
      </c>
      <c r="AV1779" s="53">
        <f t="shared" si="326"/>
        <v>0</v>
      </c>
      <c r="AW1779" s="53">
        <f t="shared" si="326"/>
        <v>0</v>
      </c>
      <c r="AX1779" s="53">
        <f t="shared" si="327"/>
        <v>0</v>
      </c>
      <c r="AY1779" s="41" t="s">
        <v>557</v>
      </c>
    </row>
    <row r="1780" spans="1:51" x14ac:dyDescent="0.2">
      <c r="A1780" s="41" t="s">
        <v>662</v>
      </c>
      <c r="B1780" s="41">
        <v>2016</v>
      </c>
      <c r="C1780" s="41" t="s">
        <v>91</v>
      </c>
      <c r="D1780" s="41" t="s">
        <v>137</v>
      </c>
      <c r="E1780" s="41">
        <v>0</v>
      </c>
      <c r="F1780" s="41" t="s">
        <v>9</v>
      </c>
      <c r="G1780" s="76">
        <v>6500000</v>
      </c>
      <c r="H1780" s="56">
        <v>2.0792118226600982</v>
      </c>
      <c r="R1780" s="76">
        <f>S1780*4</f>
        <v>505996.98916256154</v>
      </c>
      <c r="S1780" s="76">
        <v>126499.24729064039</v>
      </c>
      <c r="AO1780" s="53">
        <f t="shared" si="326"/>
        <v>13514876.847290639</v>
      </c>
      <c r="AP1780" s="53">
        <f t="shared" si="326"/>
        <v>0</v>
      </c>
      <c r="AQ1780" s="53">
        <f t="shared" si="326"/>
        <v>0</v>
      </c>
      <c r="AR1780" s="53">
        <f t="shared" si="326"/>
        <v>0</v>
      </c>
      <c r="AS1780" s="53">
        <f t="shared" si="326"/>
        <v>0</v>
      </c>
      <c r="AT1780" s="53">
        <f t="shared" si="326"/>
        <v>0</v>
      </c>
      <c r="AU1780" s="53">
        <f t="shared" si="326"/>
        <v>0</v>
      </c>
      <c r="AV1780" s="53">
        <f t="shared" si="326"/>
        <v>0</v>
      </c>
      <c r="AW1780" s="53">
        <f t="shared" si="326"/>
        <v>0</v>
      </c>
      <c r="AX1780" s="53">
        <f t="shared" si="327"/>
        <v>0</v>
      </c>
      <c r="AY1780" s="41" t="s">
        <v>557</v>
      </c>
    </row>
    <row r="1781" spans="1:51" x14ac:dyDescent="0.2">
      <c r="A1781" s="41" t="s">
        <v>662</v>
      </c>
      <c r="B1781" s="58" t="s">
        <v>567</v>
      </c>
      <c r="C1781" s="41" t="s">
        <v>91</v>
      </c>
      <c r="D1781" s="41" t="s">
        <v>137</v>
      </c>
      <c r="E1781" s="41">
        <v>0</v>
      </c>
      <c r="F1781" s="41" t="s">
        <v>9</v>
      </c>
      <c r="G1781" s="76">
        <f>0.5*6500000</f>
        <v>3250000</v>
      </c>
      <c r="H1781" s="56">
        <v>2.0792118226600982</v>
      </c>
      <c r="R1781" s="76">
        <f>S1781*4</f>
        <v>252998.49458128001</v>
      </c>
      <c r="S1781" s="76">
        <f>0.5*126499.24729064</f>
        <v>63249.623645320004</v>
      </c>
      <c r="AO1781" s="53">
        <f t="shared" si="326"/>
        <v>6757438.4236453194</v>
      </c>
      <c r="AP1781" s="53">
        <f t="shared" si="326"/>
        <v>0</v>
      </c>
      <c r="AQ1781" s="53">
        <f t="shared" si="326"/>
        <v>0</v>
      </c>
      <c r="AR1781" s="53">
        <f t="shared" si="326"/>
        <v>0</v>
      </c>
      <c r="AS1781" s="53">
        <f t="shared" si="326"/>
        <v>0</v>
      </c>
      <c r="AT1781" s="53">
        <f t="shared" si="326"/>
        <v>0</v>
      </c>
      <c r="AU1781" s="53">
        <f t="shared" si="326"/>
        <v>0</v>
      </c>
      <c r="AV1781" s="53">
        <f t="shared" si="326"/>
        <v>0</v>
      </c>
      <c r="AW1781" s="53">
        <f t="shared" si="326"/>
        <v>0</v>
      </c>
      <c r="AX1781" s="53">
        <f t="shared" si="327"/>
        <v>0</v>
      </c>
      <c r="AY1781" s="41" t="s">
        <v>557</v>
      </c>
    </row>
    <row r="1782" spans="1:51" x14ac:dyDescent="0.2">
      <c r="A1782" s="41" t="s">
        <v>662</v>
      </c>
      <c r="B1782" s="60" t="s">
        <v>559</v>
      </c>
      <c r="C1782" s="60" t="s">
        <v>91</v>
      </c>
      <c r="D1782" s="60" t="s">
        <v>137</v>
      </c>
      <c r="E1782" s="78">
        <f>AX1782/G1782</f>
        <v>1.0817126469857949</v>
      </c>
      <c r="F1782" s="60" t="s">
        <v>9</v>
      </c>
      <c r="G1782" s="79">
        <f>SUM(G1713:G1781)</f>
        <v>286162489.14399999</v>
      </c>
      <c r="H1782" s="80">
        <f>AO1782/$G1782</f>
        <v>3.1545309237304533</v>
      </c>
      <c r="R1782" s="79">
        <f>SUM(R1713:R1781)</f>
        <v>33653466.799801052</v>
      </c>
      <c r="S1782" s="79">
        <f>SUM(S1713:S1781)</f>
        <v>8413366.6999502629</v>
      </c>
      <c r="AM1782" s="79">
        <f>SUM(AM1713:AM1781)</f>
        <v>13126887.311845999</v>
      </c>
      <c r="AO1782" s="79">
        <f t="shared" ref="AO1782:AX1782" si="328">SUM(AO1713:AO1781)</f>
        <v>902708421.21642816</v>
      </c>
      <c r="AP1782" s="79">
        <f t="shared" si="328"/>
        <v>0</v>
      </c>
      <c r="AQ1782" s="79">
        <f t="shared" si="328"/>
        <v>2531042.3999999994</v>
      </c>
      <c r="AR1782" s="79">
        <f t="shared" si="328"/>
        <v>0</v>
      </c>
      <c r="AS1782" s="79">
        <f t="shared" si="328"/>
        <v>0</v>
      </c>
      <c r="AT1782" s="79">
        <f t="shared" si="328"/>
        <v>0</v>
      </c>
      <c r="AU1782" s="79">
        <f t="shared" si="328"/>
        <v>0</v>
      </c>
      <c r="AV1782" s="79">
        <f t="shared" si="328"/>
        <v>0</v>
      </c>
      <c r="AW1782" s="79">
        <f t="shared" si="328"/>
        <v>0</v>
      </c>
      <c r="AX1782" s="79">
        <f t="shared" si="328"/>
        <v>309545583.60000002</v>
      </c>
      <c r="AY1782" s="41" t="s">
        <v>557</v>
      </c>
    </row>
    <row r="1783" spans="1:51" x14ac:dyDescent="0.2">
      <c r="A1783" s="41" t="s">
        <v>662</v>
      </c>
      <c r="B1783" s="43" t="s">
        <v>560</v>
      </c>
      <c r="G1783" s="53">
        <f>STDEV(G1713:G1781)</f>
        <v>2009634.5641267728</v>
      </c>
      <c r="H1783" s="46">
        <f>STDEV(H1713:H1781)</f>
        <v>0.5736161816127735</v>
      </c>
      <c r="R1783" s="53">
        <f>STDEV(R1713:R1781)</f>
        <v>239500.25991266902</v>
      </c>
      <c r="S1783" s="53">
        <f>STDEV(S1713:S1781)</f>
        <v>59875.064978167255</v>
      </c>
      <c r="AM1783" s="53">
        <f>STDEV(AM1713:AM1781)</f>
        <v>932763.67538126698</v>
      </c>
      <c r="AY1783" s="41" t="s">
        <v>557</v>
      </c>
    </row>
    <row r="1784" spans="1:51" x14ac:dyDescent="0.2">
      <c r="A1784" s="41" t="s">
        <v>662</v>
      </c>
      <c r="B1784" s="81" t="s">
        <v>249</v>
      </c>
      <c r="G1784" s="41">
        <f>COUNT(G1713:G1781)</f>
        <v>69</v>
      </c>
      <c r="H1784" s="41">
        <f>COUNT(H1713:H1781)</f>
        <v>69</v>
      </c>
      <c r="R1784" s="41">
        <f>COUNT(R1713:R1781)</f>
        <v>69</v>
      </c>
      <c r="S1784" s="41">
        <f>COUNT(S1713:S1781)</f>
        <v>69</v>
      </c>
      <c r="AM1784" s="41">
        <f>COUNT(AM1713:AM1781)</f>
        <v>3</v>
      </c>
      <c r="AY1784" s="41" t="s">
        <v>557</v>
      </c>
    </row>
    <row r="1785" spans="1:51" x14ac:dyDescent="0.2">
      <c r="A1785" s="82"/>
      <c r="B1785" s="82"/>
      <c r="C1785" s="82"/>
      <c r="D1785" s="82"/>
      <c r="E1785" s="82"/>
      <c r="F1785" s="82"/>
      <c r="G1785" s="82"/>
      <c r="H1785" s="82"/>
      <c r="I1785" s="82"/>
      <c r="J1785" s="82"/>
      <c r="K1785" s="82"/>
      <c r="L1785" s="82"/>
      <c r="M1785" s="82"/>
      <c r="N1785" s="82"/>
      <c r="O1785" s="82"/>
      <c r="P1785" s="82"/>
      <c r="Q1785" s="82"/>
      <c r="R1785" s="82"/>
      <c r="S1785" s="82"/>
      <c r="T1785" s="82"/>
      <c r="U1785" s="82"/>
      <c r="V1785" s="82"/>
      <c r="W1785" s="82"/>
      <c r="X1785" s="82"/>
      <c r="Y1785" s="82"/>
      <c r="Z1785" s="82"/>
      <c r="AA1785" s="82"/>
      <c r="AB1785" s="82"/>
      <c r="AC1785" s="82"/>
      <c r="AD1785" s="82"/>
      <c r="AE1785" s="82"/>
      <c r="AF1785" s="82"/>
      <c r="AG1785" s="82"/>
      <c r="AH1785" s="82"/>
      <c r="AI1785" s="82"/>
      <c r="AJ1785" s="82"/>
      <c r="AK1785" s="82"/>
      <c r="AL1785" s="82"/>
      <c r="AM1785" s="82"/>
      <c r="AN1785" s="82"/>
      <c r="AO1785" s="82"/>
      <c r="AP1785" s="82"/>
      <c r="AQ1785" s="82"/>
      <c r="AR1785" s="82"/>
      <c r="AS1785" s="82"/>
      <c r="AT1785" s="82"/>
      <c r="AU1785" s="82"/>
      <c r="AV1785" s="82"/>
      <c r="AW1785" s="82"/>
      <c r="AX1785" s="82"/>
      <c r="AY1785" s="41" t="s">
        <v>557</v>
      </c>
    </row>
    <row r="1786" spans="1:51" x14ac:dyDescent="0.2">
      <c r="A1786" s="41" t="s">
        <v>663</v>
      </c>
      <c r="B1786" s="41">
        <v>1931</v>
      </c>
      <c r="C1786" s="41" t="s">
        <v>101</v>
      </c>
      <c r="D1786" s="41" t="s">
        <v>137</v>
      </c>
      <c r="E1786" s="41">
        <v>0</v>
      </c>
      <c r="F1786" s="41" t="s">
        <v>599</v>
      </c>
      <c r="G1786" s="53">
        <v>240640.61600000001</v>
      </c>
      <c r="J1786" s="47">
        <v>168.35629921259843</v>
      </c>
      <c r="L1786" s="41">
        <v>10.7</v>
      </c>
      <c r="M1786" s="41">
        <v>4.0999999999999996</v>
      </c>
      <c r="U1786" s="53">
        <v>31737.207900000001</v>
      </c>
      <c r="X1786" s="76">
        <f>Y1786*2</f>
        <v>34804.095999999998</v>
      </c>
      <c r="Y1786" s="53">
        <v>17402.047999999999</v>
      </c>
      <c r="Z1786" s="53"/>
      <c r="AA1786" s="53"/>
      <c r="AO1786" s="53">
        <f t="shared" ref="AO1786:AW1814" si="329">$G1786*H1786</f>
        <v>0</v>
      </c>
      <c r="AP1786" s="53">
        <f t="shared" si="329"/>
        <v>0</v>
      </c>
      <c r="AQ1786" s="53">
        <f t="shared" si="329"/>
        <v>40513363.550000004</v>
      </c>
      <c r="AR1786" s="53">
        <f t="shared" si="329"/>
        <v>0</v>
      </c>
      <c r="AS1786" s="53">
        <f t="shared" si="329"/>
        <v>2574854.5912000001</v>
      </c>
      <c r="AT1786" s="53">
        <f t="shared" si="329"/>
        <v>986626.52559999994</v>
      </c>
      <c r="AU1786" s="53">
        <f t="shared" si="329"/>
        <v>0</v>
      </c>
      <c r="AV1786" s="53">
        <f t="shared" si="329"/>
        <v>0</v>
      </c>
      <c r="AW1786" s="53">
        <f t="shared" si="329"/>
        <v>0</v>
      </c>
      <c r="AX1786" s="53">
        <f t="shared" si="327"/>
        <v>0</v>
      </c>
      <c r="AY1786" s="41" t="s">
        <v>557</v>
      </c>
    </row>
    <row r="1787" spans="1:51" x14ac:dyDescent="0.2">
      <c r="A1787" s="41" t="s">
        <v>663</v>
      </c>
      <c r="B1787" s="41">
        <v>1932</v>
      </c>
      <c r="C1787" s="41" t="s">
        <v>101</v>
      </c>
      <c r="D1787" s="41" t="s">
        <v>137</v>
      </c>
      <c r="E1787" s="41">
        <v>0</v>
      </c>
      <c r="F1787" s="41" t="s">
        <v>599</v>
      </c>
      <c r="G1787" s="53">
        <v>600336.11199999996</v>
      </c>
      <c r="J1787" s="47">
        <v>162.23425196850394</v>
      </c>
      <c r="L1787" s="41">
        <v>10.5</v>
      </c>
      <c r="M1787" s="41">
        <v>4.4000000000000004</v>
      </c>
      <c r="U1787" s="53">
        <v>69377.724499999997</v>
      </c>
      <c r="X1787" s="76">
        <f t="shared" ref="X1787:Z1802" si="330">Y1787*2</f>
        <v>96851.216</v>
      </c>
      <c r="Y1787" s="53">
        <v>48425.608</v>
      </c>
      <c r="Z1787" s="53"/>
      <c r="AA1787" s="53"/>
      <c r="AO1787" s="53">
        <f t="shared" si="329"/>
        <v>0</v>
      </c>
      <c r="AP1787" s="53">
        <f t="shared" si="329"/>
        <v>0</v>
      </c>
      <c r="AQ1787" s="53">
        <f t="shared" si="329"/>
        <v>97395080.060000002</v>
      </c>
      <c r="AR1787" s="53">
        <f t="shared" si="329"/>
        <v>0</v>
      </c>
      <c r="AS1787" s="53">
        <f t="shared" si="329"/>
        <v>6303529.176</v>
      </c>
      <c r="AT1787" s="53">
        <f t="shared" si="329"/>
        <v>2641478.8928</v>
      </c>
      <c r="AU1787" s="53">
        <f t="shared" si="329"/>
        <v>0</v>
      </c>
      <c r="AV1787" s="53">
        <f t="shared" si="329"/>
        <v>0</v>
      </c>
      <c r="AW1787" s="53">
        <f t="shared" si="329"/>
        <v>0</v>
      </c>
      <c r="AX1787" s="53">
        <f t="shared" si="327"/>
        <v>0</v>
      </c>
      <c r="AY1787" s="41" t="s">
        <v>557</v>
      </c>
    </row>
    <row r="1788" spans="1:51" x14ac:dyDescent="0.2">
      <c r="A1788" s="41" t="s">
        <v>663</v>
      </c>
      <c r="B1788" s="41">
        <v>1933</v>
      </c>
      <c r="C1788" s="41" t="s">
        <v>101</v>
      </c>
      <c r="D1788" s="41" t="s">
        <v>137</v>
      </c>
      <c r="E1788" s="41">
        <v>0</v>
      </c>
      <c r="F1788" s="41" t="s">
        <v>599</v>
      </c>
      <c r="G1788" s="53">
        <v>641981.95200000005</v>
      </c>
      <c r="J1788" s="47">
        <v>165.2952755905512</v>
      </c>
      <c r="L1788" s="41">
        <v>10.6</v>
      </c>
      <c r="U1788" s="53">
        <v>67148.258799999996</v>
      </c>
      <c r="X1788" s="76">
        <f t="shared" si="330"/>
        <v>91517.216</v>
      </c>
      <c r="Y1788" s="53">
        <v>45758.608</v>
      </c>
      <c r="Z1788" s="53"/>
      <c r="AA1788" s="53"/>
      <c r="AO1788" s="53">
        <f t="shared" si="329"/>
        <v>0</v>
      </c>
      <c r="AP1788" s="53">
        <f t="shared" si="329"/>
        <v>0</v>
      </c>
      <c r="AQ1788" s="53">
        <f t="shared" si="329"/>
        <v>106116583.68000002</v>
      </c>
      <c r="AR1788" s="53">
        <f t="shared" si="329"/>
        <v>0</v>
      </c>
      <c r="AS1788" s="53">
        <f t="shared" si="329"/>
        <v>6805008.6912000002</v>
      </c>
      <c r="AT1788" s="53">
        <f t="shared" si="329"/>
        <v>0</v>
      </c>
      <c r="AU1788" s="53">
        <f t="shared" si="329"/>
        <v>0</v>
      </c>
      <c r="AV1788" s="53">
        <f t="shared" si="329"/>
        <v>0</v>
      </c>
      <c r="AW1788" s="53">
        <f t="shared" si="329"/>
        <v>0</v>
      </c>
      <c r="AX1788" s="53">
        <f t="shared" si="327"/>
        <v>0</v>
      </c>
      <c r="AY1788" s="41" t="s">
        <v>557</v>
      </c>
    </row>
    <row r="1789" spans="1:51" x14ac:dyDescent="0.2">
      <c r="A1789" s="41" t="s">
        <v>663</v>
      </c>
      <c r="B1789" s="41">
        <v>1934</v>
      </c>
      <c r="C1789" s="41" t="s">
        <v>101</v>
      </c>
      <c r="D1789" s="41" t="s">
        <v>137</v>
      </c>
      <c r="E1789" s="41">
        <v>0</v>
      </c>
      <c r="F1789" s="41" t="s">
        <v>599</v>
      </c>
      <c r="G1789" s="53">
        <v>550048.17599999998</v>
      </c>
      <c r="J1789" s="47">
        <v>168.35629921259843</v>
      </c>
      <c r="L1789" s="41">
        <v>10.3</v>
      </c>
      <c r="U1789" s="53">
        <v>68186.594500000007</v>
      </c>
      <c r="X1789" s="76">
        <f t="shared" si="330"/>
        <v>86231.983999999997</v>
      </c>
      <c r="Y1789" s="53">
        <v>43115.991999999998</v>
      </c>
      <c r="Z1789" s="53"/>
      <c r="AA1789" s="53"/>
      <c r="AO1789" s="53">
        <f t="shared" si="329"/>
        <v>0</v>
      </c>
      <c r="AP1789" s="53">
        <f t="shared" si="329"/>
        <v>0</v>
      </c>
      <c r="AQ1789" s="53">
        <f t="shared" si="329"/>
        <v>92604075.299999997</v>
      </c>
      <c r="AR1789" s="53">
        <f t="shared" si="329"/>
        <v>0</v>
      </c>
      <c r="AS1789" s="53">
        <f t="shared" si="329"/>
        <v>5665496.2127999999</v>
      </c>
      <c r="AT1789" s="53">
        <f t="shared" si="329"/>
        <v>0</v>
      </c>
      <c r="AU1789" s="53">
        <f t="shared" si="329"/>
        <v>0</v>
      </c>
      <c r="AV1789" s="53">
        <f t="shared" si="329"/>
        <v>0</v>
      </c>
      <c r="AW1789" s="53">
        <f t="shared" si="329"/>
        <v>0</v>
      </c>
      <c r="AX1789" s="53">
        <f t="shared" si="327"/>
        <v>0</v>
      </c>
      <c r="AY1789" s="41" t="s">
        <v>557</v>
      </c>
    </row>
    <row r="1790" spans="1:51" x14ac:dyDescent="0.2">
      <c r="A1790" s="41" t="s">
        <v>663</v>
      </c>
      <c r="B1790" s="41">
        <v>1935</v>
      </c>
      <c r="C1790" s="41" t="s">
        <v>101</v>
      </c>
      <c r="D1790" s="41" t="s">
        <v>137</v>
      </c>
      <c r="E1790" s="41">
        <v>0</v>
      </c>
      <c r="F1790" s="41" t="s">
        <v>599</v>
      </c>
      <c r="G1790" s="53">
        <v>563480.71200000006</v>
      </c>
      <c r="J1790" s="47">
        <v>180.90649606299215</v>
      </c>
      <c r="L1790" s="41">
        <v>8.23</v>
      </c>
      <c r="M1790" s="41">
        <v>11.06</v>
      </c>
      <c r="U1790" s="53">
        <v>73120.298500000004</v>
      </c>
      <c r="X1790" s="76">
        <f t="shared" si="330"/>
        <v>66852.800000000003</v>
      </c>
      <c r="Y1790" s="53">
        <v>33426.400000000001</v>
      </c>
      <c r="Z1790" s="76">
        <f t="shared" si="330"/>
        <v>8963.152</v>
      </c>
      <c r="AA1790" s="53">
        <v>4481.576</v>
      </c>
      <c r="AO1790" s="53">
        <f t="shared" si="329"/>
        <v>0</v>
      </c>
      <c r="AP1790" s="53">
        <f t="shared" si="329"/>
        <v>0</v>
      </c>
      <c r="AQ1790" s="53">
        <f t="shared" si="329"/>
        <v>101937321.20700002</v>
      </c>
      <c r="AR1790" s="53">
        <f t="shared" si="329"/>
        <v>0</v>
      </c>
      <c r="AS1790" s="53">
        <f t="shared" si="329"/>
        <v>4637446.2597600007</v>
      </c>
      <c r="AT1790" s="53">
        <f t="shared" si="329"/>
        <v>6232096.6747200005</v>
      </c>
      <c r="AU1790" s="53">
        <f t="shared" si="329"/>
        <v>0</v>
      </c>
      <c r="AV1790" s="53">
        <f t="shared" si="329"/>
        <v>0</v>
      </c>
      <c r="AW1790" s="53">
        <f t="shared" si="329"/>
        <v>0</v>
      </c>
      <c r="AX1790" s="53">
        <f t="shared" si="327"/>
        <v>0</v>
      </c>
      <c r="AY1790" s="41" t="s">
        <v>557</v>
      </c>
    </row>
    <row r="1791" spans="1:51" x14ac:dyDescent="0.2">
      <c r="A1791" s="41" t="s">
        <v>663</v>
      </c>
      <c r="B1791" s="41">
        <v>1936</v>
      </c>
      <c r="C1791" s="41" t="s">
        <v>101</v>
      </c>
      <c r="D1791" s="41" t="s">
        <v>137</v>
      </c>
      <c r="E1791" s="41">
        <v>0</v>
      </c>
      <c r="F1791" s="41" t="s">
        <v>599</v>
      </c>
      <c r="G1791" s="53">
        <v>623732.56000000006</v>
      </c>
      <c r="J1791" s="47">
        <v>203.86417322834646</v>
      </c>
      <c r="L1791" s="47">
        <v>8</v>
      </c>
      <c r="M1791" s="46">
        <v>10.56</v>
      </c>
      <c r="U1791" s="53">
        <v>93727.407299999992</v>
      </c>
      <c r="X1791" s="76">
        <f t="shared" si="330"/>
        <v>72599.296000000002</v>
      </c>
      <c r="Y1791" s="53">
        <v>36299.648000000001</v>
      </c>
      <c r="Z1791" s="76">
        <f t="shared" si="330"/>
        <v>61860.175999999999</v>
      </c>
      <c r="AA1791" s="53">
        <v>30930.088</v>
      </c>
      <c r="AO1791" s="53">
        <f t="shared" si="329"/>
        <v>0</v>
      </c>
      <c r="AP1791" s="53">
        <f t="shared" si="329"/>
        <v>0</v>
      </c>
      <c r="AQ1791" s="53">
        <f t="shared" si="329"/>
        <v>127156722.66000001</v>
      </c>
      <c r="AR1791" s="53">
        <f t="shared" si="329"/>
        <v>0</v>
      </c>
      <c r="AS1791" s="53">
        <f t="shared" si="329"/>
        <v>4989860.4800000004</v>
      </c>
      <c r="AT1791" s="53">
        <f t="shared" si="329"/>
        <v>6586615.8336000005</v>
      </c>
      <c r="AU1791" s="53">
        <f t="shared" si="329"/>
        <v>0</v>
      </c>
      <c r="AV1791" s="53">
        <f t="shared" si="329"/>
        <v>0</v>
      </c>
      <c r="AW1791" s="53">
        <f t="shared" si="329"/>
        <v>0</v>
      </c>
      <c r="AX1791" s="53">
        <f t="shared" si="327"/>
        <v>0</v>
      </c>
      <c r="AY1791" s="41" t="s">
        <v>557</v>
      </c>
    </row>
    <row r="1792" spans="1:51" x14ac:dyDescent="0.2">
      <c r="A1792" s="41" t="s">
        <v>663</v>
      </c>
      <c r="B1792" s="41">
        <v>1937</v>
      </c>
      <c r="C1792" s="41" t="s">
        <v>101</v>
      </c>
      <c r="D1792" s="41" t="s">
        <v>137</v>
      </c>
      <c r="E1792" s="41">
        <v>0</v>
      </c>
      <c r="F1792" s="41" t="s">
        <v>599</v>
      </c>
      <c r="G1792" s="53">
        <v>610438.19999999995</v>
      </c>
      <c r="J1792" s="47">
        <v>211.21062992125988</v>
      </c>
      <c r="L1792" s="41">
        <v>8.6</v>
      </c>
      <c r="M1792" s="41">
        <v>9.9</v>
      </c>
      <c r="U1792" s="53">
        <v>98832.005800000014</v>
      </c>
      <c r="X1792" s="76">
        <f t="shared" si="330"/>
        <v>77461.872000000003</v>
      </c>
      <c r="Y1792" s="53">
        <v>38730.936000000002</v>
      </c>
      <c r="Z1792" s="76">
        <f t="shared" si="330"/>
        <v>56079.135999999999</v>
      </c>
      <c r="AA1792" s="53">
        <v>28039.567999999999</v>
      </c>
      <c r="AO1792" s="53">
        <f t="shared" si="329"/>
        <v>0</v>
      </c>
      <c r="AP1792" s="53">
        <f t="shared" si="329"/>
        <v>0</v>
      </c>
      <c r="AQ1792" s="53">
        <f t="shared" si="329"/>
        <v>128931036.75000001</v>
      </c>
      <c r="AR1792" s="53">
        <f t="shared" si="329"/>
        <v>0</v>
      </c>
      <c r="AS1792" s="53">
        <f t="shared" si="329"/>
        <v>5249768.5199999996</v>
      </c>
      <c r="AT1792" s="53">
        <f t="shared" si="329"/>
        <v>6043338.1799999997</v>
      </c>
      <c r="AU1792" s="53">
        <f t="shared" si="329"/>
        <v>0</v>
      </c>
      <c r="AV1792" s="53">
        <f t="shared" si="329"/>
        <v>0</v>
      </c>
      <c r="AW1792" s="53">
        <f t="shared" si="329"/>
        <v>0</v>
      </c>
      <c r="AX1792" s="53">
        <f t="shared" si="327"/>
        <v>0</v>
      </c>
      <c r="AY1792" s="41" t="s">
        <v>557</v>
      </c>
    </row>
    <row r="1793" spans="1:51" x14ac:dyDescent="0.2">
      <c r="A1793" s="41" t="s">
        <v>663</v>
      </c>
      <c r="B1793" s="41">
        <v>1938</v>
      </c>
      <c r="C1793" s="41" t="s">
        <v>101</v>
      </c>
      <c r="D1793" s="41" t="s">
        <v>137</v>
      </c>
      <c r="E1793" s="41">
        <v>0</v>
      </c>
      <c r="F1793" s="41" t="s">
        <v>599</v>
      </c>
      <c r="G1793" s="53">
        <v>570804.04</v>
      </c>
      <c r="J1793" s="47">
        <v>231.10728346456693</v>
      </c>
      <c r="L1793" s="41">
        <v>9.3800000000000008</v>
      </c>
      <c r="M1793" s="41">
        <v>9.2799999999999994</v>
      </c>
      <c r="U1793" s="53">
        <v>107653.83180000001</v>
      </c>
      <c r="X1793" s="76">
        <f t="shared" si="330"/>
        <v>83610.703999999998</v>
      </c>
      <c r="Y1793" s="53">
        <v>41805.351999999999</v>
      </c>
      <c r="Z1793" s="76">
        <f t="shared" si="330"/>
        <v>48229.52</v>
      </c>
      <c r="AA1793" s="53">
        <v>24114.76</v>
      </c>
      <c r="AO1793" s="53">
        <f t="shared" si="329"/>
        <v>0</v>
      </c>
      <c r="AP1793" s="53">
        <f t="shared" si="329"/>
        <v>0</v>
      </c>
      <c r="AQ1793" s="53">
        <f t="shared" si="329"/>
        <v>131916971.07500002</v>
      </c>
      <c r="AR1793" s="53">
        <f t="shared" si="329"/>
        <v>0</v>
      </c>
      <c r="AS1793" s="53">
        <f t="shared" si="329"/>
        <v>5354141.8952000011</v>
      </c>
      <c r="AT1793" s="53">
        <f t="shared" si="329"/>
        <v>5297061.4912</v>
      </c>
      <c r="AU1793" s="53">
        <f t="shared" si="329"/>
        <v>0</v>
      </c>
      <c r="AV1793" s="53">
        <f t="shared" si="329"/>
        <v>0</v>
      </c>
      <c r="AW1793" s="53">
        <f t="shared" si="329"/>
        <v>0</v>
      </c>
      <c r="AX1793" s="53">
        <f t="shared" si="327"/>
        <v>0</v>
      </c>
      <c r="AY1793" s="41" t="s">
        <v>557</v>
      </c>
    </row>
    <row r="1794" spans="1:51" x14ac:dyDescent="0.2">
      <c r="A1794" s="41" t="s">
        <v>663</v>
      </c>
      <c r="B1794" s="41">
        <v>1939</v>
      </c>
      <c r="C1794" s="41" t="s">
        <v>101</v>
      </c>
      <c r="D1794" s="41" t="s">
        <v>137</v>
      </c>
      <c r="E1794" s="41">
        <v>0</v>
      </c>
      <c r="F1794" s="41" t="s">
        <v>599</v>
      </c>
      <c r="G1794" s="53">
        <v>683863.50399999996</v>
      </c>
      <c r="J1794" s="47">
        <v>217.33267716535434</v>
      </c>
      <c r="L1794" s="41">
        <v>8.6999999999999993</v>
      </c>
      <c r="M1794" s="41">
        <v>8.6</v>
      </c>
      <c r="U1794" s="53">
        <v>116224.36980000001</v>
      </c>
      <c r="X1794" s="76">
        <f t="shared" si="330"/>
        <v>96895.92</v>
      </c>
      <c r="Y1794" s="53">
        <v>48447.96</v>
      </c>
      <c r="Z1794" s="76">
        <f t="shared" si="330"/>
        <v>59145.423999999999</v>
      </c>
      <c r="AA1794" s="53">
        <v>29572.712</v>
      </c>
      <c r="AO1794" s="53">
        <f t="shared" si="329"/>
        <v>0</v>
      </c>
      <c r="AP1794" s="53">
        <f t="shared" si="329"/>
        <v>0</v>
      </c>
      <c r="AQ1794" s="53">
        <f t="shared" si="329"/>
        <v>148625886.13999999</v>
      </c>
      <c r="AR1794" s="53">
        <f t="shared" si="329"/>
        <v>0</v>
      </c>
      <c r="AS1794" s="53">
        <f t="shared" si="329"/>
        <v>5949612.4847999988</v>
      </c>
      <c r="AT1794" s="53">
        <f t="shared" si="329"/>
        <v>5881226.1343999989</v>
      </c>
      <c r="AU1794" s="53">
        <f t="shared" si="329"/>
        <v>0</v>
      </c>
      <c r="AV1794" s="53">
        <f t="shared" si="329"/>
        <v>0</v>
      </c>
      <c r="AW1794" s="53">
        <f t="shared" si="329"/>
        <v>0</v>
      </c>
      <c r="AX1794" s="53">
        <f t="shared" si="327"/>
        <v>0</v>
      </c>
      <c r="AY1794" s="41" t="s">
        <v>557</v>
      </c>
    </row>
    <row r="1795" spans="1:51" x14ac:dyDescent="0.2">
      <c r="A1795" s="41" t="s">
        <v>663</v>
      </c>
      <c r="B1795" s="41">
        <v>1940</v>
      </c>
      <c r="C1795" s="41" t="s">
        <v>101</v>
      </c>
      <c r="D1795" s="41" t="s">
        <v>137</v>
      </c>
      <c r="E1795" s="41">
        <v>0</v>
      </c>
      <c r="F1795" s="41" t="s">
        <v>599</v>
      </c>
      <c r="G1795" s="53">
        <v>755065.8</v>
      </c>
      <c r="J1795" s="47">
        <v>229.57677165354332</v>
      </c>
      <c r="L1795" s="41">
        <v>8.9</v>
      </c>
      <c r="M1795" s="41">
        <v>8.6</v>
      </c>
      <c r="U1795" s="53">
        <v>133858.33415000001</v>
      </c>
      <c r="X1795" s="76">
        <f t="shared" si="330"/>
        <v>97775.369600000005</v>
      </c>
      <c r="Y1795" s="53">
        <v>48887.684800000003</v>
      </c>
      <c r="Z1795" s="76">
        <f t="shared" si="330"/>
        <v>60115.094400000002</v>
      </c>
      <c r="AA1795" s="53">
        <v>30057.547200000001</v>
      </c>
      <c r="AO1795" s="53">
        <f t="shared" si="329"/>
        <v>0</v>
      </c>
      <c r="AP1795" s="53">
        <f t="shared" si="329"/>
        <v>0</v>
      </c>
      <c r="AQ1795" s="53">
        <f t="shared" si="329"/>
        <v>173345568.75000003</v>
      </c>
      <c r="AR1795" s="53">
        <f t="shared" si="329"/>
        <v>0</v>
      </c>
      <c r="AS1795" s="53">
        <f t="shared" si="329"/>
        <v>6720085.620000001</v>
      </c>
      <c r="AT1795" s="53">
        <f t="shared" si="329"/>
        <v>6493565.8799999999</v>
      </c>
      <c r="AU1795" s="53">
        <f t="shared" si="329"/>
        <v>0</v>
      </c>
      <c r="AV1795" s="53">
        <f t="shared" si="329"/>
        <v>0</v>
      </c>
      <c r="AW1795" s="53">
        <f t="shared" si="329"/>
        <v>0</v>
      </c>
      <c r="AX1795" s="53">
        <f t="shared" si="327"/>
        <v>0</v>
      </c>
      <c r="AY1795" s="41" t="s">
        <v>557</v>
      </c>
    </row>
    <row r="1796" spans="1:51" x14ac:dyDescent="0.2">
      <c r="A1796" s="41" t="s">
        <v>663</v>
      </c>
      <c r="B1796" s="41">
        <v>1941</v>
      </c>
      <c r="C1796" s="41" t="s">
        <v>101</v>
      </c>
      <c r="D1796" s="41" t="s">
        <v>137</v>
      </c>
      <c r="E1796" s="41">
        <v>0</v>
      </c>
      <c r="F1796" s="41" t="s">
        <v>599</v>
      </c>
      <c r="G1796" s="53">
        <v>652675.35199999996</v>
      </c>
      <c r="J1796" s="47">
        <v>220.3937007874016</v>
      </c>
      <c r="L1796" s="41">
        <v>8.6999999999999993</v>
      </c>
      <c r="M1796" s="41">
        <v>8.8000000000000007</v>
      </c>
      <c r="U1796" s="53">
        <v>114915.28683</v>
      </c>
      <c r="X1796" s="76">
        <f t="shared" si="330"/>
        <v>85398.457600000009</v>
      </c>
      <c r="Y1796" s="53">
        <v>42699.228800000004</v>
      </c>
      <c r="Z1796" s="76">
        <f t="shared" si="330"/>
        <v>55758.689599999998</v>
      </c>
      <c r="AA1796" s="53">
        <v>27879.344799999999</v>
      </c>
      <c r="AO1796" s="53">
        <f t="shared" si="329"/>
        <v>0</v>
      </c>
      <c r="AP1796" s="53">
        <f t="shared" si="329"/>
        <v>0</v>
      </c>
      <c r="AQ1796" s="53">
        <f t="shared" si="329"/>
        <v>143845536.24000001</v>
      </c>
      <c r="AR1796" s="53">
        <f t="shared" si="329"/>
        <v>0</v>
      </c>
      <c r="AS1796" s="53">
        <f t="shared" si="329"/>
        <v>5678275.5623999992</v>
      </c>
      <c r="AT1796" s="53">
        <f t="shared" si="329"/>
        <v>5743543.0976</v>
      </c>
      <c r="AU1796" s="53">
        <f t="shared" si="329"/>
        <v>0</v>
      </c>
      <c r="AV1796" s="53">
        <f t="shared" si="329"/>
        <v>0</v>
      </c>
      <c r="AW1796" s="53">
        <f t="shared" si="329"/>
        <v>0</v>
      </c>
      <c r="AX1796" s="53">
        <f t="shared" si="327"/>
        <v>0</v>
      </c>
      <c r="AY1796" s="41" t="s">
        <v>557</v>
      </c>
    </row>
    <row r="1797" spans="1:51" x14ac:dyDescent="0.2">
      <c r="A1797" s="41" t="s">
        <v>663</v>
      </c>
      <c r="B1797" s="41">
        <v>1942</v>
      </c>
      <c r="C1797" s="41" t="s">
        <v>101</v>
      </c>
      <c r="D1797" s="41" t="s">
        <v>137</v>
      </c>
      <c r="E1797" s="41">
        <v>0</v>
      </c>
      <c r="F1797" s="41" t="s">
        <v>599</v>
      </c>
      <c r="G1797" s="53">
        <v>539184.08799999999</v>
      </c>
      <c r="J1797" s="47">
        <v>229.57677165354332</v>
      </c>
      <c r="L1797" s="41">
        <v>8.9</v>
      </c>
      <c r="M1797" s="41">
        <v>8.4</v>
      </c>
      <c r="U1797" s="53">
        <v>93261.784320000006</v>
      </c>
      <c r="X1797" s="76">
        <f t="shared" si="330"/>
        <v>68097.399999999994</v>
      </c>
      <c r="Y1797" s="53">
        <v>34048.699999999997</v>
      </c>
      <c r="Z1797" s="76">
        <f t="shared" si="330"/>
        <v>42743.729599999999</v>
      </c>
      <c r="AA1797" s="53">
        <v>21371.864799999999</v>
      </c>
      <c r="AO1797" s="53">
        <f t="shared" si="329"/>
        <v>0</v>
      </c>
      <c r="AP1797" s="53">
        <f t="shared" si="329"/>
        <v>0</v>
      </c>
      <c r="AQ1797" s="53">
        <f t="shared" si="329"/>
        <v>123784142.25</v>
      </c>
      <c r="AR1797" s="53">
        <f t="shared" si="329"/>
        <v>0</v>
      </c>
      <c r="AS1797" s="53">
        <f t="shared" si="329"/>
        <v>4798738.3832</v>
      </c>
      <c r="AT1797" s="53">
        <f t="shared" si="329"/>
        <v>4529146.3392000003</v>
      </c>
      <c r="AU1797" s="53">
        <f t="shared" si="329"/>
        <v>0</v>
      </c>
      <c r="AV1797" s="53">
        <f t="shared" si="329"/>
        <v>0</v>
      </c>
      <c r="AW1797" s="53">
        <f t="shared" si="329"/>
        <v>0</v>
      </c>
      <c r="AX1797" s="53">
        <f t="shared" si="327"/>
        <v>0</v>
      </c>
      <c r="AY1797" s="41" t="s">
        <v>557</v>
      </c>
    </row>
    <row r="1798" spans="1:51" x14ac:dyDescent="0.2">
      <c r="A1798" s="41" t="s">
        <v>663</v>
      </c>
      <c r="B1798" s="41">
        <v>1943</v>
      </c>
      <c r="C1798" s="41" t="s">
        <v>101</v>
      </c>
      <c r="D1798" s="41" t="s">
        <v>137</v>
      </c>
      <c r="E1798" s="41">
        <v>0</v>
      </c>
      <c r="F1798" s="41" t="s">
        <v>599</v>
      </c>
      <c r="G1798" s="53">
        <v>111513.11200000001</v>
      </c>
      <c r="J1798" s="47">
        <v>205.08858267716536</v>
      </c>
      <c r="L1798" s="41">
        <v>8.3000000000000007</v>
      </c>
      <c r="M1798" s="41">
        <v>8.6999999999999993</v>
      </c>
      <c r="U1798" s="53">
        <v>23577.528890000001</v>
      </c>
      <c r="X1798" s="76">
        <f t="shared" si="330"/>
        <v>17586.96</v>
      </c>
      <c r="Y1798" s="53">
        <v>8793.48</v>
      </c>
      <c r="Z1798" s="76">
        <f t="shared" si="330"/>
        <v>10322.56</v>
      </c>
      <c r="AA1798" s="53">
        <v>5161.28</v>
      </c>
      <c r="AO1798" s="53">
        <f t="shared" si="329"/>
        <v>0</v>
      </c>
      <c r="AP1798" s="53">
        <f t="shared" si="329"/>
        <v>0</v>
      </c>
      <c r="AQ1798" s="53">
        <f t="shared" si="329"/>
        <v>22870066.090000004</v>
      </c>
      <c r="AR1798" s="53">
        <f t="shared" si="329"/>
        <v>0</v>
      </c>
      <c r="AS1798" s="53">
        <f t="shared" si="329"/>
        <v>925558.82960000017</v>
      </c>
      <c r="AT1798" s="53">
        <f t="shared" si="329"/>
        <v>970164.07440000004</v>
      </c>
      <c r="AU1798" s="53">
        <f t="shared" si="329"/>
        <v>0</v>
      </c>
      <c r="AV1798" s="53">
        <f t="shared" si="329"/>
        <v>0</v>
      </c>
      <c r="AW1798" s="53">
        <f t="shared" si="329"/>
        <v>0</v>
      </c>
      <c r="AX1798" s="53">
        <f t="shared" si="327"/>
        <v>0</v>
      </c>
      <c r="AY1798" s="41" t="s">
        <v>557</v>
      </c>
    </row>
    <row r="1799" spans="1:51" x14ac:dyDescent="0.2">
      <c r="A1799" s="41" t="s">
        <v>663</v>
      </c>
      <c r="B1799" s="41">
        <v>1946</v>
      </c>
      <c r="C1799" s="41" t="s">
        <v>101</v>
      </c>
      <c r="D1799" s="41" t="s">
        <v>137</v>
      </c>
      <c r="E1799" s="41">
        <v>0</v>
      </c>
      <c r="F1799" s="41" t="s">
        <v>599</v>
      </c>
      <c r="G1799" s="53">
        <v>258124.96</v>
      </c>
      <c r="J1799" s="47">
        <v>171.41732283464566</v>
      </c>
      <c r="L1799" s="47">
        <v>8</v>
      </c>
      <c r="M1799" s="41">
        <v>8.8000000000000007</v>
      </c>
      <c r="U1799" s="53">
        <v>28997.904350000001</v>
      </c>
      <c r="X1799" s="76">
        <f t="shared" si="330"/>
        <v>30973.776000000002</v>
      </c>
      <c r="Y1799" s="53">
        <v>15486.888000000001</v>
      </c>
      <c r="Z1799" s="76">
        <f t="shared" si="330"/>
        <v>22900.639999999999</v>
      </c>
      <c r="AA1799" s="53">
        <v>11450.32</v>
      </c>
      <c r="AO1799" s="53">
        <f t="shared" si="329"/>
        <v>0</v>
      </c>
      <c r="AP1799" s="53">
        <f t="shared" si="329"/>
        <v>0</v>
      </c>
      <c r="AQ1799" s="53">
        <f t="shared" si="329"/>
        <v>44247089.599999994</v>
      </c>
      <c r="AR1799" s="53">
        <f t="shared" si="329"/>
        <v>0</v>
      </c>
      <c r="AS1799" s="53">
        <f t="shared" si="329"/>
        <v>2064999.68</v>
      </c>
      <c r="AT1799" s="53">
        <f t="shared" si="329"/>
        <v>2271499.648</v>
      </c>
      <c r="AU1799" s="53">
        <f t="shared" si="329"/>
        <v>0</v>
      </c>
      <c r="AV1799" s="53">
        <f t="shared" si="329"/>
        <v>0</v>
      </c>
      <c r="AW1799" s="53">
        <f t="shared" si="329"/>
        <v>0</v>
      </c>
      <c r="AX1799" s="53">
        <f t="shared" si="327"/>
        <v>0</v>
      </c>
      <c r="AY1799" s="41" t="s">
        <v>557</v>
      </c>
    </row>
    <row r="1800" spans="1:51" x14ac:dyDescent="0.2">
      <c r="A1800" s="41" t="s">
        <v>663</v>
      </c>
      <c r="B1800" s="41">
        <v>1947</v>
      </c>
      <c r="C1800" s="41" t="s">
        <v>101</v>
      </c>
      <c r="D1800" s="41" t="s">
        <v>137</v>
      </c>
      <c r="E1800" s="41">
        <v>0</v>
      </c>
      <c r="F1800" s="41" t="s">
        <v>599</v>
      </c>
      <c r="G1800" s="53">
        <v>565942.48</v>
      </c>
      <c r="J1800" s="47">
        <v>156.11220472440942</v>
      </c>
      <c r="L1800" s="41">
        <v>7.5</v>
      </c>
      <c r="M1800" s="41">
        <v>8.9</v>
      </c>
      <c r="U1800" s="53">
        <v>61910.707800000004</v>
      </c>
      <c r="X1800" s="76">
        <f t="shared" si="330"/>
        <v>61671.199999999997</v>
      </c>
      <c r="Y1800" s="53">
        <v>30835.599999999999</v>
      </c>
      <c r="Z1800" s="76">
        <f t="shared" si="330"/>
        <v>50826.415999999997</v>
      </c>
      <c r="AA1800" s="53">
        <v>25413.207999999999</v>
      </c>
      <c r="AO1800" s="53">
        <f t="shared" si="329"/>
        <v>0</v>
      </c>
      <c r="AP1800" s="53">
        <f t="shared" si="329"/>
        <v>0</v>
      </c>
      <c r="AQ1800" s="53">
        <f t="shared" si="329"/>
        <v>88350528.299999982</v>
      </c>
      <c r="AR1800" s="53">
        <f t="shared" si="329"/>
        <v>0</v>
      </c>
      <c r="AS1800" s="53">
        <f t="shared" si="329"/>
        <v>4244568.5999999996</v>
      </c>
      <c r="AT1800" s="53">
        <f t="shared" si="329"/>
        <v>5036888.0719999997</v>
      </c>
      <c r="AU1800" s="53">
        <f t="shared" si="329"/>
        <v>0</v>
      </c>
      <c r="AV1800" s="53">
        <f t="shared" si="329"/>
        <v>0</v>
      </c>
      <c r="AW1800" s="53">
        <f t="shared" si="329"/>
        <v>0</v>
      </c>
      <c r="AX1800" s="53">
        <f t="shared" si="327"/>
        <v>0</v>
      </c>
      <c r="AY1800" s="41" t="s">
        <v>557</v>
      </c>
    </row>
    <row r="1801" spans="1:51" x14ac:dyDescent="0.2">
      <c r="A1801" s="41" t="s">
        <v>663</v>
      </c>
      <c r="B1801" s="41">
        <v>1948</v>
      </c>
      <c r="C1801" s="41" t="s">
        <v>101</v>
      </c>
      <c r="D1801" s="41" t="s">
        <v>137</v>
      </c>
      <c r="E1801" s="41">
        <v>0</v>
      </c>
      <c r="F1801" s="41" t="s">
        <v>599</v>
      </c>
      <c r="G1801" s="53">
        <v>572169.18839999998</v>
      </c>
      <c r="J1801" s="47">
        <v>158.07599195985904</v>
      </c>
      <c r="L1801" s="46">
        <v>7.0772033326060306</v>
      </c>
      <c r="M1801" s="46">
        <v>7.7042534269499914</v>
      </c>
      <c r="U1801" s="53">
        <v>70361.622759999998</v>
      </c>
      <c r="X1801" s="76">
        <f t="shared" si="330"/>
        <v>61279.633600000001</v>
      </c>
      <c r="Y1801" s="53">
        <v>30639.816800000001</v>
      </c>
      <c r="Z1801" s="76">
        <f t="shared" si="330"/>
        <v>43876.366399999999</v>
      </c>
      <c r="AA1801" s="53">
        <v>21938.183199999999</v>
      </c>
      <c r="AO1801" s="53">
        <f t="shared" si="329"/>
        <v>0</v>
      </c>
      <c r="AP1801" s="53">
        <f t="shared" si="329"/>
        <v>0</v>
      </c>
      <c r="AQ1801" s="53">
        <f t="shared" si="329"/>
        <v>90446212.025197476</v>
      </c>
      <c r="AR1801" s="53">
        <f t="shared" si="329"/>
        <v>0</v>
      </c>
      <c r="AS1801" s="53">
        <f t="shared" si="329"/>
        <v>4049357.6869589677</v>
      </c>
      <c r="AT1801" s="53">
        <f t="shared" si="329"/>
        <v>4408136.4305258952</v>
      </c>
      <c r="AU1801" s="53">
        <f t="shared" si="329"/>
        <v>0</v>
      </c>
      <c r="AV1801" s="53">
        <f t="shared" si="329"/>
        <v>0</v>
      </c>
      <c r="AW1801" s="53">
        <f t="shared" si="329"/>
        <v>0</v>
      </c>
      <c r="AX1801" s="53">
        <f t="shared" si="327"/>
        <v>0</v>
      </c>
      <c r="AY1801" s="41" t="s">
        <v>557</v>
      </c>
    </row>
    <row r="1802" spans="1:51" x14ac:dyDescent="0.2">
      <c r="A1802" s="41" t="s">
        <v>663</v>
      </c>
      <c r="B1802" s="41">
        <v>1949</v>
      </c>
      <c r="C1802" s="41" t="s">
        <v>101</v>
      </c>
      <c r="D1802" s="41" t="s">
        <v>137</v>
      </c>
      <c r="E1802" s="41">
        <v>0</v>
      </c>
      <c r="F1802" s="41" t="s">
        <v>599</v>
      </c>
      <c r="G1802" s="53">
        <v>552083.22400000005</v>
      </c>
      <c r="J1802" s="47">
        <v>178.77132796268089</v>
      </c>
      <c r="L1802" s="46">
        <v>7.7908233620477763</v>
      </c>
      <c r="M1802" s="46">
        <v>7.854498929203765</v>
      </c>
      <c r="U1802" s="53">
        <v>76779.959900000002</v>
      </c>
      <c r="X1802" s="76">
        <f t="shared" si="330"/>
        <v>65090.548000000003</v>
      </c>
      <c r="Y1802" s="53">
        <v>32545.274000000001</v>
      </c>
      <c r="Z1802" s="76">
        <f t="shared" si="330"/>
        <v>43161.712</v>
      </c>
      <c r="AA1802" s="53">
        <v>21580.856</v>
      </c>
      <c r="AO1802" s="53">
        <f t="shared" si="329"/>
        <v>0</v>
      </c>
      <c r="AP1802" s="53">
        <f t="shared" si="329"/>
        <v>0</v>
      </c>
      <c r="AQ1802" s="53">
        <f t="shared" si="329"/>
        <v>98696651.100398228</v>
      </c>
      <c r="AR1802" s="53">
        <f t="shared" si="329"/>
        <v>0</v>
      </c>
      <c r="AS1802" s="53">
        <f t="shared" si="329"/>
        <v>4301182.8793338556</v>
      </c>
      <c r="AT1802" s="53">
        <f t="shared" si="329"/>
        <v>4336337.091739363</v>
      </c>
      <c r="AU1802" s="53">
        <f t="shared" si="329"/>
        <v>0</v>
      </c>
      <c r="AV1802" s="53">
        <f t="shared" si="329"/>
        <v>0</v>
      </c>
      <c r="AW1802" s="53">
        <f t="shared" si="329"/>
        <v>0</v>
      </c>
      <c r="AX1802" s="53">
        <f t="shared" si="327"/>
        <v>0</v>
      </c>
      <c r="AY1802" s="41" t="s">
        <v>557</v>
      </c>
    </row>
    <row r="1803" spans="1:51" x14ac:dyDescent="0.2">
      <c r="A1803" s="41" t="s">
        <v>663</v>
      </c>
      <c r="B1803" s="41">
        <v>1950</v>
      </c>
      <c r="C1803" s="41" t="s">
        <v>101</v>
      </c>
      <c r="D1803" s="41" t="s">
        <v>137</v>
      </c>
      <c r="E1803" s="41">
        <v>0</v>
      </c>
      <c r="F1803" s="41" t="s">
        <v>599</v>
      </c>
      <c r="G1803" s="53">
        <v>635657.35199999996</v>
      </c>
      <c r="J1803" s="47">
        <v>162.23425196850394</v>
      </c>
      <c r="L1803" s="41">
        <v>7.4</v>
      </c>
      <c r="M1803" s="41">
        <v>7.5</v>
      </c>
      <c r="U1803" s="53">
        <v>85271.099600000016</v>
      </c>
      <c r="X1803" s="76">
        <f t="shared" ref="X1803:Z1866" si="331">Y1803*2</f>
        <v>73902.295679999996</v>
      </c>
      <c r="Y1803" s="53">
        <v>36951.147839999998</v>
      </c>
      <c r="Z1803" s="76">
        <f t="shared" si="331"/>
        <v>52425.599999999999</v>
      </c>
      <c r="AA1803" s="53">
        <v>26212.799999999999</v>
      </c>
      <c r="AO1803" s="53">
        <f t="shared" si="329"/>
        <v>0</v>
      </c>
      <c r="AP1803" s="53">
        <f t="shared" si="329"/>
        <v>0</v>
      </c>
      <c r="AQ1803" s="53">
        <f t="shared" si="329"/>
        <v>103125395.00999999</v>
      </c>
      <c r="AR1803" s="53">
        <f t="shared" si="329"/>
        <v>0</v>
      </c>
      <c r="AS1803" s="53">
        <f t="shared" si="329"/>
        <v>4703864.4047999997</v>
      </c>
      <c r="AT1803" s="53">
        <f t="shared" si="329"/>
        <v>4767430.1399999997</v>
      </c>
      <c r="AU1803" s="53">
        <f t="shared" si="329"/>
        <v>0</v>
      </c>
      <c r="AV1803" s="53">
        <f t="shared" si="329"/>
        <v>0</v>
      </c>
      <c r="AW1803" s="53">
        <f t="shared" si="329"/>
        <v>0</v>
      </c>
      <c r="AX1803" s="53">
        <f t="shared" si="327"/>
        <v>0</v>
      </c>
      <c r="AY1803" s="41" t="s">
        <v>557</v>
      </c>
    </row>
    <row r="1804" spans="1:51" x14ac:dyDescent="0.2">
      <c r="A1804" s="41" t="s">
        <v>663</v>
      </c>
      <c r="B1804" s="41">
        <v>1951</v>
      </c>
      <c r="C1804" s="41" t="s">
        <v>101</v>
      </c>
      <c r="D1804" s="41" t="s">
        <v>137</v>
      </c>
      <c r="E1804" s="41">
        <v>0</v>
      </c>
      <c r="F1804" s="41" t="s">
        <v>599</v>
      </c>
      <c r="G1804" s="53">
        <v>557765.71200000006</v>
      </c>
      <c r="J1804" s="47">
        <v>177.53937007874015</v>
      </c>
      <c r="L1804" s="41">
        <v>7.3</v>
      </c>
      <c r="M1804" s="41">
        <v>7.1</v>
      </c>
      <c r="U1804" s="53">
        <v>82284.691000000006</v>
      </c>
      <c r="X1804" s="76">
        <f t="shared" si="331"/>
        <v>64104.52</v>
      </c>
      <c r="Y1804" s="53">
        <v>32052.26</v>
      </c>
      <c r="Z1804" s="76">
        <f t="shared" si="331"/>
        <v>44181.775999999998</v>
      </c>
      <c r="AA1804" s="53">
        <v>22090.887999999999</v>
      </c>
      <c r="AO1804" s="53">
        <f t="shared" si="329"/>
        <v>0</v>
      </c>
      <c r="AP1804" s="53">
        <f t="shared" si="329"/>
        <v>0</v>
      </c>
      <c r="AQ1804" s="53">
        <f t="shared" si="329"/>
        <v>99025373.160000011</v>
      </c>
      <c r="AR1804" s="53">
        <f t="shared" si="329"/>
        <v>0</v>
      </c>
      <c r="AS1804" s="53">
        <f t="shared" si="329"/>
        <v>4071689.6976000005</v>
      </c>
      <c r="AT1804" s="53">
        <f t="shared" si="329"/>
        <v>3960136.5552000003</v>
      </c>
      <c r="AU1804" s="53">
        <f t="shared" si="329"/>
        <v>0</v>
      </c>
      <c r="AV1804" s="53">
        <f t="shared" si="329"/>
        <v>0</v>
      </c>
      <c r="AW1804" s="53">
        <f t="shared" si="329"/>
        <v>0</v>
      </c>
      <c r="AX1804" s="53">
        <f t="shared" si="327"/>
        <v>0</v>
      </c>
      <c r="AY1804" s="41" t="s">
        <v>557</v>
      </c>
    </row>
    <row r="1805" spans="1:51" x14ac:dyDescent="0.2">
      <c r="A1805" s="41" t="s">
        <v>663</v>
      </c>
      <c r="B1805" s="41">
        <v>1952</v>
      </c>
      <c r="C1805" s="41" t="s">
        <v>101</v>
      </c>
      <c r="D1805" s="41" t="s">
        <v>137</v>
      </c>
      <c r="E1805" s="41">
        <v>0</v>
      </c>
      <c r="F1805" s="41" t="s">
        <v>599</v>
      </c>
      <c r="G1805" s="53">
        <v>669952.43200000003</v>
      </c>
      <c r="J1805" s="47">
        <v>183.66141732283467</v>
      </c>
      <c r="L1805" s="41">
        <v>7.5</v>
      </c>
      <c r="M1805" s="41">
        <v>6.7</v>
      </c>
      <c r="U1805" s="53">
        <v>100256.80565000001</v>
      </c>
      <c r="X1805" s="76">
        <f t="shared" si="331"/>
        <v>76277.216</v>
      </c>
      <c r="Y1805" s="53">
        <v>38138.608</v>
      </c>
      <c r="Z1805" s="76">
        <f t="shared" si="331"/>
        <v>48123.652800000003</v>
      </c>
      <c r="AA1805" s="53">
        <v>24061.826400000002</v>
      </c>
      <c r="AO1805" s="53">
        <f t="shared" si="329"/>
        <v>0</v>
      </c>
      <c r="AP1805" s="53">
        <f t="shared" si="329"/>
        <v>0</v>
      </c>
      <c r="AQ1805" s="53">
        <f t="shared" si="329"/>
        <v>123044413.20000002</v>
      </c>
      <c r="AR1805" s="53">
        <f t="shared" si="329"/>
        <v>0</v>
      </c>
      <c r="AS1805" s="53">
        <f t="shared" si="329"/>
        <v>5024643.24</v>
      </c>
      <c r="AT1805" s="53">
        <f t="shared" si="329"/>
        <v>4488681.2944</v>
      </c>
      <c r="AU1805" s="53">
        <f t="shared" si="329"/>
        <v>0</v>
      </c>
      <c r="AV1805" s="53">
        <f t="shared" si="329"/>
        <v>0</v>
      </c>
      <c r="AW1805" s="53">
        <f t="shared" si="329"/>
        <v>0</v>
      </c>
      <c r="AX1805" s="53">
        <f t="shared" si="327"/>
        <v>0</v>
      </c>
      <c r="AY1805" s="41" t="s">
        <v>557</v>
      </c>
    </row>
    <row r="1806" spans="1:51" x14ac:dyDescent="0.2">
      <c r="A1806" s="41" t="s">
        <v>663</v>
      </c>
      <c r="B1806" s="41">
        <v>1953</v>
      </c>
      <c r="C1806" s="41" t="s">
        <v>101</v>
      </c>
      <c r="D1806" s="41" t="s">
        <v>137</v>
      </c>
      <c r="E1806" s="41">
        <v>0</v>
      </c>
      <c r="F1806" s="41" t="s">
        <v>599</v>
      </c>
      <c r="G1806" s="53">
        <v>636084.07200000004</v>
      </c>
      <c r="J1806" s="47">
        <v>165.2952755905512</v>
      </c>
      <c r="L1806" s="47">
        <v>7.1</v>
      </c>
      <c r="M1806" s="47">
        <v>6.2</v>
      </c>
      <c r="U1806" s="53">
        <v>83696.136510000011</v>
      </c>
      <c r="X1806" s="76">
        <f t="shared" si="331"/>
        <v>68792.953600000008</v>
      </c>
      <c r="Y1806" s="53">
        <v>34396.476800000004</v>
      </c>
      <c r="Z1806" s="76">
        <f t="shared" si="331"/>
        <v>40527.020800000006</v>
      </c>
      <c r="AA1806" s="53">
        <v>20263.510400000003</v>
      </c>
      <c r="AO1806" s="53">
        <f t="shared" si="329"/>
        <v>0</v>
      </c>
      <c r="AP1806" s="53">
        <f t="shared" si="329"/>
        <v>0</v>
      </c>
      <c r="AQ1806" s="53">
        <f t="shared" si="329"/>
        <v>105141691.98000002</v>
      </c>
      <c r="AR1806" s="53">
        <f t="shared" si="329"/>
        <v>0</v>
      </c>
      <c r="AS1806" s="53">
        <f t="shared" si="329"/>
        <v>4516196.9112</v>
      </c>
      <c r="AT1806" s="53">
        <f t="shared" si="329"/>
        <v>3943721.2464000005</v>
      </c>
      <c r="AU1806" s="53">
        <f t="shared" si="329"/>
        <v>0</v>
      </c>
      <c r="AV1806" s="53">
        <f t="shared" si="329"/>
        <v>0</v>
      </c>
      <c r="AW1806" s="53">
        <f t="shared" si="329"/>
        <v>0</v>
      </c>
      <c r="AX1806" s="53">
        <f t="shared" si="327"/>
        <v>0</v>
      </c>
      <c r="AY1806" s="41" t="s">
        <v>557</v>
      </c>
    </row>
    <row r="1807" spans="1:51" x14ac:dyDescent="0.2">
      <c r="A1807" s="41" t="s">
        <v>663</v>
      </c>
      <c r="B1807" s="41">
        <v>1954</v>
      </c>
      <c r="C1807" s="41" t="s">
        <v>101</v>
      </c>
      <c r="D1807" s="41" t="s">
        <v>137</v>
      </c>
      <c r="E1807" s="41">
        <v>0</v>
      </c>
      <c r="F1807" s="41" t="s">
        <v>599</v>
      </c>
      <c r="G1807" s="53">
        <v>648035.28</v>
      </c>
      <c r="J1807" s="47">
        <v>186.7224409448819</v>
      </c>
      <c r="L1807" s="47">
        <v>7.7</v>
      </c>
      <c r="M1807" s="47">
        <v>6.3</v>
      </c>
      <c r="U1807" s="53">
        <v>97162.060200000007</v>
      </c>
      <c r="X1807" s="76">
        <f t="shared" si="331"/>
        <v>77641.907200000001</v>
      </c>
      <c r="Y1807" s="53">
        <v>38820.953600000001</v>
      </c>
      <c r="Z1807" s="76">
        <f t="shared" si="331"/>
        <v>39857.68</v>
      </c>
      <c r="AA1807" s="53">
        <v>19928.84</v>
      </c>
      <c r="AO1807" s="53">
        <f t="shared" si="329"/>
        <v>0</v>
      </c>
      <c r="AP1807" s="53">
        <f t="shared" si="329"/>
        <v>0</v>
      </c>
      <c r="AQ1807" s="53">
        <f t="shared" si="329"/>
        <v>121002729.30000001</v>
      </c>
      <c r="AR1807" s="53">
        <f t="shared" si="329"/>
        <v>0</v>
      </c>
      <c r="AS1807" s="53">
        <f t="shared" si="329"/>
        <v>4989871.6560000004</v>
      </c>
      <c r="AT1807" s="53">
        <f t="shared" si="329"/>
        <v>4082622.264</v>
      </c>
      <c r="AU1807" s="53">
        <f t="shared" si="329"/>
        <v>0</v>
      </c>
      <c r="AV1807" s="53">
        <f t="shared" si="329"/>
        <v>0</v>
      </c>
      <c r="AW1807" s="53">
        <f t="shared" si="329"/>
        <v>0</v>
      </c>
      <c r="AX1807" s="53">
        <f t="shared" si="327"/>
        <v>0</v>
      </c>
      <c r="AY1807" s="41" t="s">
        <v>557</v>
      </c>
    </row>
    <row r="1808" spans="1:51" x14ac:dyDescent="0.2">
      <c r="A1808" s="41" t="s">
        <v>663</v>
      </c>
      <c r="B1808" s="41">
        <v>1955</v>
      </c>
      <c r="C1808" s="41" t="s">
        <v>101</v>
      </c>
      <c r="D1808" s="41" t="s">
        <v>137</v>
      </c>
      <c r="E1808" s="41">
        <v>0</v>
      </c>
      <c r="F1808" s="41" t="s">
        <v>599</v>
      </c>
      <c r="G1808" s="53">
        <v>720663.02399999998</v>
      </c>
      <c r="J1808" s="47">
        <v>209.68011811023621</v>
      </c>
      <c r="L1808" s="47">
        <v>7.9</v>
      </c>
      <c r="M1808" s="47">
        <v>5.7</v>
      </c>
      <c r="U1808" s="53">
        <v>105837.4985</v>
      </c>
      <c r="X1808" s="76">
        <f t="shared" si="331"/>
        <v>75422.759999999995</v>
      </c>
      <c r="Y1808" s="53">
        <v>37711.379999999997</v>
      </c>
      <c r="Z1808" s="76">
        <f t="shared" si="331"/>
        <v>34850.832000000002</v>
      </c>
      <c r="AA1808" s="53">
        <v>17425.416000000001</v>
      </c>
      <c r="AO1808" s="53">
        <f t="shared" si="329"/>
        <v>0</v>
      </c>
      <c r="AP1808" s="53">
        <f t="shared" si="329"/>
        <v>0</v>
      </c>
      <c r="AQ1808" s="53">
        <f t="shared" si="329"/>
        <v>151108707.98999998</v>
      </c>
      <c r="AR1808" s="53">
        <f t="shared" si="329"/>
        <v>0</v>
      </c>
      <c r="AS1808" s="53">
        <f t="shared" si="329"/>
        <v>5693237.8896000003</v>
      </c>
      <c r="AT1808" s="53">
        <f t="shared" si="329"/>
        <v>4107779.2368000001</v>
      </c>
      <c r="AU1808" s="53">
        <f t="shared" si="329"/>
        <v>0</v>
      </c>
      <c r="AV1808" s="53">
        <f t="shared" si="329"/>
        <v>0</v>
      </c>
      <c r="AW1808" s="53">
        <f t="shared" si="329"/>
        <v>0</v>
      </c>
      <c r="AX1808" s="53">
        <f t="shared" si="327"/>
        <v>0</v>
      </c>
      <c r="AY1808" s="41" t="s">
        <v>557</v>
      </c>
    </row>
    <row r="1809" spans="1:51" x14ac:dyDescent="0.2">
      <c r="A1809" s="41" t="s">
        <v>663</v>
      </c>
      <c r="B1809" s="41">
        <v>1956</v>
      </c>
      <c r="C1809" s="41" t="s">
        <v>101</v>
      </c>
      <c r="D1809" s="41" t="s">
        <v>137</v>
      </c>
      <c r="E1809" s="41">
        <v>0</v>
      </c>
      <c r="F1809" s="41" t="s">
        <v>599</v>
      </c>
      <c r="G1809" s="53">
        <v>626974.61600000004</v>
      </c>
      <c r="J1809" s="47">
        <v>214.27165354330711</v>
      </c>
      <c r="L1809" s="46">
        <v>8.1</v>
      </c>
      <c r="M1809" s="41">
        <v>6.2</v>
      </c>
      <c r="U1809" s="53">
        <v>114437.3327</v>
      </c>
      <c r="X1809" s="76">
        <f t="shared" si="331"/>
        <v>83062.063999999998</v>
      </c>
      <c r="Y1809" s="53">
        <v>41531.031999999999</v>
      </c>
      <c r="Z1809" s="76">
        <f t="shared" si="331"/>
        <v>33184.591999999997</v>
      </c>
      <c r="AA1809" s="53">
        <v>16592.295999999998</v>
      </c>
      <c r="AO1809" s="53">
        <f t="shared" si="329"/>
        <v>0</v>
      </c>
      <c r="AP1809" s="53">
        <f t="shared" si="329"/>
        <v>0</v>
      </c>
      <c r="AQ1809" s="53">
        <f t="shared" si="329"/>
        <v>134342887.70000002</v>
      </c>
      <c r="AR1809" s="53">
        <f t="shared" si="329"/>
        <v>0</v>
      </c>
      <c r="AS1809" s="53">
        <f t="shared" si="329"/>
        <v>5078494.3896000003</v>
      </c>
      <c r="AT1809" s="53">
        <f t="shared" si="329"/>
        <v>3887242.6192000005</v>
      </c>
      <c r="AU1809" s="53">
        <f t="shared" si="329"/>
        <v>0</v>
      </c>
      <c r="AV1809" s="53">
        <f t="shared" si="329"/>
        <v>0</v>
      </c>
      <c r="AW1809" s="53">
        <f t="shared" si="329"/>
        <v>0</v>
      </c>
      <c r="AX1809" s="53">
        <f t="shared" si="327"/>
        <v>0</v>
      </c>
      <c r="AY1809" s="41" t="s">
        <v>557</v>
      </c>
    </row>
    <row r="1810" spans="1:51" x14ac:dyDescent="0.2">
      <c r="A1810" s="41" t="s">
        <v>663</v>
      </c>
      <c r="B1810" s="41">
        <v>1957</v>
      </c>
      <c r="C1810" s="41" t="s">
        <v>101</v>
      </c>
      <c r="D1810" s="41" t="s">
        <v>137</v>
      </c>
      <c r="E1810" s="41">
        <v>0</v>
      </c>
      <c r="F1810" s="41" t="s">
        <v>599</v>
      </c>
      <c r="G1810" s="53">
        <v>718286.6</v>
      </c>
      <c r="J1810" s="47">
        <v>206.01850431290242</v>
      </c>
      <c r="L1810" s="46">
        <v>8.2308638919339447</v>
      </c>
      <c r="M1810" s="41">
        <v>6.25</v>
      </c>
      <c r="U1810" s="53">
        <v>122709.03080000001</v>
      </c>
      <c r="X1810" s="76">
        <f t="shared" si="331"/>
        <v>95951.039999999994</v>
      </c>
      <c r="Y1810" s="53">
        <v>47975.519999999997</v>
      </c>
      <c r="Z1810" s="76">
        <f t="shared" si="331"/>
        <v>39512.239999999998</v>
      </c>
      <c r="AA1810" s="53">
        <v>19756.12</v>
      </c>
      <c r="AO1810" s="53">
        <f t="shared" si="329"/>
        <v>0</v>
      </c>
      <c r="AP1810" s="53">
        <f t="shared" si="329"/>
        <v>0</v>
      </c>
      <c r="AQ1810" s="53">
        <f t="shared" si="329"/>
        <v>147980331</v>
      </c>
      <c r="AR1810" s="53">
        <f t="shared" si="329"/>
        <v>0</v>
      </c>
      <c r="AS1810" s="53">
        <f t="shared" si="329"/>
        <v>5912119.2400000002</v>
      </c>
      <c r="AT1810" s="53">
        <f t="shared" si="329"/>
        <v>4489291.25</v>
      </c>
      <c r="AU1810" s="53">
        <f t="shared" si="329"/>
        <v>0</v>
      </c>
      <c r="AV1810" s="53">
        <f t="shared" si="329"/>
        <v>0</v>
      </c>
      <c r="AW1810" s="53">
        <f t="shared" si="329"/>
        <v>0</v>
      </c>
      <c r="AX1810" s="53">
        <f t="shared" si="327"/>
        <v>0</v>
      </c>
      <c r="AY1810" s="41" t="s">
        <v>557</v>
      </c>
    </row>
    <row r="1811" spans="1:51" x14ac:dyDescent="0.2">
      <c r="A1811" s="41" t="s">
        <v>663</v>
      </c>
      <c r="B1811" s="41">
        <v>1958</v>
      </c>
      <c r="C1811" s="41" t="s">
        <v>101</v>
      </c>
      <c r="D1811" s="41" t="s">
        <v>137</v>
      </c>
      <c r="E1811" s="41">
        <v>0</v>
      </c>
      <c r="F1811" s="41" t="s">
        <v>599</v>
      </c>
      <c r="G1811" s="53">
        <v>930423.33600000001</v>
      </c>
      <c r="J1811" s="47">
        <v>211.21062992125988</v>
      </c>
      <c r="L1811" s="41">
        <v>8.3000000000000007</v>
      </c>
      <c r="M1811" s="41">
        <v>5.65</v>
      </c>
      <c r="U1811" s="53">
        <v>155271.88149999999</v>
      </c>
      <c r="X1811" s="76">
        <f t="shared" si="331"/>
        <v>116752.624</v>
      </c>
      <c r="Y1811" s="53">
        <v>58376.311999999998</v>
      </c>
      <c r="Z1811" s="76">
        <f t="shared" si="331"/>
        <v>35527.487999999998</v>
      </c>
      <c r="AA1811" s="53">
        <v>17763.743999999999</v>
      </c>
      <c r="AO1811" s="53">
        <f t="shared" si="329"/>
        <v>0</v>
      </c>
      <c r="AP1811" s="53">
        <f t="shared" si="329"/>
        <v>0</v>
      </c>
      <c r="AQ1811" s="53">
        <f t="shared" si="329"/>
        <v>196515298.89000005</v>
      </c>
      <c r="AR1811" s="53">
        <f t="shared" si="329"/>
        <v>0</v>
      </c>
      <c r="AS1811" s="53">
        <f t="shared" si="329"/>
        <v>7722513.6888000006</v>
      </c>
      <c r="AT1811" s="53">
        <f t="shared" si="329"/>
        <v>5256891.8484000005</v>
      </c>
      <c r="AU1811" s="53">
        <f t="shared" si="329"/>
        <v>0</v>
      </c>
      <c r="AV1811" s="53">
        <f t="shared" si="329"/>
        <v>0</v>
      </c>
      <c r="AW1811" s="53">
        <f t="shared" si="329"/>
        <v>0</v>
      </c>
      <c r="AX1811" s="53">
        <f t="shared" si="327"/>
        <v>0</v>
      </c>
      <c r="AY1811" s="41" t="s">
        <v>557</v>
      </c>
    </row>
    <row r="1812" spans="1:51" x14ac:dyDescent="0.2">
      <c r="A1812" s="41" t="s">
        <v>663</v>
      </c>
      <c r="B1812" s="41">
        <v>1959</v>
      </c>
      <c r="C1812" s="41" t="s">
        <v>101</v>
      </c>
      <c r="D1812" s="41" t="s">
        <v>137</v>
      </c>
      <c r="E1812" s="41">
        <v>0</v>
      </c>
      <c r="F1812" s="41" t="s">
        <v>599</v>
      </c>
      <c r="G1812" s="53">
        <v>819404</v>
      </c>
      <c r="J1812" s="47">
        <v>205.08858267716536</v>
      </c>
      <c r="L1812" s="47">
        <v>8</v>
      </c>
      <c r="M1812" s="41">
        <v>4.8</v>
      </c>
      <c r="U1812" s="53">
        <v>136588.15220000001</v>
      </c>
      <c r="X1812" s="76">
        <f t="shared" si="331"/>
        <v>100695.76</v>
      </c>
      <c r="Y1812" s="53">
        <v>50347.88</v>
      </c>
      <c r="Z1812" s="76">
        <f t="shared" si="331"/>
        <v>28413.456000000002</v>
      </c>
      <c r="AA1812" s="53">
        <v>14206.728000000001</v>
      </c>
      <c r="AO1812" s="53">
        <f t="shared" si="329"/>
        <v>0</v>
      </c>
      <c r="AP1812" s="53">
        <f t="shared" si="329"/>
        <v>0</v>
      </c>
      <c r="AQ1812" s="53">
        <f t="shared" si="329"/>
        <v>168050405</v>
      </c>
      <c r="AR1812" s="53">
        <f t="shared" si="329"/>
        <v>0</v>
      </c>
      <c r="AS1812" s="53">
        <f t="shared" si="329"/>
        <v>6555232</v>
      </c>
      <c r="AT1812" s="53">
        <f t="shared" si="329"/>
        <v>3933139.1999999997</v>
      </c>
      <c r="AU1812" s="53">
        <f t="shared" si="329"/>
        <v>0</v>
      </c>
      <c r="AV1812" s="53">
        <f t="shared" si="329"/>
        <v>0</v>
      </c>
      <c r="AW1812" s="53">
        <f t="shared" si="329"/>
        <v>0</v>
      </c>
      <c r="AX1812" s="53">
        <f t="shared" si="327"/>
        <v>0</v>
      </c>
      <c r="AY1812" s="41" t="s">
        <v>557</v>
      </c>
    </row>
    <row r="1813" spans="1:51" x14ac:dyDescent="0.2">
      <c r="A1813" s="41" t="s">
        <v>663</v>
      </c>
      <c r="B1813" s="41">
        <v>1960</v>
      </c>
      <c r="C1813" s="41" t="s">
        <v>101</v>
      </c>
      <c r="D1813" s="41" t="s">
        <v>137</v>
      </c>
      <c r="E1813" s="41">
        <v>0</v>
      </c>
      <c r="F1813" s="41" t="s">
        <v>599</v>
      </c>
      <c r="G1813" s="53">
        <v>816323.48800000001</v>
      </c>
      <c r="J1813" s="47">
        <v>202.0275590551181</v>
      </c>
      <c r="L1813" s="41">
        <v>8.1999999999999993</v>
      </c>
      <c r="M1813" s="41">
        <v>5.6</v>
      </c>
      <c r="U1813" s="53">
        <v>145234.23209999999</v>
      </c>
      <c r="X1813" s="76">
        <f t="shared" si="331"/>
        <v>112897.92</v>
      </c>
      <c r="Y1813" s="53">
        <v>56448.959999999999</v>
      </c>
      <c r="Z1813" s="76">
        <f t="shared" si="331"/>
        <v>49568.608</v>
      </c>
      <c r="AA1813" s="53">
        <v>24784.304</v>
      </c>
      <c r="AO1813" s="53">
        <f t="shared" si="329"/>
        <v>0</v>
      </c>
      <c r="AP1813" s="53">
        <f t="shared" si="329"/>
        <v>0</v>
      </c>
      <c r="AQ1813" s="53">
        <f t="shared" si="329"/>
        <v>164919841.68000001</v>
      </c>
      <c r="AR1813" s="53">
        <f t="shared" si="329"/>
        <v>0</v>
      </c>
      <c r="AS1813" s="53">
        <f t="shared" si="329"/>
        <v>6693852.6015999997</v>
      </c>
      <c r="AT1813" s="53">
        <f t="shared" si="329"/>
        <v>4571411.5328000002</v>
      </c>
      <c r="AU1813" s="53">
        <f t="shared" si="329"/>
        <v>0</v>
      </c>
      <c r="AV1813" s="53">
        <f t="shared" si="329"/>
        <v>0</v>
      </c>
      <c r="AW1813" s="53">
        <f t="shared" si="329"/>
        <v>0</v>
      </c>
      <c r="AX1813" s="53">
        <f t="shared" si="327"/>
        <v>0</v>
      </c>
      <c r="AY1813" s="41" t="s">
        <v>557</v>
      </c>
    </row>
    <row r="1814" spans="1:51" x14ac:dyDescent="0.2">
      <c r="A1814" s="41" t="s">
        <v>663</v>
      </c>
      <c r="B1814" s="41">
        <v>1961</v>
      </c>
      <c r="C1814" s="41" t="s">
        <v>101</v>
      </c>
      <c r="D1814" s="41" t="s">
        <v>137</v>
      </c>
      <c r="E1814" s="41">
        <v>0</v>
      </c>
      <c r="F1814" s="41" t="s">
        <v>599</v>
      </c>
      <c r="G1814" s="53">
        <v>621321.59200000006</v>
      </c>
      <c r="J1814" s="47">
        <v>189.78346456692915</v>
      </c>
      <c r="L1814" s="41">
        <v>8.1999999999999993</v>
      </c>
      <c r="M1814" s="41">
        <v>6.3</v>
      </c>
      <c r="U1814" s="53">
        <v>118924.09860000001</v>
      </c>
      <c r="X1814" s="76">
        <f t="shared" si="331"/>
        <v>91450.16</v>
      </c>
      <c r="Y1814" s="53">
        <v>45725.08</v>
      </c>
      <c r="Z1814" s="76">
        <f t="shared" si="331"/>
        <v>67501.008000000002</v>
      </c>
      <c r="AA1814" s="53">
        <v>33750.504000000001</v>
      </c>
      <c r="AO1814" s="53">
        <f t="shared" si="329"/>
        <v>0</v>
      </c>
      <c r="AP1814" s="53">
        <f t="shared" si="329"/>
        <v>0</v>
      </c>
      <c r="AQ1814" s="53">
        <f t="shared" si="329"/>
        <v>117916564.34000002</v>
      </c>
      <c r="AR1814" s="53">
        <f t="shared" ref="AR1814:AW1845" si="332">$G1814*K1814</f>
        <v>0</v>
      </c>
      <c r="AS1814" s="53">
        <f t="shared" si="332"/>
        <v>5094837.0543999998</v>
      </c>
      <c r="AT1814" s="53">
        <f t="shared" si="332"/>
        <v>3914326.0296000005</v>
      </c>
      <c r="AU1814" s="53">
        <f t="shared" si="332"/>
        <v>0</v>
      </c>
      <c r="AV1814" s="53">
        <f t="shared" si="332"/>
        <v>0</v>
      </c>
      <c r="AW1814" s="53">
        <f t="shared" si="332"/>
        <v>0</v>
      </c>
      <c r="AX1814" s="53">
        <f t="shared" si="327"/>
        <v>0</v>
      </c>
      <c r="AY1814" s="41" t="s">
        <v>557</v>
      </c>
    </row>
    <row r="1815" spans="1:51" x14ac:dyDescent="0.2">
      <c r="A1815" s="41" t="s">
        <v>663</v>
      </c>
      <c r="B1815" s="41">
        <v>1962</v>
      </c>
      <c r="C1815" s="41" t="s">
        <v>101</v>
      </c>
      <c r="D1815" s="41" t="s">
        <v>137</v>
      </c>
      <c r="E1815" s="41">
        <v>0</v>
      </c>
      <c r="F1815" s="41" t="s">
        <v>599</v>
      </c>
      <c r="G1815" s="53">
        <v>889553.72</v>
      </c>
      <c r="J1815" s="47">
        <v>192.84448818897638</v>
      </c>
      <c r="L1815" s="47">
        <v>8</v>
      </c>
      <c r="M1815" s="47">
        <v>6</v>
      </c>
      <c r="U1815" s="53">
        <v>179296.73101999998</v>
      </c>
      <c r="X1815" s="76">
        <f t="shared" si="331"/>
        <v>129155.01727999999</v>
      </c>
      <c r="Y1815" s="53">
        <v>64577.508639999993</v>
      </c>
      <c r="Z1815" s="76">
        <f t="shared" si="331"/>
        <v>67848.479999999996</v>
      </c>
      <c r="AA1815" s="53">
        <v>33924.239999999998</v>
      </c>
      <c r="AO1815" s="53">
        <f t="shared" ref="AO1815:AW1846" si="333">$G1815*H1815</f>
        <v>0</v>
      </c>
      <c r="AP1815" s="53">
        <f t="shared" si="333"/>
        <v>0</v>
      </c>
      <c r="AQ1815" s="53">
        <f t="shared" si="333"/>
        <v>171545531.84999999</v>
      </c>
      <c r="AR1815" s="53">
        <f t="shared" si="332"/>
        <v>0</v>
      </c>
      <c r="AS1815" s="53">
        <f t="shared" si="332"/>
        <v>7116429.7599999998</v>
      </c>
      <c r="AT1815" s="53">
        <f t="shared" si="332"/>
        <v>5337322.32</v>
      </c>
      <c r="AU1815" s="53">
        <f t="shared" si="332"/>
        <v>0</v>
      </c>
      <c r="AV1815" s="53">
        <f t="shared" si="332"/>
        <v>0</v>
      </c>
      <c r="AW1815" s="53">
        <f t="shared" si="332"/>
        <v>0</v>
      </c>
      <c r="AX1815" s="53">
        <f t="shared" si="327"/>
        <v>0</v>
      </c>
      <c r="AY1815" s="41" t="s">
        <v>557</v>
      </c>
    </row>
    <row r="1816" spans="1:51" x14ac:dyDescent="0.2">
      <c r="A1816" s="41" t="s">
        <v>663</v>
      </c>
      <c r="B1816" s="41">
        <v>1963</v>
      </c>
      <c r="C1816" s="41" t="s">
        <v>101</v>
      </c>
      <c r="D1816" s="41" t="s">
        <v>137</v>
      </c>
      <c r="E1816" s="41">
        <v>0</v>
      </c>
      <c r="F1816" s="41" t="s">
        <v>599</v>
      </c>
      <c r="G1816" s="53">
        <v>938679.35199999996</v>
      </c>
      <c r="J1816" s="47">
        <v>153.05118110236219</v>
      </c>
      <c r="L1816" s="41">
        <v>8.1</v>
      </c>
      <c r="M1816" s="41">
        <v>6.5</v>
      </c>
      <c r="U1816" s="53">
        <v>199361.60510000002</v>
      </c>
      <c r="X1816" s="76">
        <f t="shared" si="331"/>
        <v>134699.53247999999</v>
      </c>
      <c r="Y1816" s="53">
        <v>67349.766239999997</v>
      </c>
      <c r="Z1816" s="76">
        <f t="shared" si="331"/>
        <v>51389.279999999999</v>
      </c>
      <c r="AA1816" s="53">
        <v>25694.639999999999</v>
      </c>
      <c r="AO1816" s="53">
        <f t="shared" si="333"/>
        <v>0</v>
      </c>
      <c r="AP1816" s="53">
        <f t="shared" si="333"/>
        <v>0</v>
      </c>
      <c r="AQ1816" s="53">
        <f t="shared" si="333"/>
        <v>143665983.49999997</v>
      </c>
      <c r="AR1816" s="53">
        <f t="shared" si="332"/>
        <v>0</v>
      </c>
      <c r="AS1816" s="53">
        <f t="shared" si="332"/>
        <v>7603302.7511999989</v>
      </c>
      <c r="AT1816" s="53">
        <f t="shared" si="332"/>
        <v>6101415.7879999997</v>
      </c>
      <c r="AU1816" s="53">
        <f t="shared" si="332"/>
        <v>0</v>
      </c>
      <c r="AV1816" s="53">
        <f t="shared" si="332"/>
        <v>0</v>
      </c>
      <c r="AW1816" s="53">
        <f t="shared" si="332"/>
        <v>0</v>
      </c>
      <c r="AX1816" s="53">
        <f t="shared" si="327"/>
        <v>0</v>
      </c>
      <c r="AY1816" s="41" t="s">
        <v>557</v>
      </c>
    </row>
    <row r="1817" spans="1:51" x14ac:dyDescent="0.2">
      <c r="A1817" s="41" t="s">
        <v>663</v>
      </c>
      <c r="B1817" s="41">
        <v>1964</v>
      </c>
      <c r="C1817" s="41" t="s">
        <v>101</v>
      </c>
      <c r="D1817" s="41" t="s">
        <v>137</v>
      </c>
      <c r="E1817" s="41">
        <v>0</v>
      </c>
      <c r="F1817" s="41" t="s">
        <v>599</v>
      </c>
      <c r="G1817" s="53">
        <v>863324.66399999999</v>
      </c>
      <c r="J1817" s="47">
        <v>183.66141732283467</v>
      </c>
      <c r="L1817" s="41">
        <v>7.9</v>
      </c>
      <c r="M1817" s="41">
        <v>5.2</v>
      </c>
      <c r="U1817" s="53">
        <v>169122.2665</v>
      </c>
      <c r="X1817" s="76">
        <f t="shared" si="331"/>
        <v>118498.11200000001</v>
      </c>
      <c r="Y1817" s="53">
        <v>59249.056000000004</v>
      </c>
      <c r="Z1817" s="76">
        <f t="shared" si="331"/>
        <v>53354.224000000002</v>
      </c>
      <c r="AA1817" s="53">
        <v>26677.112000000001</v>
      </c>
      <c r="AO1817" s="53">
        <f t="shared" si="333"/>
        <v>0</v>
      </c>
      <c r="AP1817" s="53">
        <f t="shared" si="333"/>
        <v>0</v>
      </c>
      <c r="AQ1817" s="53">
        <f t="shared" si="333"/>
        <v>158559431.40000001</v>
      </c>
      <c r="AR1817" s="53">
        <f t="shared" si="332"/>
        <v>0</v>
      </c>
      <c r="AS1817" s="53">
        <f t="shared" si="332"/>
        <v>6820264.8456000006</v>
      </c>
      <c r="AT1817" s="53">
        <f t="shared" si="332"/>
        <v>4489288.2527999999</v>
      </c>
      <c r="AU1817" s="53">
        <f t="shared" si="332"/>
        <v>0</v>
      </c>
      <c r="AV1817" s="53">
        <f t="shared" si="332"/>
        <v>0</v>
      </c>
      <c r="AW1817" s="53">
        <f t="shared" si="332"/>
        <v>0</v>
      </c>
      <c r="AX1817" s="53">
        <f t="shared" si="327"/>
        <v>0</v>
      </c>
      <c r="AY1817" s="41" t="s">
        <v>557</v>
      </c>
    </row>
    <row r="1818" spans="1:51" x14ac:dyDescent="0.2">
      <c r="A1818" s="41" t="s">
        <v>663</v>
      </c>
      <c r="B1818" s="41">
        <v>1965</v>
      </c>
      <c r="C1818" s="41" t="s">
        <v>101</v>
      </c>
      <c r="D1818" s="41" t="s">
        <v>137</v>
      </c>
      <c r="E1818" s="41">
        <v>0</v>
      </c>
      <c r="F1818" s="41" t="s">
        <v>599</v>
      </c>
      <c r="G1818" s="53">
        <v>839982.06400000001</v>
      </c>
      <c r="J1818" s="47">
        <v>153.05118110236219</v>
      </c>
      <c r="L1818" s="41">
        <v>6.6</v>
      </c>
      <c r="M1818" s="41">
        <v>4.7</v>
      </c>
      <c r="U1818" s="53">
        <v>139044.5546</v>
      </c>
      <c r="X1818" s="76">
        <f t="shared" si="331"/>
        <v>95392.179040000003</v>
      </c>
      <c r="Y1818" s="53">
        <v>47696.089520000001</v>
      </c>
      <c r="Z1818" s="76">
        <f t="shared" si="331"/>
        <v>46073.567999999999</v>
      </c>
      <c r="AA1818" s="53">
        <v>23036.784</v>
      </c>
      <c r="AO1818" s="53">
        <f t="shared" si="333"/>
        <v>0</v>
      </c>
      <c r="AP1818" s="53">
        <f t="shared" si="333"/>
        <v>0</v>
      </c>
      <c r="AQ1818" s="53">
        <f t="shared" si="333"/>
        <v>128560246.99999999</v>
      </c>
      <c r="AR1818" s="53">
        <f t="shared" si="332"/>
        <v>0</v>
      </c>
      <c r="AS1818" s="53">
        <f t="shared" si="332"/>
        <v>5543881.6223999998</v>
      </c>
      <c r="AT1818" s="53">
        <f t="shared" si="332"/>
        <v>3947915.7008000002</v>
      </c>
      <c r="AU1818" s="53">
        <f t="shared" si="332"/>
        <v>0</v>
      </c>
      <c r="AV1818" s="53">
        <f t="shared" si="332"/>
        <v>0</v>
      </c>
      <c r="AW1818" s="53">
        <f t="shared" si="332"/>
        <v>0</v>
      </c>
      <c r="AX1818" s="53">
        <f t="shared" si="327"/>
        <v>0</v>
      </c>
      <c r="AY1818" s="41" t="s">
        <v>557</v>
      </c>
    </row>
    <row r="1819" spans="1:51" x14ac:dyDescent="0.2">
      <c r="A1819" s="41" t="s">
        <v>663</v>
      </c>
      <c r="B1819" s="41">
        <v>1966</v>
      </c>
      <c r="C1819" s="41" t="s">
        <v>101</v>
      </c>
      <c r="D1819" s="41" t="s">
        <v>137</v>
      </c>
      <c r="E1819" s="41">
        <v>0</v>
      </c>
      <c r="F1819" s="41" t="s">
        <v>599</v>
      </c>
      <c r="G1819" s="53">
        <v>954955.67200000002</v>
      </c>
      <c r="J1819" s="47">
        <v>189.78346456692915</v>
      </c>
      <c r="L1819" s="41">
        <v>7.5</v>
      </c>
      <c r="M1819" s="41">
        <v>5.5</v>
      </c>
      <c r="U1819" s="53">
        <v>190402.47260000001</v>
      </c>
      <c r="X1819" s="76">
        <f t="shared" si="331"/>
        <v>133146.79999999999</v>
      </c>
      <c r="Y1819" s="53">
        <v>66573.399999999994</v>
      </c>
      <c r="Z1819" s="76">
        <f t="shared" si="331"/>
        <v>88570.816000000006</v>
      </c>
      <c r="AA1819" s="53">
        <v>44285.408000000003</v>
      </c>
      <c r="AO1819" s="53">
        <f t="shared" si="333"/>
        <v>0</v>
      </c>
      <c r="AP1819" s="53">
        <f t="shared" si="333"/>
        <v>0</v>
      </c>
      <c r="AQ1819" s="53">
        <f t="shared" si="333"/>
        <v>181234795.94000003</v>
      </c>
      <c r="AR1819" s="53">
        <f t="shared" si="332"/>
        <v>0</v>
      </c>
      <c r="AS1819" s="53">
        <f t="shared" si="332"/>
        <v>7162167.54</v>
      </c>
      <c r="AT1819" s="53">
        <f t="shared" si="332"/>
        <v>5252256.1960000005</v>
      </c>
      <c r="AU1819" s="53">
        <f t="shared" si="332"/>
        <v>0</v>
      </c>
      <c r="AV1819" s="53">
        <f t="shared" si="332"/>
        <v>0</v>
      </c>
      <c r="AW1819" s="53">
        <f t="shared" si="332"/>
        <v>0</v>
      </c>
      <c r="AX1819" s="53">
        <f t="shared" si="327"/>
        <v>0</v>
      </c>
      <c r="AY1819" s="41" t="s">
        <v>557</v>
      </c>
    </row>
    <row r="1820" spans="1:51" x14ac:dyDescent="0.2">
      <c r="A1820" s="41" t="s">
        <v>663</v>
      </c>
      <c r="B1820" s="41">
        <v>1967</v>
      </c>
      <c r="C1820" s="41" t="s">
        <v>101</v>
      </c>
      <c r="D1820" s="41" t="s">
        <v>137</v>
      </c>
      <c r="E1820" s="41">
        <v>0</v>
      </c>
      <c r="F1820" s="41" t="s">
        <v>599</v>
      </c>
      <c r="G1820" s="53">
        <v>1054387.5279999999</v>
      </c>
      <c r="J1820" s="47">
        <v>189.78346456692915</v>
      </c>
      <c r="L1820" s="41">
        <v>7.8</v>
      </c>
      <c r="M1820" s="41">
        <v>5.7</v>
      </c>
      <c r="U1820" s="53">
        <v>223604.83260000002</v>
      </c>
      <c r="X1820" s="76">
        <f t="shared" si="331"/>
        <v>171259.17488000001</v>
      </c>
      <c r="Y1820" s="53">
        <v>85629.587440000003</v>
      </c>
      <c r="Z1820" s="76">
        <f t="shared" si="331"/>
        <v>81424.271999999997</v>
      </c>
      <c r="AA1820" s="53">
        <v>40712.135999999999</v>
      </c>
      <c r="AO1820" s="53">
        <f t="shared" si="333"/>
        <v>0</v>
      </c>
      <c r="AP1820" s="53">
        <f t="shared" si="333"/>
        <v>0</v>
      </c>
      <c r="AQ1820" s="53">
        <f t="shared" si="333"/>
        <v>200105318.06</v>
      </c>
      <c r="AR1820" s="53">
        <f t="shared" si="332"/>
        <v>0</v>
      </c>
      <c r="AS1820" s="53">
        <f t="shared" si="332"/>
        <v>8224222.7183999997</v>
      </c>
      <c r="AT1820" s="53">
        <f t="shared" si="332"/>
        <v>6010008.9095999999</v>
      </c>
      <c r="AU1820" s="53">
        <f t="shared" si="332"/>
        <v>0</v>
      </c>
      <c r="AV1820" s="53">
        <f t="shared" si="332"/>
        <v>0</v>
      </c>
      <c r="AW1820" s="53">
        <f t="shared" si="332"/>
        <v>0</v>
      </c>
      <c r="AX1820" s="53">
        <f t="shared" si="327"/>
        <v>0</v>
      </c>
      <c r="AY1820" s="41" t="s">
        <v>557</v>
      </c>
    </row>
    <row r="1821" spans="1:51" x14ac:dyDescent="0.2">
      <c r="A1821" s="41" t="s">
        <v>663</v>
      </c>
      <c r="B1821" s="41">
        <v>1968</v>
      </c>
      <c r="C1821" s="41" t="s">
        <v>101</v>
      </c>
      <c r="D1821" s="41" t="s">
        <v>137</v>
      </c>
      <c r="E1821" s="41">
        <v>0</v>
      </c>
      <c r="F1821" s="41" t="s">
        <v>599</v>
      </c>
      <c r="G1821" s="53">
        <v>1655792.4720000001</v>
      </c>
      <c r="J1821" s="47">
        <v>180.60039370078741</v>
      </c>
      <c r="L1821" s="41">
        <v>7.6</v>
      </c>
      <c r="M1821" s="47">
        <v>6</v>
      </c>
      <c r="U1821" s="53">
        <v>268879.12410000002</v>
      </c>
      <c r="X1821" s="76">
        <f t="shared" si="331"/>
        <v>211108.15792</v>
      </c>
      <c r="Y1821" s="53">
        <v>105554.07896</v>
      </c>
      <c r="Z1821" s="76">
        <f t="shared" si="331"/>
        <v>135325.10399999999</v>
      </c>
      <c r="AA1821" s="53">
        <v>67662.551999999996</v>
      </c>
      <c r="AO1821" s="53">
        <f t="shared" si="333"/>
        <v>0</v>
      </c>
      <c r="AP1821" s="53">
        <f t="shared" si="333"/>
        <v>0</v>
      </c>
      <c r="AQ1821" s="53">
        <f t="shared" si="333"/>
        <v>299036772.33000004</v>
      </c>
      <c r="AR1821" s="53">
        <f t="shared" si="332"/>
        <v>0</v>
      </c>
      <c r="AS1821" s="53">
        <f t="shared" si="332"/>
        <v>12584022.7872</v>
      </c>
      <c r="AT1821" s="53">
        <f t="shared" si="332"/>
        <v>9934754.8320000004</v>
      </c>
      <c r="AU1821" s="53">
        <f t="shared" si="332"/>
        <v>0</v>
      </c>
      <c r="AV1821" s="53">
        <f t="shared" si="332"/>
        <v>0</v>
      </c>
      <c r="AW1821" s="53">
        <f t="shared" si="332"/>
        <v>0</v>
      </c>
      <c r="AX1821" s="53">
        <f t="shared" si="327"/>
        <v>0</v>
      </c>
      <c r="AY1821" s="41" t="s">
        <v>557</v>
      </c>
    </row>
    <row r="1822" spans="1:51" x14ac:dyDescent="0.2">
      <c r="A1822" s="41" t="s">
        <v>663</v>
      </c>
      <c r="B1822" s="41">
        <v>1969</v>
      </c>
      <c r="C1822" s="41" t="s">
        <v>101</v>
      </c>
      <c r="D1822" s="41" t="s">
        <v>137</v>
      </c>
      <c r="E1822" s="41">
        <v>0</v>
      </c>
      <c r="F1822" s="41" t="s">
        <v>599</v>
      </c>
      <c r="G1822" s="53">
        <v>2121481.1520000002</v>
      </c>
      <c r="J1822" s="47">
        <v>186.7224409448819</v>
      </c>
      <c r="L1822" s="41">
        <v>7.8</v>
      </c>
      <c r="M1822" s="47">
        <v>6</v>
      </c>
      <c r="U1822" s="53">
        <v>339279.29219999997</v>
      </c>
      <c r="X1822" s="76">
        <f t="shared" si="331"/>
        <v>275183.23424000002</v>
      </c>
      <c r="Y1822" s="53">
        <v>137591.61712000001</v>
      </c>
      <c r="Z1822" s="76">
        <f t="shared" si="331"/>
        <v>169588.68799999999</v>
      </c>
      <c r="AA1822" s="53">
        <v>84794.343999999997</v>
      </c>
      <c r="AO1822" s="53">
        <f t="shared" si="333"/>
        <v>0</v>
      </c>
      <c r="AP1822" s="53">
        <f t="shared" si="333"/>
        <v>0</v>
      </c>
      <c r="AQ1822" s="53">
        <f t="shared" si="333"/>
        <v>396128139.12000006</v>
      </c>
      <c r="AR1822" s="53">
        <f t="shared" si="332"/>
        <v>0</v>
      </c>
      <c r="AS1822" s="53">
        <f t="shared" si="332"/>
        <v>16547552.985600002</v>
      </c>
      <c r="AT1822" s="53">
        <f t="shared" si="332"/>
        <v>12728886.912</v>
      </c>
      <c r="AU1822" s="53">
        <f t="shared" si="332"/>
        <v>0</v>
      </c>
      <c r="AV1822" s="53">
        <f t="shared" si="332"/>
        <v>0</v>
      </c>
      <c r="AW1822" s="53">
        <f t="shared" si="332"/>
        <v>0</v>
      </c>
      <c r="AX1822" s="53">
        <f t="shared" si="327"/>
        <v>0</v>
      </c>
      <c r="AY1822" s="41" t="s">
        <v>557</v>
      </c>
    </row>
    <row r="1823" spans="1:51" x14ac:dyDescent="0.2">
      <c r="A1823" s="41" t="s">
        <v>663</v>
      </c>
      <c r="B1823" s="41">
        <v>1970</v>
      </c>
      <c r="C1823" s="41" t="s">
        <v>101</v>
      </c>
      <c r="D1823" s="41" t="s">
        <v>137</v>
      </c>
      <c r="E1823" s="41">
        <v>0</v>
      </c>
      <c r="F1823" s="41" t="s">
        <v>599</v>
      </c>
      <c r="G1823" s="53">
        <v>2368745.0720000002</v>
      </c>
      <c r="J1823" s="47">
        <v>192.84448818897638</v>
      </c>
      <c r="L1823" s="41">
        <v>7.5</v>
      </c>
      <c r="M1823" s="41">
        <v>5.7</v>
      </c>
      <c r="U1823" s="53">
        <v>383222.78360000002</v>
      </c>
      <c r="X1823" s="76">
        <f t="shared" si="331"/>
        <v>303547.04848000006</v>
      </c>
      <c r="Y1823" s="53">
        <v>151773.52424000003</v>
      </c>
      <c r="Z1823" s="76">
        <f t="shared" si="331"/>
        <v>192239.39199999999</v>
      </c>
      <c r="AA1823" s="53">
        <v>96119.695999999996</v>
      </c>
      <c r="AO1823" s="53">
        <f t="shared" si="333"/>
        <v>0</v>
      </c>
      <c r="AP1823" s="53">
        <f t="shared" si="333"/>
        <v>0</v>
      </c>
      <c r="AQ1823" s="53">
        <f t="shared" si="333"/>
        <v>456799431.06000006</v>
      </c>
      <c r="AR1823" s="53">
        <f t="shared" si="332"/>
        <v>0</v>
      </c>
      <c r="AS1823" s="53">
        <f t="shared" si="332"/>
        <v>17765588.040000003</v>
      </c>
      <c r="AT1823" s="53">
        <f t="shared" si="332"/>
        <v>13501846.910400001</v>
      </c>
      <c r="AU1823" s="53">
        <f t="shared" si="332"/>
        <v>0</v>
      </c>
      <c r="AV1823" s="53">
        <f t="shared" si="332"/>
        <v>0</v>
      </c>
      <c r="AW1823" s="53">
        <f t="shared" si="332"/>
        <v>0</v>
      </c>
      <c r="AX1823" s="53">
        <f t="shared" si="327"/>
        <v>0</v>
      </c>
      <c r="AY1823" s="41" t="s">
        <v>557</v>
      </c>
    </row>
    <row r="1824" spans="1:51" x14ac:dyDescent="0.2">
      <c r="A1824" s="41" t="s">
        <v>663</v>
      </c>
      <c r="B1824" s="41">
        <v>1971</v>
      </c>
      <c r="C1824" s="41" t="s">
        <v>101</v>
      </c>
      <c r="D1824" s="41" t="s">
        <v>137</v>
      </c>
      <c r="E1824" s="41">
        <v>0</v>
      </c>
      <c r="F1824" s="41" t="s">
        <v>599</v>
      </c>
      <c r="G1824" s="53">
        <v>2069028.12</v>
      </c>
      <c r="J1824" s="47">
        <v>162.23425196850394</v>
      </c>
      <c r="L1824" s="41">
        <v>6.8</v>
      </c>
      <c r="M1824" s="47">
        <v>6</v>
      </c>
      <c r="U1824" s="53">
        <v>314254.42840000003</v>
      </c>
      <c r="X1824" s="76">
        <f t="shared" si="331"/>
        <v>256094.992</v>
      </c>
      <c r="Y1824" s="53">
        <v>128047.496</v>
      </c>
      <c r="Z1824" s="76">
        <f t="shared" si="331"/>
        <v>180933.34400000001</v>
      </c>
      <c r="AA1824" s="53">
        <v>90466.672000000006</v>
      </c>
      <c r="AO1824" s="53">
        <f t="shared" si="333"/>
        <v>0</v>
      </c>
      <c r="AP1824" s="53">
        <f t="shared" si="333"/>
        <v>0</v>
      </c>
      <c r="AQ1824" s="53">
        <f t="shared" si="333"/>
        <v>335667229.35000002</v>
      </c>
      <c r="AR1824" s="53">
        <f t="shared" si="332"/>
        <v>0</v>
      </c>
      <c r="AS1824" s="53">
        <f t="shared" si="332"/>
        <v>14069391.216</v>
      </c>
      <c r="AT1824" s="53">
        <f t="shared" si="332"/>
        <v>12414168.720000001</v>
      </c>
      <c r="AU1824" s="53">
        <f t="shared" si="332"/>
        <v>0</v>
      </c>
      <c r="AV1824" s="53">
        <f t="shared" si="332"/>
        <v>0</v>
      </c>
      <c r="AW1824" s="53">
        <f t="shared" si="332"/>
        <v>0</v>
      </c>
      <c r="AX1824" s="53">
        <f t="shared" si="327"/>
        <v>0</v>
      </c>
      <c r="AY1824" s="41" t="s">
        <v>557</v>
      </c>
    </row>
    <row r="1825" spans="1:51" x14ac:dyDescent="0.2">
      <c r="A1825" s="41" t="s">
        <v>663</v>
      </c>
      <c r="B1825" s="41">
        <v>1972</v>
      </c>
      <c r="C1825" s="41" t="s">
        <v>101</v>
      </c>
      <c r="D1825" s="41" t="s">
        <v>137</v>
      </c>
      <c r="E1825" s="41">
        <v>0</v>
      </c>
      <c r="F1825" s="41" t="s">
        <v>599</v>
      </c>
      <c r="G1825" s="53">
        <v>1926827</v>
      </c>
      <c r="J1825" s="41">
        <v>157</v>
      </c>
      <c r="L1825" s="41">
        <v>6.6</v>
      </c>
      <c r="M1825" s="41">
        <v>6.8</v>
      </c>
      <c r="U1825" s="53">
        <v>270201</v>
      </c>
      <c r="X1825" s="76">
        <f t="shared" si="331"/>
        <v>230266</v>
      </c>
      <c r="Y1825" s="53">
        <v>115133</v>
      </c>
      <c r="Z1825" s="76">
        <f t="shared" si="331"/>
        <v>192516</v>
      </c>
      <c r="AA1825" s="53">
        <v>96258</v>
      </c>
      <c r="AO1825" s="53">
        <f t="shared" si="333"/>
        <v>0</v>
      </c>
      <c r="AP1825" s="53">
        <f t="shared" si="333"/>
        <v>0</v>
      </c>
      <c r="AQ1825" s="53">
        <f t="shared" si="333"/>
        <v>302511839</v>
      </c>
      <c r="AR1825" s="53">
        <f t="shared" si="332"/>
        <v>0</v>
      </c>
      <c r="AS1825" s="53">
        <f t="shared" si="332"/>
        <v>12717058.199999999</v>
      </c>
      <c r="AT1825" s="53">
        <f t="shared" si="332"/>
        <v>13102423.6</v>
      </c>
      <c r="AU1825" s="53">
        <f t="shared" si="332"/>
        <v>0</v>
      </c>
      <c r="AV1825" s="53">
        <f t="shared" si="332"/>
        <v>0</v>
      </c>
      <c r="AW1825" s="53">
        <f t="shared" si="332"/>
        <v>0</v>
      </c>
      <c r="AX1825" s="53">
        <f t="shared" si="327"/>
        <v>0</v>
      </c>
      <c r="AY1825" s="41" t="s">
        <v>557</v>
      </c>
    </row>
    <row r="1826" spans="1:51" x14ac:dyDescent="0.2">
      <c r="A1826" s="41" t="s">
        <v>663</v>
      </c>
      <c r="B1826" s="41">
        <v>1973</v>
      </c>
      <c r="C1826" s="41" t="s">
        <v>101</v>
      </c>
      <c r="D1826" s="41" t="s">
        <v>137</v>
      </c>
      <c r="E1826" s="41">
        <v>0</v>
      </c>
      <c r="F1826" s="41" t="s">
        <v>599</v>
      </c>
      <c r="G1826" s="53">
        <v>2216855</v>
      </c>
      <c r="J1826" s="41">
        <v>155</v>
      </c>
      <c r="L1826" s="41">
        <v>6.8</v>
      </c>
      <c r="M1826" s="41">
        <v>6.7</v>
      </c>
      <c r="U1826" s="53">
        <v>302874</v>
      </c>
      <c r="X1826" s="76">
        <f t="shared" si="331"/>
        <v>252046</v>
      </c>
      <c r="Y1826" s="53">
        <v>126023</v>
      </c>
      <c r="Z1826" s="76">
        <f t="shared" si="331"/>
        <v>216218</v>
      </c>
      <c r="AA1826" s="53">
        <v>108109</v>
      </c>
      <c r="AO1826" s="53">
        <f t="shared" si="333"/>
        <v>0</v>
      </c>
      <c r="AP1826" s="53">
        <f t="shared" si="333"/>
        <v>0</v>
      </c>
      <c r="AQ1826" s="53">
        <f t="shared" si="333"/>
        <v>343612525</v>
      </c>
      <c r="AR1826" s="53">
        <f t="shared" si="332"/>
        <v>0</v>
      </c>
      <c r="AS1826" s="53">
        <f t="shared" si="332"/>
        <v>15074614</v>
      </c>
      <c r="AT1826" s="53">
        <f t="shared" si="332"/>
        <v>14852928.5</v>
      </c>
      <c r="AU1826" s="53">
        <f t="shared" si="332"/>
        <v>0</v>
      </c>
      <c r="AV1826" s="53">
        <f t="shared" si="332"/>
        <v>0</v>
      </c>
      <c r="AW1826" s="53">
        <f t="shared" si="332"/>
        <v>0</v>
      </c>
      <c r="AX1826" s="53">
        <f t="shared" si="327"/>
        <v>0</v>
      </c>
      <c r="AY1826" s="41" t="s">
        <v>557</v>
      </c>
    </row>
    <row r="1827" spans="1:51" x14ac:dyDescent="0.2">
      <c r="A1827" s="41" t="s">
        <v>663</v>
      </c>
      <c r="B1827" s="41">
        <v>1974</v>
      </c>
      <c r="C1827" s="41" t="s">
        <v>101</v>
      </c>
      <c r="D1827" s="41" t="s">
        <v>137</v>
      </c>
      <c r="E1827" s="41">
        <v>0</v>
      </c>
      <c r="F1827" s="41" t="s">
        <v>599</v>
      </c>
      <c r="G1827" s="53">
        <v>2208124</v>
      </c>
      <c r="J1827" s="41">
        <v>150</v>
      </c>
      <c r="L1827" s="41">
        <v>6.4</v>
      </c>
      <c r="M1827" s="41">
        <v>6.3</v>
      </c>
      <c r="U1827" s="53">
        <v>328988</v>
      </c>
      <c r="X1827" s="76">
        <f t="shared" si="331"/>
        <v>240428</v>
      </c>
      <c r="Y1827" s="53">
        <v>120214</v>
      </c>
      <c r="Z1827" s="76">
        <f t="shared" si="331"/>
        <v>206102</v>
      </c>
      <c r="AA1827" s="53">
        <v>103051</v>
      </c>
      <c r="AO1827" s="53">
        <f t="shared" si="333"/>
        <v>0</v>
      </c>
      <c r="AP1827" s="53">
        <f t="shared" si="333"/>
        <v>0</v>
      </c>
      <c r="AQ1827" s="53">
        <f t="shared" si="333"/>
        <v>331218600</v>
      </c>
      <c r="AR1827" s="53">
        <f t="shared" si="332"/>
        <v>0</v>
      </c>
      <c r="AS1827" s="53">
        <f t="shared" si="332"/>
        <v>14131993.600000001</v>
      </c>
      <c r="AT1827" s="53">
        <f t="shared" si="332"/>
        <v>13911181.199999999</v>
      </c>
      <c r="AU1827" s="53">
        <f t="shared" si="332"/>
        <v>0</v>
      </c>
      <c r="AV1827" s="53">
        <f t="shared" si="332"/>
        <v>0</v>
      </c>
      <c r="AW1827" s="53">
        <f t="shared" si="332"/>
        <v>0</v>
      </c>
      <c r="AX1827" s="53">
        <f t="shared" si="327"/>
        <v>0</v>
      </c>
      <c r="AY1827" s="41" t="s">
        <v>557</v>
      </c>
    </row>
    <row r="1828" spans="1:51" x14ac:dyDescent="0.2">
      <c r="A1828" s="41" t="s">
        <v>663</v>
      </c>
      <c r="B1828" s="41">
        <v>1975</v>
      </c>
      <c r="C1828" s="41" t="s">
        <v>101</v>
      </c>
      <c r="D1828" s="41" t="s">
        <v>137</v>
      </c>
      <c r="E1828" s="47">
        <v>2.1853683848277647</v>
      </c>
      <c r="F1828" s="41" t="s">
        <v>599</v>
      </c>
      <c r="G1828" s="53">
        <v>2367655</v>
      </c>
      <c r="J1828" s="41">
        <v>166</v>
      </c>
      <c r="L1828" s="41">
        <v>6.6</v>
      </c>
      <c r="M1828" s="41">
        <v>6.6</v>
      </c>
      <c r="U1828" s="53">
        <v>345925</v>
      </c>
      <c r="X1828" s="76">
        <f t="shared" si="331"/>
        <v>266788</v>
      </c>
      <c r="Y1828" s="53">
        <v>133394</v>
      </c>
      <c r="Z1828" s="76">
        <f t="shared" si="331"/>
        <v>229064</v>
      </c>
      <c r="AA1828" s="53">
        <v>114532</v>
      </c>
      <c r="AO1828" s="53">
        <f t="shared" si="333"/>
        <v>0</v>
      </c>
      <c r="AP1828" s="53">
        <f t="shared" si="333"/>
        <v>0</v>
      </c>
      <c r="AQ1828" s="53">
        <f t="shared" si="333"/>
        <v>393030730</v>
      </c>
      <c r="AR1828" s="53">
        <f t="shared" si="332"/>
        <v>0</v>
      </c>
      <c r="AS1828" s="53">
        <f t="shared" si="332"/>
        <v>15626523</v>
      </c>
      <c r="AT1828" s="53">
        <f t="shared" si="332"/>
        <v>15626523</v>
      </c>
      <c r="AU1828" s="53">
        <f t="shared" si="332"/>
        <v>0</v>
      </c>
      <c r="AV1828" s="53">
        <f t="shared" si="332"/>
        <v>0</v>
      </c>
      <c r="AW1828" s="53">
        <f t="shared" si="332"/>
        <v>0</v>
      </c>
      <c r="AX1828" s="53">
        <f t="shared" si="327"/>
        <v>5174198.3831793815</v>
      </c>
      <c r="AY1828" s="41" t="s">
        <v>557</v>
      </c>
    </row>
    <row r="1829" spans="1:51" x14ac:dyDescent="0.2">
      <c r="A1829" s="41" t="s">
        <v>663</v>
      </c>
      <c r="B1829" s="41">
        <v>1976</v>
      </c>
      <c r="C1829" s="41" t="s">
        <v>101</v>
      </c>
      <c r="D1829" s="41" t="s">
        <v>137</v>
      </c>
      <c r="E1829" s="47">
        <v>1.4939762360767019</v>
      </c>
      <c r="F1829" s="41" t="s">
        <v>599</v>
      </c>
      <c r="G1829" s="53">
        <v>2296587</v>
      </c>
      <c r="J1829" s="41">
        <v>203</v>
      </c>
      <c r="L1829" s="41">
        <v>7.69</v>
      </c>
      <c r="M1829" s="41">
        <v>5.86</v>
      </c>
      <c r="U1829" s="53">
        <v>378148</v>
      </c>
      <c r="X1829" s="76">
        <f t="shared" si="331"/>
        <v>270136</v>
      </c>
      <c r="Y1829" s="53">
        <v>135068</v>
      </c>
      <c r="Z1829" s="76">
        <f t="shared" si="331"/>
        <v>209288</v>
      </c>
      <c r="AA1829" s="53">
        <v>104644</v>
      </c>
      <c r="AO1829" s="53">
        <f t="shared" si="333"/>
        <v>0</v>
      </c>
      <c r="AP1829" s="53">
        <f t="shared" si="333"/>
        <v>0</v>
      </c>
      <c r="AQ1829" s="53">
        <f t="shared" si="333"/>
        <v>466207161</v>
      </c>
      <c r="AR1829" s="53">
        <f t="shared" si="332"/>
        <v>0</v>
      </c>
      <c r="AS1829" s="53">
        <f t="shared" si="332"/>
        <v>17660754.030000001</v>
      </c>
      <c r="AT1829" s="53">
        <f t="shared" si="332"/>
        <v>13457999.82</v>
      </c>
      <c r="AU1829" s="53">
        <f t="shared" si="332"/>
        <v>0</v>
      </c>
      <c r="AV1829" s="53">
        <f t="shared" si="332"/>
        <v>0</v>
      </c>
      <c r="AW1829" s="53">
        <f t="shared" si="332"/>
        <v>0</v>
      </c>
      <c r="AX1829" s="53">
        <f t="shared" si="327"/>
        <v>3431046.4020826844</v>
      </c>
      <c r="AY1829" s="41" t="s">
        <v>557</v>
      </c>
    </row>
    <row r="1830" spans="1:51" x14ac:dyDescent="0.2">
      <c r="A1830" s="41" t="s">
        <v>663</v>
      </c>
      <c r="B1830" s="41">
        <v>1977</v>
      </c>
      <c r="C1830" s="41" t="s">
        <v>101</v>
      </c>
      <c r="D1830" s="41" t="s">
        <v>137</v>
      </c>
      <c r="E1830" s="47">
        <v>2.0796916851650109</v>
      </c>
      <c r="F1830" s="41" t="s">
        <v>599</v>
      </c>
      <c r="G1830" s="53">
        <v>2395629</v>
      </c>
      <c r="J1830" s="41">
        <v>215</v>
      </c>
      <c r="L1830" s="41">
        <v>7.97</v>
      </c>
      <c r="M1830" s="41">
        <v>5.98</v>
      </c>
      <c r="U1830" s="53">
        <v>398855</v>
      </c>
      <c r="X1830" s="76">
        <f t="shared" si="331"/>
        <v>264784</v>
      </c>
      <c r="Y1830" s="53">
        <v>132392</v>
      </c>
      <c r="Z1830" s="76">
        <f t="shared" si="331"/>
        <v>207074</v>
      </c>
      <c r="AA1830" s="53">
        <v>103537</v>
      </c>
      <c r="AO1830" s="53">
        <f t="shared" si="333"/>
        <v>0</v>
      </c>
      <c r="AP1830" s="53">
        <f t="shared" si="333"/>
        <v>0</v>
      </c>
      <c r="AQ1830" s="53">
        <f t="shared" si="333"/>
        <v>515060235</v>
      </c>
      <c r="AR1830" s="53">
        <f t="shared" si="332"/>
        <v>0</v>
      </c>
      <c r="AS1830" s="53">
        <f t="shared" si="332"/>
        <v>19093163.129999999</v>
      </c>
      <c r="AT1830" s="53">
        <f t="shared" si="332"/>
        <v>14325861.420000002</v>
      </c>
      <c r="AU1830" s="53">
        <f t="shared" si="332"/>
        <v>0</v>
      </c>
      <c r="AV1830" s="53">
        <f t="shared" si="332"/>
        <v>0</v>
      </c>
      <c r="AW1830" s="53">
        <f t="shared" si="332"/>
        <v>0</v>
      </c>
      <c r="AX1830" s="53">
        <f t="shared" si="327"/>
        <v>4982169.7120401701</v>
      </c>
      <c r="AY1830" s="41" t="s">
        <v>557</v>
      </c>
    </row>
    <row r="1831" spans="1:51" x14ac:dyDescent="0.2">
      <c r="A1831" s="41" t="s">
        <v>663</v>
      </c>
      <c r="B1831" s="41">
        <v>1978</v>
      </c>
      <c r="C1831" s="41" t="s">
        <v>101</v>
      </c>
      <c r="D1831" s="41" t="s">
        <v>137</v>
      </c>
      <c r="E1831" s="47">
        <v>0.10032705341361202</v>
      </c>
      <c r="F1831" s="41" t="s">
        <v>599</v>
      </c>
      <c r="G1831" s="53">
        <v>2348400</v>
      </c>
      <c r="J1831" s="41">
        <v>188</v>
      </c>
      <c r="L1831" s="47">
        <v>7</v>
      </c>
      <c r="M1831" s="41">
        <v>6.4</v>
      </c>
      <c r="U1831" s="53">
        <v>376548</v>
      </c>
      <c r="X1831" s="76">
        <f t="shared" si="331"/>
        <v>257772</v>
      </c>
      <c r="Y1831" s="53">
        <v>128886</v>
      </c>
      <c r="Z1831" s="76">
        <f t="shared" si="331"/>
        <v>218152</v>
      </c>
      <c r="AA1831" s="53">
        <v>109076</v>
      </c>
      <c r="AO1831" s="53">
        <f t="shared" si="333"/>
        <v>0</v>
      </c>
      <c r="AP1831" s="53">
        <f t="shared" si="333"/>
        <v>0</v>
      </c>
      <c r="AQ1831" s="53">
        <f t="shared" si="333"/>
        <v>441499200</v>
      </c>
      <c r="AR1831" s="53">
        <f t="shared" si="332"/>
        <v>0</v>
      </c>
      <c r="AS1831" s="53">
        <f t="shared" si="332"/>
        <v>16438800</v>
      </c>
      <c r="AT1831" s="53">
        <f t="shared" si="332"/>
        <v>15029760</v>
      </c>
      <c r="AU1831" s="53">
        <f t="shared" si="332"/>
        <v>0</v>
      </c>
      <c r="AV1831" s="53">
        <f t="shared" si="332"/>
        <v>0</v>
      </c>
      <c r="AW1831" s="53">
        <f t="shared" si="332"/>
        <v>0</v>
      </c>
      <c r="AX1831" s="53">
        <f t="shared" si="327"/>
        <v>235608.05223652648</v>
      </c>
      <c r="AY1831" s="41" t="s">
        <v>557</v>
      </c>
    </row>
    <row r="1832" spans="1:51" x14ac:dyDescent="0.2">
      <c r="A1832" s="41" t="s">
        <v>663</v>
      </c>
      <c r="B1832" s="41">
        <v>1979</v>
      </c>
      <c r="C1832" s="41" t="s">
        <v>101</v>
      </c>
      <c r="D1832" s="41" t="s">
        <v>137</v>
      </c>
      <c r="E1832" s="47">
        <v>0.69897244157397709</v>
      </c>
      <c r="F1832" s="41" t="s">
        <v>599</v>
      </c>
      <c r="G1832" s="53">
        <v>2499845</v>
      </c>
      <c r="J1832" s="41">
        <v>192</v>
      </c>
      <c r="L1832" s="47">
        <v>7</v>
      </c>
      <c r="M1832" s="47">
        <v>6</v>
      </c>
      <c r="U1832" s="53">
        <v>420543</v>
      </c>
      <c r="X1832" s="76">
        <f t="shared" si="331"/>
        <v>288106</v>
      </c>
      <c r="Y1832" s="53">
        <v>144053</v>
      </c>
      <c r="Z1832" s="76">
        <f t="shared" si="331"/>
        <v>222284</v>
      </c>
      <c r="AA1832" s="53">
        <v>111142</v>
      </c>
      <c r="AO1832" s="53">
        <f t="shared" si="333"/>
        <v>0</v>
      </c>
      <c r="AP1832" s="53">
        <f t="shared" si="333"/>
        <v>0</v>
      </c>
      <c r="AQ1832" s="53">
        <f t="shared" si="333"/>
        <v>479970240</v>
      </c>
      <c r="AR1832" s="53">
        <f t="shared" si="332"/>
        <v>0</v>
      </c>
      <c r="AS1832" s="53">
        <f t="shared" si="332"/>
        <v>17498915</v>
      </c>
      <c r="AT1832" s="53">
        <f t="shared" si="332"/>
        <v>14999070</v>
      </c>
      <c r="AU1832" s="53">
        <f t="shared" si="332"/>
        <v>0</v>
      </c>
      <c r="AV1832" s="53">
        <f t="shared" si="332"/>
        <v>0</v>
      </c>
      <c r="AW1832" s="53">
        <f t="shared" si="332"/>
        <v>0</v>
      </c>
      <c r="AX1832" s="53">
        <f t="shared" si="327"/>
        <v>1747322.7632064987</v>
      </c>
      <c r="AY1832" s="41" t="s">
        <v>557</v>
      </c>
    </row>
    <row r="1833" spans="1:51" x14ac:dyDescent="0.2">
      <c r="A1833" s="41" t="s">
        <v>663</v>
      </c>
      <c r="B1833" s="41">
        <v>1980</v>
      </c>
      <c r="C1833" s="41" t="s">
        <v>101</v>
      </c>
      <c r="D1833" s="41" t="s">
        <v>137</v>
      </c>
      <c r="E1833" s="41">
        <v>0</v>
      </c>
      <c r="F1833" s="41" t="s">
        <v>599</v>
      </c>
      <c r="G1833" s="53">
        <v>2477499</v>
      </c>
      <c r="J1833" s="41">
        <v>174</v>
      </c>
      <c r="L1833" s="41">
        <v>6.5</v>
      </c>
      <c r="M1833" s="41">
        <v>5.4</v>
      </c>
      <c r="U1833" s="53">
        <v>403282</v>
      </c>
      <c r="X1833" s="76">
        <f t="shared" si="331"/>
        <v>282586</v>
      </c>
      <c r="Y1833" s="53">
        <v>141293</v>
      </c>
      <c r="Z1833" s="76">
        <f t="shared" si="331"/>
        <v>227268</v>
      </c>
      <c r="AA1833" s="53">
        <v>113634</v>
      </c>
      <c r="AO1833" s="53">
        <f t="shared" si="333"/>
        <v>0</v>
      </c>
      <c r="AP1833" s="53">
        <f t="shared" si="333"/>
        <v>0</v>
      </c>
      <c r="AQ1833" s="53">
        <f t="shared" si="333"/>
        <v>431084826</v>
      </c>
      <c r="AR1833" s="53">
        <f t="shared" si="332"/>
        <v>0</v>
      </c>
      <c r="AS1833" s="53">
        <f t="shared" si="332"/>
        <v>16103743.5</v>
      </c>
      <c r="AT1833" s="53">
        <f t="shared" si="332"/>
        <v>13378494.600000001</v>
      </c>
      <c r="AU1833" s="53">
        <f t="shared" si="332"/>
        <v>0</v>
      </c>
      <c r="AV1833" s="53">
        <f t="shared" si="332"/>
        <v>0</v>
      </c>
      <c r="AW1833" s="53">
        <f t="shared" si="332"/>
        <v>0</v>
      </c>
      <c r="AX1833" s="53">
        <f t="shared" si="327"/>
        <v>0</v>
      </c>
      <c r="AY1833" s="41" t="s">
        <v>557</v>
      </c>
    </row>
    <row r="1834" spans="1:51" x14ac:dyDescent="0.2">
      <c r="A1834" s="41" t="s">
        <v>663</v>
      </c>
      <c r="B1834" s="41">
        <v>1981</v>
      </c>
      <c r="C1834" s="41" t="s">
        <v>101</v>
      </c>
      <c r="D1834" s="41" t="s">
        <v>137</v>
      </c>
      <c r="E1834" s="41">
        <v>0</v>
      </c>
      <c r="F1834" s="41" t="s">
        <v>599</v>
      </c>
      <c r="G1834" s="53">
        <v>2651717</v>
      </c>
      <c r="J1834" s="41">
        <v>153</v>
      </c>
      <c r="L1834" s="41">
        <v>6.2</v>
      </c>
      <c r="M1834" s="41">
        <v>6.1</v>
      </c>
      <c r="U1834" s="53">
        <v>362492</v>
      </c>
      <c r="X1834" s="76">
        <f t="shared" si="331"/>
        <v>280056</v>
      </c>
      <c r="Y1834" s="53">
        <v>140028</v>
      </c>
      <c r="Z1834" s="76">
        <f t="shared" si="331"/>
        <v>248604</v>
      </c>
      <c r="AA1834" s="53">
        <v>124302</v>
      </c>
      <c r="AO1834" s="53">
        <f t="shared" si="333"/>
        <v>0</v>
      </c>
      <c r="AP1834" s="53">
        <f t="shared" si="333"/>
        <v>0</v>
      </c>
      <c r="AQ1834" s="53">
        <f t="shared" si="333"/>
        <v>405712701</v>
      </c>
      <c r="AR1834" s="53">
        <f t="shared" si="332"/>
        <v>0</v>
      </c>
      <c r="AS1834" s="53">
        <f t="shared" si="332"/>
        <v>16440645.4</v>
      </c>
      <c r="AT1834" s="53">
        <f t="shared" si="332"/>
        <v>16175473.699999999</v>
      </c>
      <c r="AU1834" s="53">
        <f t="shared" si="332"/>
        <v>0</v>
      </c>
      <c r="AV1834" s="53">
        <f t="shared" si="332"/>
        <v>0</v>
      </c>
      <c r="AW1834" s="53">
        <f t="shared" si="332"/>
        <v>0</v>
      </c>
      <c r="AX1834" s="53">
        <f t="shared" si="327"/>
        <v>0</v>
      </c>
      <c r="AY1834" s="41" t="s">
        <v>557</v>
      </c>
    </row>
    <row r="1835" spans="1:51" x14ac:dyDescent="0.2">
      <c r="A1835" s="41" t="s">
        <v>663</v>
      </c>
      <c r="B1835" s="41">
        <v>1982</v>
      </c>
      <c r="C1835" s="41" t="s">
        <v>101</v>
      </c>
      <c r="D1835" s="41" t="s">
        <v>137</v>
      </c>
      <c r="E1835" s="41">
        <v>0</v>
      </c>
      <c r="F1835" s="41" t="s">
        <v>599</v>
      </c>
      <c r="G1835" s="53">
        <v>2884247</v>
      </c>
      <c r="J1835" s="41">
        <v>181</v>
      </c>
      <c r="L1835" s="41">
        <v>7.1</v>
      </c>
      <c r="M1835" s="41">
        <v>7.3</v>
      </c>
      <c r="U1835" s="53">
        <v>479225</v>
      </c>
      <c r="X1835" s="76">
        <f t="shared" si="331"/>
        <v>356342</v>
      </c>
      <c r="Y1835" s="53">
        <v>178171</v>
      </c>
      <c r="Z1835" s="76">
        <f t="shared" si="331"/>
        <v>347220</v>
      </c>
      <c r="AA1835" s="53">
        <v>173610</v>
      </c>
      <c r="AO1835" s="53">
        <f t="shared" si="333"/>
        <v>0</v>
      </c>
      <c r="AP1835" s="53">
        <f t="shared" si="333"/>
        <v>0</v>
      </c>
      <c r="AQ1835" s="53">
        <f t="shared" si="333"/>
        <v>522048707</v>
      </c>
      <c r="AR1835" s="53">
        <f t="shared" si="332"/>
        <v>0</v>
      </c>
      <c r="AS1835" s="53">
        <f t="shared" si="332"/>
        <v>20478153.699999999</v>
      </c>
      <c r="AT1835" s="53">
        <f t="shared" si="332"/>
        <v>21055003.099999998</v>
      </c>
      <c r="AU1835" s="53">
        <f t="shared" si="332"/>
        <v>0</v>
      </c>
      <c r="AV1835" s="53">
        <f t="shared" si="332"/>
        <v>0</v>
      </c>
      <c r="AW1835" s="53">
        <f t="shared" si="332"/>
        <v>0</v>
      </c>
      <c r="AX1835" s="53">
        <f t="shared" si="327"/>
        <v>0</v>
      </c>
      <c r="AY1835" s="41" t="s">
        <v>557</v>
      </c>
    </row>
    <row r="1836" spans="1:51" x14ac:dyDescent="0.2">
      <c r="A1836" s="41" t="s">
        <v>663</v>
      </c>
      <c r="B1836" s="41">
        <v>1983</v>
      </c>
      <c r="C1836" s="41" t="s">
        <v>101</v>
      </c>
      <c r="D1836" s="41" t="s">
        <v>137</v>
      </c>
      <c r="E1836" s="41">
        <v>0</v>
      </c>
      <c r="F1836" s="41" t="s">
        <v>599</v>
      </c>
      <c r="G1836" s="53">
        <v>3564591</v>
      </c>
      <c r="J1836" s="41">
        <v>180</v>
      </c>
      <c r="L1836" s="41">
        <v>6.8</v>
      </c>
      <c r="M1836" s="41">
        <v>7.3</v>
      </c>
      <c r="U1836" s="53">
        <v>555601</v>
      </c>
      <c r="X1836" s="76">
        <f t="shared" si="331"/>
        <v>400234</v>
      </c>
      <c r="Y1836" s="53">
        <v>200117</v>
      </c>
      <c r="Z1836" s="76">
        <f t="shared" si="331"/>
        <v>402150</v>
      </c>
      <c r="AA1836" s="53">
        <v>201075</v>
      </c>
      <c r="AO1836" s="53">
        <f t="shared" si="333"/>
        <v>0</v>
      </c>
      <c r="AP1836" s="53">
        <f t="shared" si="333"/>
        <v>0</v>
      </c>
      <c r="AQ1836" s="53">
        <f t="shared" si="333"/>
        <v>641626380</v>
      </c>
      <c r="AR1836" s="53">
        <f t="shared" si="332"/>
        <v>0</v>
      </c>
      <c r="AS1836" s="53">
        <f t="shared" si="332"/>
        <v>24239218.800000001</v>
      </c>
      <c r="AT1836" s="53">
        <f t="shared" si="332"/>
        <v>26021514.300000001</v>
      </c>
      <c r="AU1836" s="53">
        <f t="shared" si="332"/>
        <v>0</v>
      </c>
      <c r="AV1836" s="53">
        <f t="shared" si="332"/>
        <v>0</v>
      </c>
      <c r="AW1836" s="53">
        <f t="shared" si="332"/>
        <v>0</v>
      </c>
      <c r="AX1836" s="53">
        <f t="shared" si="327"/>
        <v>0</v>
      </c>
      <c r="AY1836" s="41" t="s">
        <v>557</v>
      </c>
    </row>
    <row r="1837" spans="1:51" x14ac:dyDescent="0.2">
      <c r="A1837" s="41" t="s">
        <v>663</v>
      </c>
      <c r="B1837" s="41">
        <v>1984</v>
      </c>
      <c r="C1837" s="41" t="s">
        <v>101</v>
      </c>
      <c r="D1837" s="41" t="s">
        <v>137</v>
      </c>
      <c r="E1837" s="41">
        <v>0</v>
      </c>
      <c r="F1837" s="41" t="s">
        <v>599</v>
      </c>
      <c r="G1837" s="53">
        <v>2804478</v>
      </c>
      <c r="J1837" s="41">
        <v>201</v>
      </c>
      <c r="L1837" s="41">
        <v>7.8</v>
      </c>
      <c r="M1837" s="41">
        <v>9.1</v>
      </c>
      <c r="U1837" s="53">
        <v>511999</v>
      </c>
      <c r="X1837" s="76">
        <f t="shared" si="331"/>
        <v>381786</v>
      </c>
      <c r="Y1837" s="53">
        <v>190893</v>
      </c>
      <c r="Z1837" s="76">
        <f t="shared" si="331"/>
        <v>429842</v>
      </c>
      <c r="AA1837" s="53">
        <v>214921</v>
      </c>
      <c r="AO1837" s="53">
        <f t="shared" si="333"/>
        <v>0</v>
      </c>
      <c r="AP1837" s="53">
        <f t="shared" si="333"/>
        <v>0</v>
      </c>
      <c r="AQ1837" s="53">
        <f t="shared" si="333"/>
        <v>563700078</v>
      </c>
      <c r="AR1837" s="53">
        <f t="shared" si="332"/>
        <v>0</v>
      </c>
      <c r="AS1837" s="53">
        <f t="shared" si="332"/>
        <v>21874928.399999999</v>
      </c>
      <c r="AT1837" s="53">
        <f t="shared" si="332"/>
        <v>25520749.800000001</v>
      </c>
      <c r="AU1837" s="53">
        <f t="shared" si="332"/>
        <v>0</v>
      </c>
      <c r="AV1837" s="53">
        <f t="shared" si="332"/>
        <v>0</v>
      </c>
      <c r="AW1837" s="53">
        <f t="shared" si="332"/>
        <v>0</v>
      </c>
      <c r="AX1837" s="53">
        <f t="shared" si="327"/>
        <v>0</v>
      </c>
      <c r="AY1837" s="41" t="s">
        <v>557</v>
      </c>
    </row>
    <row r="1838" spans="1:51" x14ac:dyDescent="0.2">
      <c r="A1838" s="41" t="s">
        <v>663</v>
      </c>
      <c r="B1838" s="41">
        <v>1985</v>
      </c>
      <c r="C1838" s="41" t="s">
        <v>101</v>
      </c>
      <c r="D1838" s="41" t="s">
        <v>137</v>
      </c>
      <c r="E1838" s="41">
        <v>0</v>
      </c>
      <c r="F1838" s="41" t="s">
        <v>599</v>
      </c>
      <c r="G1838" s="53">
        <v>4420499</v>
      </c>
      <c r="J1838" s="41">
        <v>215</v>
      </c>
      <c r="L1838" s="41">
        <v>7.9</v>
      </c>
      <c r="M1838" s="41">
        <v>9.4</v>
      </c>
      <c r="U1838" s="53">
        <v>571486</v>
      </c>
      <c r="X1838" s="76">
        <f t="shared" si="331"/>
        <v>403600</v>
      </c>
      <c r="Y1838" s="53">
        <v>201800</v>
      </c>
      <c r="Z1838" s="76">
        <f t="shared" si="331"/>
        <v>454204</v>
      </c>
      <c r="AA1838" s="53">
        <v>227102</v>
      </c>
      <c r="AO1838" s="53">
        <f t="shared" si="333"/>
        <v>0</v>
      </c>
      <c r="AP1838" s="53">
        <f t="shared" si="333"/>
        <v>0</v>
      </c>
      <c r="AQ1838" s="53">
        <f t="shared" si="333"/>
        <v>950407285</v>
      </c>
      <c r="AR1838" s="53">
        <f t="shared" si="332"/>
        <v>0</v>
      </c>
      <c r="AS1838" s="53">
        <f t="shared" si="332"/>
        <v>34921942.100000001</v>
      </c>
      <c r="AT1838" s="53">
        <f t="shared" si="332"/>
        <v>41552690.600000001</v>
      </c>
      <c r="AU1838" s="53">
        <f t="shared" si="332"/>
        <v>0</v>
      </c>
      <c r="AV1838" s="53">
        <f t="shared" si="332"/>
        <v>0</v>
      </c>
      <c r="AW1838" s="53">
        <f t="shared" si="332"/>
        <v>0</v>
      </c>
      <c r="AX1838" s="53">
        <f t="shared" si="327"/>
        <v>0</v>
      </c>
      <c r="AY1838" s="41" t="s">
        <v>557</v>
      </c>
    </row>
    <row r="1839" spans="1:51" x14ac:dyDescent="0.2">
      <c r="A1839" s="41" t="s">
        <v>663</v>
      </c>
      <c r="B1839" s="41">
        <v>1986</v>
      </c>
      <c r="C1839" s="41" t="s">
        <v>101</v>
      </c>
      <c r="D1839" s="41" t="s">
        <v>137</v>
      </c>
      <c r="E1839" s="41">
        <v>0</v>
      </c>
      <c r="F1839" s="41" t="s">
        <v>599</v>
      </c>
      <c r="G1839" s="53">
        <v>4650502</v>
      </c>
      <c r="J1839" s="41">
        <v>178</v>
      </c>
      <c r="L1839" s="41">
        <v>7.2</v>
      </c>
      <c r="M1839" s="47">
        <v>10</v>
      </c>
      <c r="U1839" s="53">
        <v>485385</v>
      </c>
      <c r="X1839" s="76">
        <f t="shared" si="331"/>
        <v>383282</v>
      </c>
      <c r="Y1839" s="53">
        <v>191641</v>
      </c>
      <c r="Z1839" s="76">
        <f t="shared" si="331"/>
        <v>505520</v>
      </c>
      <c r="AA1839" s="53">
        <v>252760</v>
      </c>
      <c r="AO1839" s="53">
        <f t="shared" si="333"/>
        <v>0</v>
      </c>
      <c r="AP1839" s="53">
        <f t="shared" si="333"/>
        <v>0</v>
      </c>
      <c r="AQ1839" s="53">
        <f t="shared" si="333"/>
        <v>827789356</v>
      </c>
      <c r="AR1839" s="53">
        <f t="shared" si="332"/>
        <v>0</v>
      </c>
      <c r="AS1839" s="53">
        <f t="shared" si="332"/>
        <v>33483614.400000002</v>
      </c>
      <c r="AT1839" s="53">
        <f t="shared" si="332"/>
        <v>46505020</v>
      </c>
      <c r="AU1839" s="53">
        <f t="shared" si="332"/>
        <v>0</v>
      </c>
      <c r="AV1839" s="53">
        <f t="shared" si="332"/>
        <v>0</v>
      </c>
      <c r="AW1839" s="53">
        <f t="shared" si="332"/>
        <v>0</v>
      </c>
      <c r="AX1839" s="53">
        <f t="shared" si="327"/>
        <v>0</v>
      </c>
      <c r="AY1839" s="41" t="s">
        <v>557</v>
      </c>
    </row>
    <row r="1840" spans="1:51" x14ac:dyDescent="0.2">
      <c r="A1840" s="41" t="s">
        <v>663</v>
      </c>
      <c r="B1840" s="41">
        <v>1987</v>
      </c>
      <c r="C1840" s="41" t="s">
        <v>101</v>
      </c>
      <c r="D1840" s="41" t="s">
        <v>137</v>
      </c>
      <c r="E1840" s="41">
        <v>0</v>
      </c>
      <c r="F1840" s="41" t="s">
        <v>599</v>
      </c>
      <c r="G1840" s="53">
        <v>4766520</v>
      </c>
      <c r="J1840" s="41">
        <v>123</v>
      </c>
      <c r="L1840" s="47">
        <v>7</v>
      </c>
      <c r="M1840" s="47">
        <v>5</v>
      </c>
      <c r="U1840" s="53">
        <v>450789</v>
      </c>
      <c r="X1840" s="76">
        <f t="shared" si="331"/>
        <v>411400</v>
      </c>
      <c r="Y1840" s="53">
        <v>205700</v>
      </c>
      <c r="Z1840" s="76">
        <f t="shared" si="331"/>
        <v>483800</v>
      </c>
      <c r="AA1840" s="53">
        <v>241900</v>
      </c>
      <c r="AO1840" s="53">
        <f t="shared" si="333"/>
        <v>0</v>
      </c>
      <c r="AP1840" s="53">
        <f t="shared" si="333"/>
        <v>0</v>
      </c>
      <c r="AQ1840" s="53">
        <f t="shared" si="333"/>
        <v>586281960</v>
      </c>
      <c r="AR1840" s="53">
        <f t="shared" si="332"/>
        <v>0</v>
      </c>
      <c r="AS1840" s="53">
        <f t="shared" si="332"/>
        <v>33365640</v>
      </c>
      <c r="AT1840" s="53">
        <f t="shared" si="332"/>
        <v>23832600</v>
      </c>
      <c r="AU1840" s="53">
        <f t="shared" si="332"/>
        <v>0</v>
      </c>
      <c r="AV1840" s="53">
        <f t="shared" si="332"/>
        <v>0</v>
      </c>
      <c r="AW1840" s="53">
        <f t="shared" si="332"/>
        <v>0</v>
      </c>
      <c r="AX1840" s="53">
        <f t="shared" si="327"/>
        <v>0</v>
      </c>
      <c r="AY1840" s="41" t="s">
        <v>557</v>
      </c>
    </row>
    <row r="1841" spans="1:51" x14ac:dyDescent="0.2">
      <c r="A1841" s="41" t="s">
        <v>663</v>
      </c>
      <c r="B1841" s="41">
        <v>1988</v>
      </c>
      <c r="C1841" s="41" t="s">
        <v>101</v>
      </c>
      <c r="D1841" s="41" t="s">
        <v>137</v>
      </c>
      <c r="E1841" s="41">
        <v>0</v>
      </c>
      <c r="F1841" s="41" t="s">
        <v>599</v>
      </c>
      <c r="G1841" s="53">
        <v>4655826</v>
      </c>
      <c r="J1841" s="41">
        <v>132</v>
      </c>
      <c r="L1841" s="41">
        <v>5.3</v>
      </c>
      <c r="M1841" s="41">
        <v>6.5</v>
      </c>
      <c r="U1841" s="53">
        <v>486746.1</v>
      </c>
      <c r="X1841" s="76">
        <f t="shared" si="331"/>
        <v>364000</v>
      </c>
      <c r="Y1841" s="53">
        <v>182000</v>
      </c>
      <c r="Z1841" s="76">
        <f t="shared" si="331"/>
        <v>352000</v>
      </c>
      <c r="AA1841" s="53">
        <v>176000</v>
      </c>
      <c r="AO1841" s="53">
        <f t="shared" si="333"/>
        <v>0</v>
      </c>
      <c r="AP1841" s="53">
        <f t="shared" si="333"/>
        <v>0</v>
      </c>
      <c r="AQ1841" s="53">
        <f t="shared" si="333"/>
        <v>614569032</v>
      </c>
      <c r="AR1841" s="53">
        <f t="shared" si="332"/>
        <v>0</v>
      </c>
      <c r="AS1841" s="53">
        <f t="shared" si="332"/>
        <v>24675877.800000001</v>
      </c>
      <c r="AT1841" s="53">
        <f t="shared" si="332"/>
        <v>30262869</v>
      </c>
      <c r="AU1841" s="53">
        <f t="shared" si="332"/>
        <v>0</v>
      </c>
      <c r="AV1841" s="53">
        <f t="shared" si="332"/>
        <v>0</v>
      </c>
      <c r="AW1841" s="53">
        <f t="shared" si="332"/>
        <v>0</v>
      </c>
      <c r="AX1841" s="53">
        <f t="shared" ref="AX1841:AX1904" si="334">$G1841*E1841</f>
        <v>0</v>
      </c>
      <c r="AY1841" s="41" t="s">
        <v>557</v>
      </c>
    </row>
    <row r="1842" spans="1:51" x14ac:dyDescent="0.2">
      <c r="A1842" s="41" t="s">
        <v>663</v>
      </c>
      <c r="B1842" s="41">
        <v>1989</v>
      </c>
      <c r="C1842" s="41" t="s">
        <v>101</v>
      </c>
      <c r="D1842" s="41" t="s">
        <v>137</v>
      </c>
      <c r="E1842" s="41">
        <v>0</v>
      </c>
      <c r="F1842" s="41" t="s">
        <v>599</v>
      </c>
      <c r="G1842" s="53">
        <v>4636468</v>
      </c>
      <c r="J1842" s="41">
        <v>126</v>
      </c>
      <c r="L1842" s="41">
        <v>5.2</v>
      </c>
      <c r="M1842" s="41">
        <v>6.4</v>
      </c>
      <c r="U1842" s="53">
        <v>434645.79390000005</v>
      </c>
      <c r="X1842" s="76">
        <f t="shared" si="331"/>
        <v>334744</v>
      </c>
      <c r="Y1842" s="53">
        <v>167372</v>
      </c>
      <c r="Z1842" s="76">
        <f t="shared" si="331"/>
        <v>409692</v>
      </c>
      <c r="AA1842" s="53">
        <v>204846</v>
      </c>
      <c r="AO1842" s="53">
        <f t="shared" si="333"/>
        <v>0</v>
      </c>
      <c r="AP1842" s="53">
        <f t="shared" si="333"/>
        <v>0</v>
      </c>
      <c r="AQ1842" s="53">
        <f t="shared" si="333"/>
        <v>584194968</v>
      </c>
      <c r="AR1842" s="53">
        <f t="shared" si="332"/>
        <v>0</v>
      </c>
      <c r="AS1842" s="53">
        <f t="shared" si="332"/>
        <v>24109633.600000001</v>
      </c>
      <c r="AT1842" s="53">
        <f t="shared" si="332"/>
        <v>29673395.200000003</v>
      </c>
      <c r="AU1842" s="53">
        <f t="shared" si="332"/>
        <v>0</v>
      </c>
      <c r="AV1842" s="53">
        <f t="shared" si="332"/>
        <v>0</v>
      </c>
      <c r="AW1842" s="53">
        <f t="shared" si="332"/>
        <v>0</v>
      </c>
      <c r="AX1842" s="53">
        <f t="shared" si="334"/>
        <v>0</v>
      </c>
      <c r="AY1842" s="41" t="s">
        <v>557</v>
      </c>
    </row>
    <row r="1843" spans="1:51" x14ac:dyDescent="0.2">
      <c r="A1843" s="41" t="s">
        <v>663</v>
      </c>
      <c r="B1843" s="41">
        <v>1990</v>
      </c>
      <c r="C1843" s="41" t="s">
        <v>101</v>
      </c>
      <c r="D1843" s="41" t="s">
        <v>137</v>
      </c>
      <c r="E1843" s="41">
        <v>0</v>
      </c>
      <c r="F1843" s="41" t="s">
        <v>599</v>
      </c>
      <c r="G1843" s="53">
        <v>4641767</v>
      </c>
      <c r="J1843" s="52">
        <v>125.50196850393699</v>
      </c>
      <c r="L1843" s="41">
        <v>5.2</v>
      </c>
      <c r="M1843" s="41">
        <v>6.5</v>
      </c>
      <c r="U1843" s="53">
        <v>460677.05370000005</v>
      </c>
      <c r="X1843" s="76">
        <f t="shared" si="331"/>
        <v>356968</v>
      </c>
      <c r="Y1843" s="53">
        <v>178484</v>
      </c>
      <c r="Z1843" s="76">
        <f t="shared" si="331"/>
        <v>418446</v>
      </c>
      <c r="AA1843" s="53">
        <v>209223</v>
      </c>
      <c r="AO1843" s="53">
        <f t="shared" si="333"/>
        <v>0</v>
      </c>
      <c r="AP1843" s="53">
        <f t="shared" si="333"/>
        <v>0</v>
      </c>
      <c r="AQ1843" s="53">
        <f t="shared" si="333"/>
        <v>582550895.83661413</v>
      </c>
      <c r="AR1843" s="53">
        <f t="shared" si="332"/>
        <v>0</v>
      </c>
      <c r="AS1843" s="53">
        <f t="shared" si="332"/>
        <v>24137188.400000002</v>
      </c>
      <c r="AT1843" s="53">
        <f t="shared" si="332"/>
        <v>30171485.5</v>
      </c>
      <c r="AU1843" s="53">
        <f t="shared" si="332"/>
        <v>0</v>
      </c>
      <c r="AV1843" s="53">
        <f t="shared" si="332"/>
        <v>0</v>
      </c>
      <c r="AW1843" s="53">
        <f t="shared" si="332"/>
        <v>0</v>
      </c>
      <c r="AX1843" s="53">
        <f t="shared" si="334"/>
        <v>0</v>
      </c>
      <c r="AY1843" s="41" t="s">
        <v>557</v>
      </c>
    </row>
    <row r="1844" spans="1:51" x14ac:dyDescent="0.2">
      <c r="A1844" s="41" t="s">
        <v>663</v>
      </c>
      <c r="B1844" s="41">
        <v>1991</v>
      </c>
      <c r="C1844" s="41" t="s">
        <v>101</v>
      </c>
      <c r="D1844" s="41" t="s">
        <v>137</v>
      </c>
      <c r="E1844" s="41">
        <v>0</v>
      </c>
      <c r="F1844" s="41" t="s">
        <v>599</v>
      </c>
      <c r="G1844" s="53">
        <v>5528720</v>
      </c>
      <c r="J1844" s="52">
        <v>128.56299212598427</v>
      </c>
      <c r="L1844" s="41">
        <v>5.3</v>
      </c>
      <c r="M1844" s="41">
        <v>6.7</v>
      </c>
      <c r="U1844" s="53">
        <v>433044.05060000002</v>
      </c>
      <c r="X1844" s="76">
        <f t="shared" si="331"/>
        <v>331938</v>
      </c>
      <c r="Y1844" s="53">
        <v>165969</v>
      </c>
      <c r="Z1844" s="76">
        <f t="shared" si="331"/>
        <v>477660</v>
      </c>
      <c r="AA1844" s="53">
        <v>238830</v>
      </c>
      <c r="AO1844" s="53">
        <f t="shared" si="333"/>
        <v>0</v>
      </c>
      <c r="AP1844" s="53">
        <f t="shared" si="333"/>
        <v>0</v>
      </c>
      <c r="AQ1844" s="53">
        <f t="shared" si="333"/>
        <v>710788785.82677174</v>
      </c>
      <c r="AR1844" s="53">
        <f t="shared" si="332"/>
        <v>0</v>
      </c>
      <c r="AS1844" s="53">
        <f t="shared" si="332"/>
        <v>29302216</v>
      </c>
      <c r="AT1844" s="53">
        <f t="shared" si="332"/>
        <v>37042424</v>
      </c>
      <c r="AU1844" s="53">
        <f t="shared" si="332"/>
        <v>0</v>
      </c>
      <c r="AV1844" s="53">
        <f t="shared" si="332"/>
        <v>0</v>
      </c>
      <c r="AW1844" s="53">
        <f t="shared" si="332"/>
        <v>0</v>
      </c>
      <c r="AX1844" s="53">
        <f t="shared" si="334"/>
        <v>0</v>
      </c>
      <c r="AY1844" s="41" t="s">
        <v>557</v>
      </c>
    </row>
    <row r="1845" spans="1:51" x14ac:dyDescent="0.2">
      <c r="A1845" s="41" t="s">
        <v>663</v>
      </c>
      <c r="B1845" s="41">
        <v>1992</v>
      </c>
      <c r="C1845" s="41" t="s">
        <v>101</v>
      </c>
      <c r="D1845" s="41" t="s">
        <v>137</v>
      </c>
      <c r="E1845" s="41">
        <v>0</v>
      </c>
      <c r="F1845" s="41" t="s">
        <v>599</v>
      </c>
      <c r="G1845" s="53">
        <v>5256624</v>
      </c>
      <c r="J1845" s="52">
        <v>137.74606299212599</v>
      </c>
      <c r="L1845" s="41">
        <v>5.4</v>
      </c>
      <c r="M1845" s="41">
        <v>6.9</v>
      </c>
      <c r="U1845" s="53">
        <v>515828.02100000001</v>
      </c>
      <c r="X1845" s="76">
        <f t="shared" si="331"/>
        <v>392644</v>
      </c>
      <c r="Y1845" s="53">
        <v>196322</v>
      </c>
      <c r="Z1845" s="76">
        <f t="shared" si="331"/>
        <v>456744</v>
      </c>
      <c r="AA1845" s="53">
        <v>228372</v>
      </c>
      <c r="AO1845" s="53">
        <f t="shared" si="333"/>
        <v>0</v>
      </c>
      <c r="AP1845" s="53">
        <f t="shared" si="333"/>
        <v>0</v>
      </c>
      <c r="AQ1845" s="53">
        <f t="shared" si="333"/>
        <v>724079260.62992132</v>
      </c>
      <c r="AR1845" s="53">
        <f t="shared" si="332"/>
        <v>0</v>
      </c>
      <c r="AS1845" s="53">
        <f t="shared" si="332"/>
        <v>28385769.600000001</v>
      </c>
      <c r="AT1845" s="53">
        <f t="shared" si="332"/>
        <v>36270705.600000001</v>
      </c>
      <c r="AU1845" s="53">
        <f t="shared" si="332"/>
        <v>0</v>
      </c>
      <c r="AV1845" s="53">
        <f t="shared" si="332"/>
        <v>0</v>
      </c>
      <c r="AW1845" s="53">
        <f t="shared" si="332"/>
        <v>0</v>
      </c>
      <c r="AX1845" s="53">
        <f t="shared" si="334"/>
        <v>0</v>
      </c>
      <c r="AY1845" s="41" t="s">
        <v>557</v>
      </c>
    </row>
    <row r="1846" spans="1:51" x14ac:dyDescent="0.2">
      <c r="A1846" s="41" t="s">
        <v>663</v>
      </c>
      <c r="B1846" s="41">
        <v>1993</v>
      </c>
      <c r="C1846" s="41" t="s">
        <v>101</v>
      </c>
      <c r="D1846" s="41" t="s">
        <v>137</v>
      </c>
      <c r="E1846" s="41">
        <v>0</v>
      </c>
      <c r="F1846" s="41" t="s">
        <v>599</v>
      </c>
      <c r="G1846" s="53">
        <v>5179324</v>
      </c>
      <c r="J1846" s="52">
        <v>140.80708661417322</v>
      </c>
      <c r="L1846" s="41">
        <v>5.6</v>
      </c>
      <c r="M1846" s="47">
        <v>7</v>
      </c>
      <c r="U1846" s="53">
        <v>549833.04090000002</v>
      </c>
      <c r="X1846" s="76">
        <f t="shared" si="331"/>
        <v>402110</v>
      </c>
      <c r="Y1846" s="53">
        <v>201055</v>
      </c>
      <c r="Z1846" s="76">
        <f t="shared" si="331"/>
        <v>495648</v>
      </c>
      <c r="AA1846" s="53">
        <v>247824</v>
      </c>
      <c r="AO1846" s="53">
        <f t="shared" si="333"/>
        <v>0</v>
      </c>
      <c r="AP1846" s="53">
        <f t="shared" si="333"/>
        <v>0</v>
      </c>
      <c r="AQ1846" s="53">
        <f t="shared" si="333"/>
        <v>729285523.07086611</v>
      </c>
      <c r="AR1846" s="53">
        <f t="shared" si="333"/>
        <v>0</v>
      </c>
      <c r="AS1846" s="53">
        <f t="shared" si="333"/>
        <v>29004214.399999999</v>
      </c>
      <c r="AT1846" s="53">
        <f t="shared" si="333"/>
        <v>36255268</v>
      </c>
      <c r="AU1846" s="53">
        <f t="shared" si="333"/>
        <v>0</v>
      </c>
      <c r="AV1846" s="53">
        <f t="shared" si="333"/>
        <v>0</v>
      </c>
      <c r="AW1846" s="53">
        <f t="shared" si="333"/>
        <v>0</v>
      </c>
      <c r="AX1846" s="53">
        <f t="shared" si="334"/>
        <v>0</v>
      </c>
      <c r="AY1846" s="41" t="s">
        <v>557</v>
      </c>
    </row>
    <row r="1847" spans="1:51" x14ac:dyDescent="0.2">
      <c r="A1847" s="41" t="s">
        <v>663</v>
      </c>
      <c r="B1847" s="41">
        <v>1994</v>
      </c>
      <c r="C1847" s="41" t="s">
        <v>101</v>
      </c>
      <c r="D1847" s="41" t="s">
        <v>137</v>
      </c>
      <c r="E1847" s="41">
        <v>0</v>
      </c>
      <c r="F1847" s="41" t="s">
        <v>599</v>
      </c>
      <c r="G1847" s="53">
        <v>4955415</v>
      </c>
      <c r="J1847" s="52">
        <v>143.86811023622047</v>
      </c>
      <c r="L1847" s="41">
        <v>5.4</v>
      </c>
      <c r="M1847" s="41">
        <v>7.2</v>
      </c>
      <c r="U1847" s="53">
        <v>484072.46410000004</v>
      </c>
      <c r="X1847" s="76">
        <f t="shared" si="331"/>
        <v>383600</v>
      </c>
      <c r="Y1847" s="53">
        <v>191800</v>
      </c>
      <c r="Z1847" s="76">
        <f t="shared" si="331"/>
        <v>511190</v>
      </c>
      <c r="AA1847" s="53">
        <v>255595</v>
      </c>
      <c r="AO1847" s="53">
        <f t="shared" ref="AO1847:AW1870" si="335">$G1847*H1847</f>
        <v>0</v>
      </c>
      <c r="AP1847" s="53">
        <f t="shared" si="335"/>
        <v>0</v>
      </c>
      <c r="AQ1847" s="53">
        <f t="shared" si="335"/>
        <v>712926191.48622048</v>
      </c>
      <c r="AR1847" s="53">
        <f t="shared" si="335"/>
        <v>0</v>
      </c>
      <c r="AS1847" s="53">
        <f t="shared" si="335"/>
        <v>26759241</v>
      </c>
      <c r="AT1847" s="53">
        <f t="shared" si="335"/>
        <v>35678988</v>
      </c>
      <c r="AU1847" s="53">
        <f t="shared" si="335"/>
        <v>0</v>
      </c>
      <c r="AV1847" s="53">
        <f t="shared" si="335"/>
        <v>0</v>
      </c>
      <c r="AW1847" s="53">
        <f t="shared" si="335"/>
        <v>0</v>
      </c>
      <c r="AX1847" s="53">
        <f t="shared" si="334"/>
        <v>0</v>
      </c>
      <c r="AY1847" s="41" t="s">
        <v>557</v>
      </c>
    </row>
    <row r="1848" spans="1:51" x14ac:dyDescent="0.2">
      <c r="A1848" s="41" t="s">
        <v>663</v>
      </c>
      <c r="B1848" s="41">
        <v>1995</v>
      </c>
      <c r="C1848" s="41" t="s">
        <v>101</v>
      </c>
      <c r="D1848" s="41" t="s">
        <v>137</v>
      </c>
      <c r="E1848" s="41">
        <v>0</v>
      </c>
      <c r="F1848" s="41" t="s">
        <v>599</v>
      </c>
      <c r="G1848" s="53">
        <v>3496381</v>
      </c>
      <c r="J1848" s="52">
        <v>134.68503937007875</v>
      </c>
      <c r="L1848" s="41">
        <v>5.3</v>
      </c>
      <c r="M1848" s="41">
        <v>6.7</v>
      </c>
      <c r="U1848" s="53">
        <v>366694.71970000002</v>
      </c>
      <c r="X1848" s="76">
        <f t="shared" si="331"/>
        <v>301166</v>
      </c>
      <c r="Y1848" s="53">
        <v>150583</v>
      </c>
      <c r="Z1848" s="76">
        <f t="shared" si="331"/>
        <v>339848</v>
      </c>
      <c r="AA1848" s="53">
        <v>169924</v>
      </c>
      <c r="AO1848" s="53">
        <f t="shared" si="335"/>
        <v>0</v>
      </c>
      <c r="AP1848" s="53">
        <f t="shared" si="335"/>
        <v>0</v>
      </c>
      <c r="AQ1848" s="53">
        <f t="shared" si="335"/>
        <v>470910212.63779533</v>
      </c>
      <c r="AR1848" s="53">
        <f t="shared" si="335"/>
        <v>0</v>
      </c>
      <c r="AS1848" s="53">
        <f t="shared" si="335"/>
        <v>18530819.300000001</v>
      </c>
      <c r="AT1848" s="53">
        <f t="shared" si="335"/>
        <v>23425752.699999999</v>
      </c>
      <c r="AU1848" s="53">
        <f t="shared" si="335"/>
        <v>0</v>
      </c>
      <c r="AV1848" s="53">
        <f t="shared" si="335"/>
        <v>0</v>
      </c>
      <c r="AW1848" s="53">
        <f t="shared" si="335"/>
        <v>0</v>
      </c>
      <c r="AX1848" s="53">
        <f t="shared" si="334"/>
        <v>0</v>
      </c>
      <c r="AY1848" s="41" t="s">
        <v>557</v>
      </c>
    </row>
    <row r="1849" spans="1:51" x14ac:dyDescent="0.2">
      <c r="A1849" s="41" t="s">
        <v>663</v>
      </c>
      <c r="B1849" s="41">
        <v>1996</v>
      </c>
      <c r="C1849" s="41" t="s">
        <v>101</v>
      </c>
      <c r="D1849" s="41" t="s">
        <v>137</v>
      </c>
      <c r="E1849" s="41">
        <v>0</v>
      </c>
      <c r="F1849" s="41" t="s">
        <v>599</v>
      </c>
      <c r="G1849" s="53">
        <v>4139220</v>
      </c>
      <c r="J1849" s="52">
        <v>146.9291338582677</v>
      </c>
      <c r="L1849" s="41">
        <v>5.6</v>
      </c>
      <c r="M1849" s="41">
        <v>6.8</v>
      </c>
      <c r="U1849" s="53">
        <v>393012.37940000003</v>
      </c>
      <c r="X1849" s="76">
        <f t="shared" si="331"/>
        <v>312526</v>
      </c>
      <c r="Y1849" s="53">
        <v>156263</v>
      </c>
      <c r="Z1849" s="76">
        <f t="shared" si="331"/>
        <v>406986</v>
      </c>
      <c r="AA1849" s="53">
        <v>203493</v>
      </c>
      <c r="AO1849" s="53">
        <f t="shared" si="335"/>
        <v>0</v>
      </c>
      <c r="AP1849" s="53">
        <f t="shared" si="335"/>
        <v>0</v>
      </c>
      <c r="AQ1849" s="53">
        <f t="shared" si="335"/>
        <v>608172009.4488188</v>
      </c>
      <c r="AR1849" s="53">
        <f t="shared" si="335"/>
        <v>0</v>
      </c>
      <c r="AS1849" s="53">
        <f t="shared" si="335"/>
        <v>23179632</v>
      </c>
      <c r="AT1849" s="53">
        <f t="shared" si="335"/>
        <v>28146696</v>
      </c>
      <c r="AU1849" s="53">
        <f t="shared" si="335"/>
        <v>0</v>
      </c>
      <c r="AV1849" s="53">
        <f t="shared" si="335"/>
        <v>0</v>
      </c>
      <c r="AW1849" s="53">
        <f t="shared" si="335"/>
        <v>0</v>
      </c>
      <c r="AX1849" s="53">
        <f t="shared" si="334"/>
        <v>0</v>
      </c>
      <c r="AY1849" s="41" t="s">
        <v>557</v>
      </c>
    </row>
    <row r="1850" spans="1:51" x14ac:dyDescent="0.2">
      <c r="A1850" s="41" t="s">
        <v>663</v>
      </c>
      <c r="B1850" s="41">
        <v>1997</v>
      </c>
      <c r="C1850" s="41" t="s">
        <v>101</v>
      </c>
      <c r="D1850" s="41" t="s">
        <v>137</v>
      </c>
      <c r="E1850" s="41">
        <v>0</v>
      </c>
      <c r="F1850" s="41" t="s">
        <v>599</v>
      </c>
      <c r="G1850" s="53">
        <v>3606703</v>
      </c>
      <c r="J1850" s="41">
        <v>149.30000000000001</v>
      </c>
      <c r="L1850" s="41">
        <v>5.8</v>
      </c>
      <c r="M1850" s="47">
        <v>7</v>
      </c>
      <c r="U1850" s="53">
        <v>367292.8971</v>
      </c>
      <c r="X1850" s="76">
        <f t="shared" si="331"/>
        <v>323600</v>
      </c>
      <c r="Y1850" s="53">
        <v>161800</v>
      </c>
      <c r="Z1850" s="76">
        <f t="shared" si="331"/>
        <v>347450</v>
      </c>
      <c r="AA1850" s="53">
        <v>173725</v>
      </c>
      <c r="AO1850" s="53">
        <f t="shared" si="335"/>
        <v>0</v>
      </c>
      <c r="AP1850" s="53">
        <f t="shared" si="335"/>
        <v>0</v>
      </c>
      <c r="AQ1850" s="53">
        <f t="shared" si="335"/>
        <v>538480757.9000001</v>
      </c>
      <c r="AR1850" s="53">
        <f t="shared" si="335"/>
        <v>0</v>
      </c>
      <c r="AS1850" s="53">
        <f t="shared" si="335"/>
        <v>20918877.399999999</v>
      </c>
      <c r="AT1850" s="53">
        <f t="shared" si="335"/>
        <v>25246921</v>
      </c>
      <c r="AU1850" s="53">
        <f t="shared" si="335"/>
        <v>0</v>
      </c>
      <c r="AV1850" s="53">
        <f t="shared" si="335"/>
        <v>0</v>
      </c>
      <c r="AW1850" s="53">
        <f t="shared" si="335"/>
        <v>0</v>
      </c>
      <c r="AX1850" s="53">
        <f t="shared" si="334"/>
        <v>0</v>
      </c>
      <c r="AY1850" s="41" t="s">
        <v>557</v>
      </c>
    </row>
    <row r="1851" spans="1:51" x14ac:dyDescent="0.2">
      <c r="A1851" s="41" t="s">
        <v>663</v>
      </c>
      <c r="B1851" s="41">
        <v>1998</v>
      </c>
      <c r="C1851" s="41" t="s">
        <v>101</v>
      </c>
      <c r="D1851" s="41" t="s">
        <v>137</v>
      </c>
      <c r="E1851" s="41">
        <v>0</v>
      </c>
      <c r="F1851" s="41" t="s">
        <v>599</v>
      </c>
      <c r="G1851" s="53">
        <v>2891802</v>
      </c>
      <c r="J1851" s="41">
        <v>176</v>
      </c>
      <c r="L1851" s="41">
        <v>6.6</v>
      </c>
      <c r="M1851" s="41">
        <v>7.2</v>
      </c>
      <c r="U1851" s="53">
        <v>346091.56060000003</v>
      </c>
      <c r="X1851" s="76">
        <f t="shared" si="331"/>
        <v>292080</v>
      </c>
      <c r="Y1851" s="53">
        <v>146040</v>
      </c>
      <c r="Z1851" s="76">
        <f t="shared" si="331"/>
        <v>294066</v>
      </c>
      <c r="AA1851" s="53">
        <v>147033</v>
      </c>
      <c r="AO1851" s="53">
        <f t="shared" si="335"/>
        <v>0</v>
      </c>
      <c r="AP1851" s="53">
        <f t="shared" si="335"/>
        <v>0</v>
      </c>
      <c r="AQ1851" s="53">
        <f t="shared" si="335"/>
        <v>508957152</v>
      </c>
      <c r="AR1851" s="53">
        <f t="shared" si="335"/>
        <v>0</v>
      </c>
      <c r="AS1851" s="53">
        <f t="shared" si="335"/>
        <v>19085893.199999999</v>
      </c>
      <c r="AT1851" s="53">
        <f t="shared" si="335"/>
        <v>20820974.400000002</v>
      </c>
      <c r="AU1851" s="53">
        <f t="shared" si="335"/>
        <v>0</v>
      </c>
      <c r="AV1851" s="53">
        <f t="shared" si="335"/>
        <v>0</v>
      </c>
      <c r="AW1851" s="53">
        <f t="shared" si="335"/>
        <v>0</v>
      </c>
      <c r="AX1851" s="53">
        <f t="shared" si="334"/>
        <v>0</v>
      </c>
      <c r="AY1851" s="41" t="s">
        <v>557</v>
      </c>
    </row>
    <row r="1852" spans="1:51" x14ac:dyDescent="0.2">
      <c r="A1852" s="41" t="s">
        <v>663</v>
      </c>
      <c r="B1852" s="41">
        <v>1999</v>
      </c>
      <c r="C1852" s="41" t="s">
        <v>101</v>
      </c>
      <c r="D1852" s="41" t="s">
        <v>137</v>
      </c>
      <c r="E1852" s="41">
        <v>0</v>
      </c>
      <c r="F1852" s="41" t="s">
        <v>599</v>
      </c>
      <c r="G1852" s="53">
        <v>2921123</v>
      </c>
      <c r="J1852" s="41">
        <v>164</v>
      </c>
      <c r="L1852" s="41">
        <v>6.1</v>
      </c>
      <c r="M1852" s="41">
        <v>7.2</v>
      </c>
      <c r="U1852" s="53">
        <v>301755.46280000004</v>
      </c>
      <c r="X1852" s="76">
        <f t="shared" si="331"/>
        <v>256020</v>
      </c>
      <c r="Y1852" s="53">
        <v>128010</v>
      </c>
      <c r="Z1852" s="76">
        <f t="shared" si="331"/>
        <v>299332</v>
      </c>
      <c r="AA1852" s="53">
        <v>149666</v>
      </c>
      <c r="AO1852" s="53">
        <f t="shared" si="335"/>
        <v>0</v>
      </c>
      <c r="AP1852" s="53">
        <f t="shared" si="335"/>
        <v>0</v>
      </c>
      <c r="AQ1852" s="53">
        <f t="shared" si="335"/>
        <v>479064172</v>
      </c>
      <c r="AR1852" s="53">
        <f t="shared" si="335"/>
        <v>0</v>
      </c>
      <c r="AS1852" s="53">
        <f t="shared" si="335"/>
        <v>17818850.300000001</v>
      </c>
      <c r="AT1852" s="53">
        <f t="shared" si="335"/>
        <v>21032085.600000001</v>
      </c>
      <c r="AU1852" s="53">
        <f t="shared" si="335"/>
        <v>0</v>
      </c>
      <c r="AV1852" s="53">
        <f t="shared" si="335"/>
        <v>0</v>
      </c>
      <c r="AW1852" s="53">
        <f t="shared" si="335"/>
        <v>0</v>
      </c>
      <c r="AX1852" s="53">
        <f t="shared" si="334"/>
        <v>0</v>
      </c>
      <c r="AY1852" s="41" t="s">
        <v>557</v>
      </c>
    </row>
    <row r="1853" spans="1:51" x14ac:dyDescent="0.2">
      <c r="A1853" s="41" t="s">
        <v>663</v>
      </c>
      <c r="B1853" s="41">
        <v>2000</v>
      </c>
      <c r="C1853" s="41" t="s">
        <v>101</v>
      </c>
      <c r="D1853" s="41" t="s">
        <v>137</v>
      </c>
      <c r="E1853" s="41">
        <v>0</v>
      </c>
      <c r="F1853" s="41" t="s">
        <v>599</v>
      </c>
      <c r="G1853" s="53">
        <v>3007225</v>
      </c>
      <c r="J1853" s="41">
        <v>155</v>
      </c>
      <c r="L1853" s="41">
        <v>5.8</v>
      </c>
      <c r="M1853" s="41">
        <v>6.6</v>
      </c>
      <c r="U1853" s="53">
        <v>331251.82240000006</v>
      </c>
      <c r="X1853" s="76">
        <f t="shared" si="331"/>
        <v>274380</v>
      </c>
      <c r="Y1853" s="53">
        <v>137190</v>
      </c>
      <c r="Z1853" s="76">
        <f t="shared" si="331"/>
        <v>288058</v>
      </c>
      <c r="AA1853" s="53">
        <v>144029</v>
      </c>
      <c r="AO1853" s="53">
        <f t="shared" si="335"/>
        <v>0</v>
      </c>
      <c r="AP1853" s="53">
        <f t="shared" si="335"/>
        <v>0</v>
      </c>
      <c r="AQ1853" s="53">
        <f t="shared" si="335"/>
        <v>466119875</v>
      </c>
      <c r="AR1853" s="53">
        <f t="shared" si="335"/>
        <v>0</v>
      </c>
      <c r="AS1853" s="53">
        <f t="shared" si="335"/>
        <v>17441905</v>
      </c>
      <c r="AT1853" s="53">
        <f t="shared" si="335"/>
        <v>19847685</v>
      </c>
      <c r="AU1853" s="53">
        <f t="shared" si="335"/>
        <v>0</v>
      </c>
      <c r="AV1853" s="53">
        <f t="shared" si="335"/>
        <v>0</v>
      </c>
      <c r="AW1853" s="53">
        <f t="shared" si="335"/>
        <v>0</v>
      </c>
      <c r="AX1853" s="53">
        <f t="shared" si="334"/>
        <v>0</v>
      </c>
      <c r="AY1853" s="41" t="s">
        <v>557</v>
      </c>
    </row>
    <row r="1854" spans="1:51" x14ac:dyDescent="0.2">
      <c r="A1854" s="41" t="s">
        <v>663</v>
      </c>
      <c r="B1854" s="41">
        <v>2001</v>
      </c>
      <c r="C1854" s="41" t="s">
        <v>101</v>
      </c>
      <c r="D1854" s="41" t="s">
        <v>137</v>
      </c>
      <c r="E1854" s="41">
        <v>0</v>
      </c>
      <c r="F1854" s="41" t="s">
        <v>599</v>
      </c>
      <c r="G1854" s="53">
        <v>3002770</v>
      </c>
      <c r="J1854" s="41">
        <v>151</v>
      </c>
      <c r="L1854" s="41">
        <v>5.9</v>
      </c>
      <c r="M1854" s="41">
        <v>7.4</v>
      </c>
      <c r="U1854" s="53">
        <v>269738.44819999998</v>
      </c>
      <c r="X1854" s="76">
        <f t="shared" si="331"/>
        <v>352834</v>
      </c>
      <c r="Y1854" s="53">
        <v>176417</v>
      </c>
      <c r="Z1854" s="76">
        <f t="shared" si="331"/>
        <v>237614</v>
      </c>
      <c r="AA1854" s="53">
        <v>118807</v>
      </c>
      <c r="AO1854" s="53">
        <f t="shared" si="335"/>
        <v>0</v>
      </c>
      <c r="AP1854" s="53">
        <f t="shared" si="335"/>
        <v>0</v>
      </c>
      <c r="AQ1854" s="53">
        <f t="shared" si="335"/>
        <v>453418270</v>
      </c>
      <c r="AR1854" s="53">
        <f t="shared" si="335"/>
        <v>0</v>
      </c>
      <c r="AS1854" s="53">
        <f t="shared" si="335"/>
        <v>17716343</v>
      </c>
      <c r="AT1854" s="53">
        <f t="shared" si="335"/>
        <v>22220498</v>
      </c>
      <c r="AU1854" s="53">
        <f t="shared" si="335"/>
        <v>0</v>
      </c>
      <c r="AV1854" s="53">
        <f t="shared" si="335"/>
        <v>0</v>
      </c>
      <c r="AW1854" s="53">
        <f t="shared" si="335"/>
        <v>0</v>
      </c>
      <c r="AX1854" s="53">
        <f t="shared" si="334"/>
        <v>0</v>
      </c>
      <c r="AY1854" s="41" t="s">
        <v>557</v>
      </c>
    </row>
    <row r="1855" spans="1:51" x14ac:dyDescent="0.2">
      <c r="A1855" s="41" t="s">
        <v>663</v>
      </c>
      <c r="B1855" s="41">
        <v>2002</v>
      </c>
      <c r="C1855" s="41" t="s">
        <v>101</v>
      </c>
      <c r="D1855" s="41" t="s">
        <v>137</v>
      </c>
      <c r="E1855" s="41">
        <v>0</v>
      </c>
      <c r="F1855" s="41" t="s">
        <v>599</v>
      </c>
      <c r="G1855" s="53">
        <v>3152437</v>
      </c>
      <c r="J1855" s="41">
        <v>138</v>
      </c>
      <c r="L1855" s="41">
        <v>5.4</v>
      </c>
      <c r="M1855" s="41">
        <v>7.5</v>
      </c>
      <c r="U1855" s="53">
        <v>375739.43940000003</v>
      </c>
      <c r="X1855" s="76">
        <f t="shared" si="331"/>
        <v>378988</v>
      </c>
      <c r="Y1855" s="53">
        <v>189494</v>
      </c>
      <c r="Z1855" s="76">
        <f t="shared" si="331"/>
        <v>320770</v>
      </c>
      <c r="AA1855" s="53">
        <v>160385</v>
      </c>
      <c r="AO1855" s="53">
        <f t="shared" si="335"/>
        <v>0</v>
      </c>
      <c r="AP1855" s="53">
        <f t="shared" si="335"/>
        <v>0</v>
      </c>
      <c r="AQ1855" s="53">
        <f t="shared" si="335"/>
        <v>435036306</v>
      </c>
      <c r="AR1855" s="53">
        <f t="shared" si="335"/>
        <v>0</v>
      </c>
      <c r="AS1855" s="53">
        <f t="shared" si="335"/>
        <v>17023159.800000001</v>
      </c>
      <c r="AT1855" s="53">
        <f t="shared" si="335"/>
        <v>23643277.5</v>
      </c>
      <c r="AU1855" s="53">
        <f t="shared" si="335"/>
        <v>0</v>
      </c>
      <c r="AV1855" s="53">
        <f t="shared" si="335"/>
        <v>0</v>
      </c>
      <c r="AW1855" s="53">
        <f t="shared" si="335"/>
        <v>0</v>
      </c>
      <c r="AX1855" s="53">
        <f t="shared" si="334"/>
        <v>0</v>
      </c>
      <c r="AY1855" s="41" t="s">
        <v>557</v>
      </c>
    </row>
    <row r="1856" spans="1:51" x14ac:dyDescent="0.2">
      <c r="A1856" s="41" t="s">
        <v>663</v>
      </c>
      <c r="B1856" s="41">
        <v>2003</v>
      </c>
      <c r="C1856" s="41" t="s">
        <v>101</v>
      </c>
      <c r="D1856" s="41" t="s">
        <v>137</v>
      </c>
      <c r="E1856" s="41">
        <v>0</v>
      </c>
      <c r="F1856" s="41" t="s">
        <v>599</v>
      </c>
      <c r="G1856" s="53">
        <v>3013599</v>
      </c>
      <c r="J1856" s="41">
        <v>123.2</v>
      </c>
      <c r="L1856" s="41">
        <v>5.1100000000000003</v>
      </c>
      <c r="M1856" s="46">
        <v>7.1</v>
      </c>
      <c r="U1856" s="53">
        <v>321542.90000000002</v>
      </c>
      <c r="X1856" s="76">
        <f t="shared" si="331"/>
        <v>269558</v>
      </c>
      <c r="Y1856" s="53">
        <v>134779</v>
      </c>
      <c r="Z1856" s="76">
        <f t="shared" si="331"/>
        <v>338796</v>
      </c>
      <c r="AA1856" s="53">
        <v>169398</v>
      </c>
      <c r="AO1856" s="53">
        <f t="shared" si="335"/>
        <v>0</v>
      </c>
      <c r="AP1856" s="53">
        <f t="shared" si="335"/>
        <v>0</v>
      </c>
      <c r="AQ1856" s="53">
        <f t="shared" si="335"/>
        <v>371275396.80000001</v>
      </c>
      <c r="AR1856" s="53">
        <f t="shared" si="335"/>
        <v>0</v>
      </c>
      <c r="AS1856" s="53">
        <f t="shared" si="335"/>
        <v>15399490.890000001</v>
      </c>
      <c r="AT1856" s="53">
        <f t="shared" si="335"/>
        <v>21396552.899999999</v>
      </c>
      <c r="AU1856" s="53">
        <f t="shared" si="335"/>
        <v>0</v>
      </c>
      <c r="AV1856" s="53">
        <f t="shared" si="335"/>
        <v>0</v>
      </c>
      <c r="AW1856" s="53">
        <f t="shared" si="335"/>
        <v>0</v>
      </c>
      <c r="AX1856" s="53">
        <f t="shared" si="334"/>
        <v>0</v>
      </c>
      <c r="AY1856" s="41" t="s">
        <v>557</v>
      </c>
    </row>
    <row r="1857" spans="1:51" x14ac:dyDescent="0.2">
      <c r="A1857" s="41" t="s">
        <v>663</v>
      </c>
      <c r="B1857" s="41">
        <v>2004</v>
      </c>
      <c r="C1857" s="41" t="s">
        <v>101</v>
      </c>
      <c r="D1857" s="41" t="s">
        <v>137</v>
      </c>
      <c r="E1857" s="41">
        <v>0</v>
      </c>
      <c r="F1857" s="41" t="s">
        <v>599</v>
      </c>
      <c r="G1857" s="53">
        <v>3181527</v>
      </c>
      <c r="J1857" s="41">
        <v>108.9</v>
      </c>
      <c r="L1857" s="41">
        <v>4.71</v>
      </c>
      <c r="M1857" s="46">
        <v>7.5</v>
      </c>
      <c r="U1857" s="53">
        <v>329069.09999999998</v>
      </c>
      <c r="X1857" s="76">
        <f t="shared" si="331"/>
        <v>279076</v>
      </c>
      <c r="Y1857" s="53">
        <v>139538</v>
      </c>
      <c r="Z1857" s="76">
        <f t="shared" si="331"/>
        <v>382866</v>
      </c>
      <c r="AA1857" s="53">
        <v>191433</v>
      </c>
      <c r="AO1857" s="53">
        <f t="shared" si="335"/>
        <v>0</v>
      </c>
      <c r="AP1857" s="53">
        <f t="shared" si="335"/>
        <v>0</v>
      </c>
      <c r="AQ1857" s="53">
        <f t="shared" si="335"/>
        <v>346468290.30000001</v>
      </c>
      <c r="AR1857" s="53">
        <f t="shared" si="335"/>
        <v>0</v>
      </c>
      <c r="AS1857" s="53">
        <f t="shared" si="335"/>
        <v>14984992.17</v>
      </c>
      <c r="AT1857" s="53">
        <f t="shared" si="335"/>
        <v>23861452.5</v>
      </c>
      <c r="AU1857" s="53">
        <f t="shared" si="335"/>
        <v>0</v>
      </c>
      <c r="AV1857" s="53">
        <f t="shared" si="335"/>
        <v>0</v>
      </c>
      <c r="AW1857" s="53">
        <f t="shared" si="335"/>
        <v>0</v>
      </c>
      <c r="AX1857" s="53">
        <f t="shared" si="334"/>
        <v>0</v>
      </c>
      <c r="AY1857" s="41" t="s">
        <v>557</v>
      </c>
    </row>
    <row r="1858" spans="1:51" x14ac:dyDescent="0.2">
      <c r="A1858" s="41" t="s">
        <v>663</v>
      </c>
      <c r="B1858" s="41">
        <v>2005</v>
      </c>
      <c r="C1858" s="41" t="s">
        <v>101</v>
      </c>
      <c r="D1858" s="41" t="s">
        <v>137</v>
      </c>
      <c r="E1858" s="46">
        <v>6.8874239083146129</v>
      </c>
      <c r="F1858" s="41" t="s">
        <v>599</v>
      </c>
      <c r="G1858" s="53">
        <v>4355765</v>
      </c>
      <c r="J1858" s="41">
        <v>111.9</v>
      </c>
      <c r="L1858" s="41">
        <v>4.7</v>
      </c>
      <c r="M1858" s="47">
        <v>7</v>
      </c>
      <c r="U1858" s="53">
        <v>353358.2</v>
      </c>
      <c r="X1858" s="76">
        <f t="shared" si="331"/>
        <v>462334</v>
      </c>
      <c r="Y1858" s="53">
        <v>231167</v>
      </c>
      <c r="Z1858" s="76">
        <f t="shared" si="331"/>
        <v>319114</v>
      </c>
      <c r="AA1858" s="53">
        <v>159557</v>
      </c>
      <c r="AO1858" s="53">
        <f t="shared" si="335"/>
        <v>0</v>
      </c>
      <c r="AP1858" s="53">
        <f t="shared" si="335"/>
        <v>0</v>
      </c>
      <c r="AQ1858" s="53">
        <f t="shared" si="335"/>
        <v>487410103.5</v>
      </c>
      <c r="AR1858" s="53">
        <f t="shared" si="335"/>
        <v>0</v>
      </c>
      <c r="AS1858" s="53">
        <f t="shared" si="335"/>
        <v>20472095.5</v>
      </c>
      <c r="AT1858" s="53">
        <f t="shared" si="335"/>
        <v>30490355</v>
      </c>
      <c r="AU1858" s="53">
        <f t="shared" si="335"/>
        <v>0</v>
      </c>
      <c r="AV1858" s="53">
        <f t="shared" si="335"/>
        <v>0</v>
      </c>
      <c r="AW1858" s="53">
        <f t="shared" si="335"/>
        <v>0</v>
      </c>
      <c r="AX1858" s="53">
        <f t="shared" si="334"/>
        <v>30000000</v>
      </c>
      <c r="AY1858" s="41" t="s">
        <v>557</v>
      </c>
    </row>
    <row r="1859" spans="1:51" x14ac:dyDescent="0.2">
      <c r="A1859" s="41" t="s">
        <v>663</v>
      </c>
      <c r="B1859" s="41">
        <v>2006</v>
      </c>
      <c r="C1859" s="41" t="s">
        <v>101</v>
      </c>
      <c r="D1859" s="41" t="s">
        <v>137</v>
      </c>
      <c r="E1859" s="129">
        <v>25</v>
      </c>
      <c r="F1859" s="41" t="s">
        <v>599</v>
      </c>
      <c r="G1859" s="53">
        <v>4566808</v>
      </c>
      <c r="J1859" s="41">
        <v>80.400000000000006</v>
      </c>
      <c r="L1859" s="41">
        <v>3.9</v>
      </c>
      <c r="M1859" s="47">
        <v>6.6</v>
      </c>
      <c r="U1859" s="53">
        <v>233032.3</v>
      </c>
      <c r="X1859" s="76">
        <f t="shared" si="331"/>
        <v>254868</v>
      </c>
      <c r="Y1859" s="53">
        <v>127434</v>
      </c>
      <c r="Z1859" s="76">
        <f t="shared" si="331"/>
        <v>419828</v>
      </c>
      <c r="AA1859" s="53">
        <v>209914</v>
      </c>
      <c r="AO1859" s="53">
        <f t="shared" si="335"/>
        <v>0</v>
      </c>
      <c r="AP1859" s="53">
        <f t="shared" si="335"/>
        <v>0</v>
      </c>
      <c r="AQ1859" s="53">
        <f t="shared" si="335"/>
        <v>367171363.20000005</v>
      </c>
      <c r="AR1859" s="53">
        <f t="shared" si="335"/>
        <v>0</v>
      </c>
      <c r="AS1859" s="53">
        <f t="shared" si="335"/>
        <v>17810551.199999999</v>
      </c>
      <c r="AT1859" s="53">
        <f t="shared" si="335"/>
        <v>30140932.799999997</v>
      </c>
      <c r="AU1859" s="53">
        <f t="shared" si="335"/>
        <v>0</v>
      </c>
      <c r="AV1859" s="53">
        <f t="shared" si="335"/>
        <v>0</v>
      </c>
      <c r="AW1859" s="53">
        <f t="shared" si="335"/>
        <v>0</v>
      </c>
      <c r="AX1859" s="53">
        <f t="shared" si="334"/>
        <v>114170200</v>
      </c>
      <c r="AY1859" s="41" t="s">
        <v>557</v>
      </c>
    </row>
    <row r="1860" spans="1:51" x14ac:dyDescent="0.2">
      <c r="A1860" s="41" t="s">
        <v>663</v>
      </c>
      <c r="B1860" s="41">
        <v>2007</v>
      </c>
      <c r="C1860" s="41" t="s">
        <v>101</v>
      </c>
      <c r="D1860" s="41" t="s">
        <v>137</v>
      </c>
      <c r="E1860" s="129">
        <v>50</v>
      </c>
      <c r="F1860" s="41" t="s">
        <v>599</v>
      </c>
      <c r="G1860" s="53">
        <v>4986078</v>
      </c>
      <c r="J1860" s="41">
        <v>69.099999999999994</v>
      </c>
      <c r="L1860" s="41">
        <v>3.3</v>
      </c>
      <c r="M1860" s="41">
        <v>6.5</v>
      </c>
      <c r="U1860" s="53">
        <v>234276.3</v>
      </c>
      <c r="X1860" s="76">
        <f t="shared" si="331"/>
        <v>208762</v>
      </c>
      <c r="Y1860" s="53">
        <v>104381</v>
      </c>
      <c r="Z1860" s="76">
        <f t="shared" si="331"/>
        <v>453058</v>
      </c>
      <c r="AA1860" s="53">
        <v>226529</v>
      </c>
      <c r="AO1860" s="53">
        <f t="shared" si="335"/>
        <v>0</v>
      </c>
      <c r="AP1860" s="53">
        <f t="shared" si="335"/>
        <v>0</v>
      </c>
      <c r="AQ1860" s="53">
        <f t="shared" si="335"/>
        <v>344537989.79999995</v>
      </c>
      <c r="AR1860" s="53">
        <f t="shared" si="335"/>
        <v>0</v>
      </c>
      <c r="AS1860" s="53">
        <f t="shared" si="335"/>
        <v>16454057.399999999</v>
      </c>
      <c r="AT1860" s="53">
        <f t="shared" si="335"/>
        <v>32409507</v>
      </c>
      <c r="AU1860" s="53">
        <f t="shared" si="335"/>
        <v>0</v>
      </c>
      <c r="AV1860" s="53">
        <f t="shared" si="335"/>
        <v>0</v>
      </c>
      <c r="AW1860" s="53">
        <f t="shared" si="335"/>
        <v>0</v>
      </c>
      <c r="AX1860" s="53">
        <f t="shared" si="334"/>
        <v>249303900</v>
      </c>
      <c r="AY1860" s="41" t="s">
        <v>557</v>
      </c>
    </row>
    <row r="1861" spans="1:51" x14ac:dyDescent="0.2">
      <c r="A1861" s="41" t="s">
        <v>663</v>
      </c>
      <c r="B1861" s="41">
        <v>2008</v>
      </c>
      <c r="C1861" s="41" t="s">
        <v>101</v>
      </c>
      <c r="D1861" s="41" t="s">
        <v>137</v>
      </c>
      <c r="E1861" s="129">
        <v>50</v>
      </c>
      <c r="F1861" s="41" t="s">
        <v>599</v>
      </c>
      <c r="G1861" s="53">
        <v>6099914</v>
      </c>
      <c r="J1861" s="41">
        <v>69.3</v>
      </c>
      <c r="L1861" s="41">
        <v>3.4</v>
      </c>
      <c r="M1861" s="41">
        <v>6.4</v>
      </c>
      <c r="U1861" s="53">
        <v>317126.7</v>
      </c>
      <c r="X1861" s="76">
        <f t="shared" si="331"/>
        <v>280046</v>
      </c>
      <c r="Y1861" s="53">
        <v>140023</v>
      </c>
      <c r="Z1861" s="76">
        <f t="shared" si="331"/>
        <v>566126</v>
      </c>
      <c r="AA1861" s="53">
        <v>283063</v>
      </c>
      <c r="AO1861" s="53">
        <f t="shared" si="335"/>
        <v>0</v>
      </c>
      <c r="AP1861" s="53">
        <f t="shared" si="335"/>
        <v>0</v>
      </c>
      <c r="AQ1861" s="53">
        <f t="shared" si="335"/>
        <v>422724040.19999999</v>
      </c>
      <c r="AR1861" s="53">
        <f t="shared" si="335"/>
        <v>0</v>
      </c>
      <c r="AS1861" s="53">
        <f t="shared" si="335"/>
        <v>20739707.599999998</v>
      </c>
      <c r="AT1861" s="53">
        <f t="shared" si="335"/>
        <v>39039449.600000001</v>
      </c>
      <c r="AU1861" s="53">
        <f t="shared" si="335"/>
        <v>0</v>
      </c>
      <c r="AV1861" s="53">
        <f t="shared" si="335"/>
        <v>0</v>
      </c>
      <c r="AW1861" s="53">
        <f t="shared" si="335"/>
        <v>0</v>
      </c>
      <c r="AX1861" s="53">
        <f t="shared" si="334"/>
        <v>304995700</v>
      </c>
      <c r="AY1861" s="41" t="s">
        <v>557</v>
      </c>
    </row>
    <row r="1862" spans="1:51" x14ac:dyDescent="0.2">
      <c r="A1862" s="41" t="s">
        <v>663</v>
      </c>
      <c r="B1862" s="41">
        <v>2009</v>
      </c>
      <c r="C1862" s="41" t="s">
        <v>101</v>
      </c>
      <c r="D1862" s="41" t="s">
        <v>137</v>
      </c>
      <c r="E1862" s="129">
        <v>50</v>
      </c>
      <c r="F1862" s="41" t="s">
        <v>599</v>
      </c>
      <c r="G1862" s="53">
        <v>7424153</v>
      </c>
      <c r="J1862" s="41">
        <v>59.1</v>
      </c>
      <c r="L1862" s="41">
        <v>2.9</v>
      </c>
      <c r="M1862" s="47">
        <v>6</v>
      </c>
      <c r="U1862" s="53">
        <v>242331.2</v>
      </c>
      <c r="X1862" s="76">
        <f t="shared" si="331"/>
        <v>252454</v>
      </c>
      <c r="Y1862" s="53">
        <v>126227</v>
      </c>
      <c r="Z1862" s="76">
        <f t="shared" si="331"/>
        <v>648328</v>
      </c>
      <c r="AA1862" s="53">
        <v>324164</v>
      </c>
      <c r="AO1862" s="53">
        <f t="shared" si="335"/>
        <v>0</v>
      </c>
      <c r="AP1862" s="53">
        <f t="shared" si="335"/>
        <v>0</v>
      </c>
      <c r="AQ1862" s="53">
        <f t="shared" si="335"/>
        <v>438767442.30000001</v>
      </c>
      <c r="AR1862" s="53">
        <f t="shared" si="335"/>
        <v>0</v>
      </c>
      <c r="AS1862" s="53">
        <f t="shared" si="335"/>
        <v>21530043.699999999</v>
      </c>
      <c r="AT1862" s="53">
        <f t="shared" si="335"/>
        <v>44544918</v>
      </c>
      <c r="AU1862" s="53">
        <f t="shared" si="335"/>
        <v>0</v>
      </c>
      <c r="AV1862" s="53">
        <f t="shared" si="335"/>
        <v>0</v>
      </c>
      <c r="AW1862" s="53">
        <f t="shared" si="335"/>
        <v>0</v>
      </c>
      <c r="AX1862" s="53">
        <f t="shared" si="334"/>
        <v>371207650</v>
      </c>
      <c r="AY1862" s="41" t="s">
        <v>557</v>
      </c>
    </row>
    <row r="1863" spans="1:51" x14ac:dyDescent="0.2">
      <c r="A1863" s="41" t="s">
        <v>663</v>
      </c>
      <c r="B1863" s="41">
        <v>2010</v>
      </c>
      <c r="C1863" s="41" t="s">
        <v>101</v>
      </c>
      <c r="D1863" s="41" t="s">
        <v>137</v>
      </c>
      <c r="E1863" s="129">
        <v>50</v>
      </c>
      <c r="F1863" s="41" t="s">
        <v>599</v>
      </c>
      <c r="G1863" s="53">
        <v>8566166</v>
      </c>
      <c r="J1863" s="41">
        <v>53.1</v>
      </c>
      <c r="L1863" s="41">
        <v>2.7</v>
      </c>
      <c r="M1863" s="41">
        <v>5.6</v>
      </c>
      <c r="U1863" s="53">
        <v>210702.5</v>
      </c>
      <c r="X1863" s="76">
        <f t="shared" si="331"/>
        <v>287332</v>
      </c>
      <c r="Y1863" s="53">
        <v>143666</v>
      </c>
      <c r="Z1863" s="76">
        <f t="shared" si="331"/>
        <v>710048</v>
      </c>
      <c r="AA1863" s="53">
        <v>355024</v>
      </c>
      <c r="AO1863" s="53">
        <f t="shared" si="335"/>
        <v>0</v>
      </c>
      <c r="AP1863" s="53">
        <f t="shared" si="335"/>
        <v>0</v>
      </c>
      <c r="AQ1863" s="53">
        <f t="shared" si="335"/>
        <v>454863414.60000002</v>
      </c>
      <c r="AR1863" s="53">
        <f t="shared" si="335"/>
        <v>0</v>
      </c>
      <c r="AS1863" s="53">
        <f t="shared" si="335"/>
        <v>23128648.200000003</v>
      </c>
      <c r="AT1863" s="53">
        <f t="shared" si="335"/>
        <v>47970529.599999994</v>
      </c>
      <c r="AU1863" s="53">
        <f t="shared" si="335"/>
        <v>0</v>
      </c>
      <c r="AV1863" s="53">
        <f t="shared" si="335"/>
        <v>0</v>
      </c>
      <c r="AW1863" s="53">
        <f t="shared" si="335"/>
        <v>0</v>
      </c>
      <c r="AX1863" s="53">
        <f t="shared" si="334"/>
        <v>428308300</v>
      </c>
      <c r="AY1863" s="41" t="s">
        <v>557</v>
      </c>
    </row>
    <row r="1864" spans="1:51" x14ac:dyDescent="0.2">
      <c r="A1864" s="41" t="s">
        <v>663</v>
      </c>
      <c r="B1864" s="41">
        <v>2011</v>
      </c>
      <c r="C1864" s="41" t="s">
        <v>101</v>
      </c>
      <c r="D1864" s="41" t="s">
        <v>137</v>
      </c>
      <c r="E1864" s="129">
        <v>50</v>
      </c>
      <c r="F1864" s="41" t="s">
        <v>599</v>
      </c>
      <c r="G1864" s="53">
        <v>9233581</v>
      </c>
      <c r="J1864" s="41">
        <v>52.3</v>
      </c>
      <c r="L1864" s="41">
        <v>2.4</v>
      </c>
      <c r="M1864" s="41">
        <v>5.4</v>
      </c>
      <c r="U1864" s="53">
        <v>203580.6</v>
      </c>
      <c r="X1864" s="76">
        <f t="shared" si="331"/>
        <v>261394</v>
      </c>
      <c r="Y1864" s="53">
        <v>130697</v>
      </c>
      <c r="Z1864" s="76">
        <f t="shared" si="331"/>
        <v>714022</v>
      </c>
      <c r="AA1864" s="53">
        <v>357011</v>
      </c>
      <c r="AO1864" s="53">
        <f t="shared" si="335"/>
        <v>0</v>
      </c>
      <c r="AP1864" s="53">
        <f t="shared" si="335"/>
        <v>0</v>
      </c>
      <c r="AQ1864" s="53">
        <f t="shared" si="335"/>
        <v>482916286.29999995</v>
      </c>
      <c r="AR1864" s="53">
        <f t="shared" si="335"/>
        <v>0</v>
      </c>
      <c r="AS1864" s="53">
        <f t="shared" si="335"/>
        <v>22160594.399999999</v>
      </c>
      <c r="AT1864" s="53">
        <f t="shared" si="335"/>
        <v>49861337.400000006</v>
      </c>
      <c r="AU1864" s="53">
        <f t="shared" si="335"/>
        <v>0</v>
      </c>
      <c r="AV1864" s="53">
        <f t="shared" si="335"/>
        <v>0</v>
      </c>
      <c r="AW1864" s="53">
        <f t="shared" si="335"/>
        <v>0</v>
      </c>
      <c r="AX1864" s="53">
        <f t="shared" si="334"/>
        <v>461679050</v>
      </c>
      <c r="AY1864" s="41" t="s">
        <v>557</v>
      </c>
    </row>
    <row r="1865" spans="1:51" x14ac:dyDescent="0.2">
      <c r="A1865" s="41" t="s">
        <v>663</v>
      </c>
      <c r="B1865" s="41">
        <v>2012</v>
      </c>
      <c r="C1865" s="41" t="s">
        <v>101</v>
      </c>
      <c r="D1865" s="41" t="s">
        <v>137</v>
      </c>
      <c r="E1865" s="129">
        <v>50</v>
      </c>
      <c r="F1865" s="41" t="s">
        <v>599</v>
      </c>
      <c r="G1865" s="53">
        <v>9375574</v>
      </c>
      <c r="J1865" s="41">
        <v>56.9</v>
      </c>
      <c r="L1865" s="41">
        <v>2.7</v>
      </c>
      <c r="M1865" s="47">
        <v>6</v>
      </c>
      <c r="U1865" s="53">
        <v>182805.8</v>
      </c>
      <c r="X1865" s="76">
        <f t="shared" si="331"/>
        <v>306232</v>
      </c>
      <c r="Y1865" s="53">
        <v>153116</v>
      </c>
      <c r="Z1865" s="76">
        <f t="shared" si="331"/>
        <v>780814</v>
      </c>
      <c r="AA1865" s="53">
        <v>390407</v>
      </c>
      <c r="AO1865" s="53">
        <f t="shared" si="335"/>
        <v>0</v>
      </c>
      <c r="AP1865" s="53">
        <f t="shared" si="335"/>
        <v>0</v>
      </c>
      <c r="AQ1865" s="53">
        <f t="shared" si="335"/>
        <v>533470160.59999996</v>
      </c>
      <c r="AR1865" s="53">
        <f t="shared" si="335"/>
        <v>0</v>
      </c>
      <c r="AS1865" s="53">
        <f t="shared" si="335"/>
        <v>25314049.800000001</v>
      </c>
      <c r="AT1865" s="53">
        <f t="shared" si="335"/>
        <v>56253444</v>
      </c>
      <c r="AU1865" s="53">
        <f t="shared" si="335"/>
        <v>0</v>
      </c>
      <c r="AV1865" s="53">
        <f t="shared" si="335"/>
        <v>0</v>
      </c>
      <c r="AW1865" s="53">
        <f t="shared" si="335"/>
        <v>0</v>
      </c>
      <c r="AX1865" s="53">
        <f t="shared" si="334"/>
        <v>468778700</v>
      </c>
      <c r="AY1865" s="41" t="s">
        <v>557</v>
      </c>
    </row>
    <row r="1866" spans="1:51" x14ac:dyDescent="0.2">
      <c r="A1866" s="41" t="s">
        <v>663</v>
      </c>
      <c r="B1866" s="41">
        <v>2013</v>
      </c>
      <c r="C1866" s="41" t="s">
        <v>101</v>
      </c>
      <c r="D1866" s="41" t="s">
        <v>137</v>
      </c>
      <c r="E1866" s="129">
        <v>50</v>
      </c>
      <c r="F1866" s="41" t="s">
        <v>599</v>
      </c>
      <c r="G1866" s="76">
        <v>9346055.4887055513</v>
      </c>
      <c r="J1866" s="130">
        <v>64.890443521113156</v>
      </c>
      <c r="L1866" s="47">
        <v>3.5943066962991597</v>
      </c>
      <c r="M1866" s="47">
        <v>6.3212030147840359</v>
      </c>
      <c r="U1866" s="53">
        <v>213657</v>
      </c>
      <c r="X1866" s="76">
        <f t="shared" si="331"/>
        <v>335600</v>
      </c>
      <c r="Y1866" s="53">
        <v>167800</v>
      </c>
      <c r="Z1866" s="76">
        <f t="shared" si="331"/>
        <v>810200</v>
      </c>
      <c r="AA1866" s="53">
        <v>405100</v>
      </c>
      <c r="AO1866" s="53">
        <f t="shared" si="335"/>
        <v>0</v>
      </c>
      <c r="AP1866" s="53">
        <f t="shared" si="335"/>
        <v>0</v>
      </c>
      <c r="AQ1866" s="53">
        <f t="shared" si="335"/>
        <v>606469685.83503723</v>
      </c>
      <c r="AR1866" s="53">
        <f t="shared" si="335"/>
        <v>0</v>
      </c>
      <c r="AS1866" s="53">
        <f t="shared" si="335"/>
        <v>33592589.827037878</v>
      </c>
      <c r="AT1866" s="53">
        <f t="shared" si="335"/>
        <v>59078314.131544419</v>
      </c>
      <c r="AU1866" s="53">
        <f t="shared" si="335"/>
        <v>0</v>
      </c>
      <c r="AV1866" s="53">
        <f t="shared" si="335"/>
        <v>0</v>
      </c>
      <c r="AW1866" s="53">
        <f t="shared" si="335"/>
        <v>0</v>
      </c>
      <c r="AX1866" s="53">
        <f t="shared" si="334"/>
        <v>467302774.43527758</v>
      </c>
      <c r="AY1866" s="41" t="s">
        <v>557</v>
      </c>
    </row>
    <row r="1867" spans="1:51" x14ac:dyDescent="0.2">
      <c r="A1867" s="41" t="s">
        <v>663</v>
      </c>
      <c r="B1867" s="41">
        <v>2014</v>
      </c>
      <c r="C1867" s="41" t="s">
        <v>101</v>
      </c>
      <c r="D1867" s="41" t="s">
        <v>137</v>
      </c>
      <c r="E1867" s="129">
        <v>50</v>
      </c>
      <c r="F1867" s="41" t="s">
        <v>599</v>
      </c>
      <c r="G1867" s="76">
        <v>9771667.3587036841</v>
      </c>
      <c r="J1867" s="130">
        <v>61.379149556232612</v>
      </c>
      <c r="L1867" s="47">
        <v>3.5590780235792825</v>
      </c>
      <c r="M1867" s="47">
        <v>6.5264445621936691</v>
      </c>
      <c r="U1867" s="53">
        <v>213283.8</v>
      </c>
      <c r="X1867" s="76">
        <f t="shared" ref="X1867:Z1870" si="336">Y1867*2</f>
        <v>340400</v>
      </c>
      <c r="Y1867" s="53">
        <v>170200</v>
      </c>
      <c r="Z1867" s="76">
        <f t="shared" si="336"/>
        <v>874600</v>
      </c>
      <c r="AA1867" s="53">
        <v>437300</v>
      </c>
      <c r="AO1867" s="53">
        <f t="shared" si="335"/>
        <v>0</v>
      </c>
      <c r="AP1867" s="53">
        <f t="shared" si="335"/>
        <v>0</v>
      </c>
      <c r="AQ1867" s="53">
        <f t="shared" si="335"/>
        <v>599776632.22362995</v>
      </c>
      <c r="AR1867" s="53">
        <f t="shared" si="335"/>
        <v>0</v>
      </c>
      <c r="AS1867" s="53">
        <f t="shared" si="335"/>
        <v>34778126.550089292</v>
      </c>
      <c r="AT1867" s="53">
        <f t="shared" si="335"/>
        <v>63774245.296777032</v>
      </c>
      <c r="AU1867" s="53">
        <f t="shared" si="335"/>
        <v>0</v>
      </c>
      <c r="AV1867" s="53">
        <f t="shared" si="335"/>
        <v>0</v>
      </c>
      <c r="AW1867" s="53">
        <f t="shared" si="335"/>
        <v>0</v>
      </c>
      <c r="AX1867" s="53">
        <f t="shared" si="334"/>
        <v>488583367.93518418</v>
      </c>
      <c r="AY1867" s="41" t="s">
        <v>557</v>
      </c>
    </row>
    <row r="1868" spans="1:51" x14ac:dyDescent="0.2">
      <c r="A1868" s="41" t="s">
        <v>663</v>
      </c>
      <c r="B1868" s="41">
        <v>2015</v>
      </c>
      <c r="C1868" s="41" t="s">
        <v>101</v>
      </c>
      <c r="D1868" s="41" t="s">
        <v>137</v>
      </c>
      <c r="E1868" s="129">
        <v>50</v>
      </c>
      <c r="F1868" s="41" t="s">
        <v>599</v>
      </c>
      <c r="G1868" s="76">
        <v>10174171.257487418</v>
      </c>
      <c r="J1868" s="57">
        <v>67.362656677712152</v>
      </c>
      <c r="L1868" s="46">
        <v>3.8709897709263799</v>
      </c>
      <c r="M1868" s="46">
        <v>6.8545094366805941</v>
      </c>
      <c r="U1868" s="53">
        <v>202896.4</v>
      </c>
      <c r="X1868" s="76">
        <f t="shared" si="336"/>
        <v>326000</v>
      </c>
      <c r="Y1868" s="53">
        <v>163000</v>
      </c>
      <c r="Z1868" s="76">
        <f t="shared" si="336"/>
        <v>956400</v>
      </c>
      <c r="AA1868" s="53">
        <v>478200</v>
      </c>
      <c r="AO1868" s="53">
        <f t="shared" si="335"/>
        <v>0</v>
      </c>
      <c r="AP1868" s="53">
        <f t="shared" si="335"/>
        <v>0</v>
      </c>
      <c r="AQ1868" s="53">
        <f t="shared" si="335"/>
        <v>685359205.39837182</v>
      </c>
      <c r="AR1868" s="53">
        <f t="shared" si="335"/>
        <v>0</v>
      </c>
      <c r="AS1868" s="53">
        <f t="shared" si="335"/>
        <v>39384112.865386978</v>
      </c>
      <c r="AT1868" s="53">
        <f t="shared" si="335"/>
        <v>69738952.894851968</v>
      </c>
      <c r="AU1868" s="53">
        <f t="shared" si="335"/>
        <v>0</v>
      </c>
      <c r="AV1868" s="53">
        <f t="shared" si="335"/>
        <v>0</v>
      </c>
      <c r="AW1868" s="53">
        <f t="shared" si="335"/>
        <v>0</v>
      </c>
      <c r="AX1868" s="53">
        <f t="shared" si="334"/>
        <v>508708562.87437093</v>
      </c>
      <c r="AY1868" s="41" t="s">
        <v>557</v>
      </c>
    </row>
    <row r="1869" spans="1:51" x14ac:dyDescent="0.2">
      <c r="A1869" s="41" t="s">
        <v>663</v>
      </c>
      <c r="B1869" s="41">
        <v>2016</v>
      </c>
      <c r="C1869" s="41" t="s">
        <v>91</v>
      </c>
      <c r="D1869" s="41" t="s">
        <v>137</v>
      </c>
      <c r="E1869" s="129">
        <v>40</v>
      </c>
      <c r="F1869" s="41" t="s">
        <v>599</v>
      </c>
      <c r="G1869" s="76">
        <v>5542678.838055213</v>
      </c>
      <c r="J1869" s="57">
        <v>73.974154379878584</v>
      </c>
      <c r="L1869" s="46">
        <v>4.1779387106100039</v>
      </c>
      <c r="M1869" s="46">
        <v>7.5829835212489156</v>
      </c>
      <c r="U1869" s="53">
        <v>228025.2</v>
      </c>
      <c r="X1869" s="76">
        <f t="shared" si="336"/>
        <v>286600</v>
      </c>
      <c r="Y1869" s="53">
        <v>143300</v>
      </c>
      <c r="Z1869" s="76">
        <f t="shared" si="336"/>
        <v>576400</v>
      </c>
      <c r="AA1869" s="53">
        <v>288200</v>
      </c>
      <c r="AO1869" s="53">
        <f t="shared" si="335"/>
        <v>0</v>
      </c>
      <c r="AP1869" s="53">
        <f t="shared" si="335"/>
        <v>0</v>
      </c>
      <c r="AQ1869" s="53">
        <f t="shared" si="335"/>
        <v>410014980.04438239</v>
      </c>
      <c r="AR1869" s="53">
        <f t="shared" si="335"/>
        <v>0</v>
      </c>
      <c r="AS1869" s="53">
        <f t="shared" si="335"/>
        <v>23156972.477989752</v>
      </c>
      <c r="AT1869" s="53">
        <f t="shared" si="335"/>
        <v>42030042.29254777</v>
      </c>
      <c r="AU1869" s="53">
        <f t="shared" si="335"/>
        <v>0</v>
      </c>
      <c r="AV1869" s="53">
        <f t="shared" si="335"/>
        <v>0</v>
      </c>
      <c r="AW1869" s="53">
        <f t="shared" si="335"/>
        <v>0</v>
      </c>
      <c r="AX1869" s="53">
        <f t="shared" si="334"/>
        <v>221707153.52220851</v>
      </c>
      <c r="AY1869" s="41" t="s">
        <v>557</v>
      </c>
    </row>
    <row r="1870" spans="1:51" x14ac:dyDescent="0.2">
      <c r="A1870" s="41" t="s">
        <v>663</v>
      </c>
      <c r="B1870" s="58" t="s">
        <v>567</v>
      </c>
      <c r="C1870" s="41" t="s">
        <v>91</v>
      </c>
      <c r="D1870" s="41" t="s">
        <v>137</v>
      </c>
      <c r="E1870" s="129">
        <v>0</v>
      </c>
      <c r="F1870" s="41" t="s">
        <v>599</v>
      </c>
      <c r="G1870" s="76">
        <f>0.5*5542678.83805521</f>
        <v>2771339.4190276051</v>
      </c>
      <c r="J1870" s="57">
        <v>73.974154379878584</v>
      </c>
      <c r="L1870" s="56">
        <v>4.1779387106100039</v>
      </c>
      <c r="M1870" s="56">
        <v>7.5829835212489156</v>
      </c>
      <c r="U1870" s="76">
        <f>0.5*228025.2</f>
        <v>114012.6</v>
      </c>
      <c r="X1870" s="76">
        <f t="shared" si="336"/>
        <v>286600</v>
      </c>
      <c r="Y1870" s="76">
        <v>143300</v>
      </c>
      <c r="Z1870" s="76">
        <f t="shared" si="336"/>
        <v>576400</v>
      </c>
      <c r="AA1870" s="76">
        <v>288200</v>
      </c>
      <c r="AO1870" s="53">
        <f t="shared" si="335"/>
        <v>0</v>
      </c>
      <c r="AP1870" s="53">
        <f t="shared" si="335"/>
        <v>0</v>
      </c>
      <c r="AQ1870" s="53">
        <f t="shared" si="335"/>
        <v>205007490.02219108</v>
      </c>
      <c r="AR1870" s="53">
        <f t="shared" si="335"/>
        <v>0</v>
      </c>
      <c r="AS1870" s="53">
        <f t="shared" si="335"/>
        <v>11578486.23899487</v>
      </c>
      <c r="AT1870" s="53">
        <f t="shared" si="335"/>
        <v>21015021.146273874</v>
      </c>
      <c r="AU1870" s="53">
        <f t="shared" si="335"/>
        <v>0</v>
      </c>
      <c r="AV1870" s="53">
        <f t="shared" si="335"/>
        <v>0</v>
      </c>
      <c r="AW1870" s="53">
        <f t="shared" si="335"/>
        <v>0</v>
      </c>
      <c r="AX1870" s="53">
        <f t="shared" si="334"/>
        <v>0</v>
      </c>
      <c r="AY1870" s="41" t="s">
        <v>557</v>
      </c>
    </row>
    <row r="1871" spans="1:51" x14ac:dyDescent="0.2">
      <c r="A1871" s="41" t="s">
        <v>663</v>
      </c>
      <c r="B1871" s="60" t="s">
        <v>559</v>
      </c>
      <c r="C1871" s="60" t="s">
        <v>91</v>
      </c>
      <c r="D1871" s="60" t="s">
        <v>137</v>
      </c>
      <c r="E1871" s="78">
        <f>AX1871/G1871</f>
        <v>17.412081425530967</v>
      </c>
      <c r="F1871" s="60" t="s">
        <v>599</v>
      </c>
      <c r="G1871" s="79">
        <f>SUM(G1786:G1870)</f>
        <v>237209762.75837943</v>
      </c>
      <c r="J1871" s="98">
        <f>AQ1871/$G1871</f>
        <v>124.11296536553792</v>
      </c>
      <c r="L1871" s="78">
        <f>AS1871/$G1871</f>
        <v>5.3013404458941435</v>
      </c>
      <c r="M1871" s="78">
        <f>AT1871/$G1871</f>
        <v>6.6576924046537469</v>
      </c>
      <c r="U1871" s="79">
        <f>SUM(U1786:U1870)</f>
        <v>21442276.791779995</v>
      </c>
      <c r="X1871" s="79">
        <f>SUM(X1786:X1870)</f>
        <v>18524199.917599998</v>
      </c>
      <c r="Y1871" s="79">
        <f>SUM(Y1786:Y1870)</f>
        <v>9262099.9587999992</v>
      </c>
      <c r="Z1871" s="79">
        <f>SUM(Z1786:Z1870)</f>
        <v>21726213.737599999</v>
      </c>
      <c r="AA1871" s="79">
        <f>SUM(AA1786:AA1870)</f>
        <v>10863106.868799999</v>
      </c>
      <c r="AO1871" s="79">
        <f t="shared" ref="AO1871:AX1871" si="337">SUM(AO1786:AO1870)</f>
        <v>0</v>
      </c>
      <c r="AP1871" s="79">
        <f t="shared" si="337"/>
        <v>0</v>
      </c>
      <c r="AQ1871" s="79">
        <f t="shared" si="337"/>
        <v>29440807069.598213</v>
      </c>
      <c r="AR1871" s="79">
        <f t="shared" si="337"/>
        <v>0</v>
      </c>
      <c r="AS1871" s="79">
        <f t="shared" si="337"/>
        <v>1257529709.4719512</v>
      </c>
      <c r="AT1871" s="79">
        <f t="shared" si="337"/>
        <v>1579269635.82618</v>
      </c>
      <c r="AU1871" s="79">
        <f t="shared" si="337"/>
        <v>0</v>
      </c>
      <c r="AV1871" s="79">
        <f t="shared" si="337"/>
        <v>0</v>
      </c>
      <c r="AW1871" s="79">
        <f t="shared" si="337"/>
        <v>0</v>
      </c>
      <c r="AX1871" s="79">
        <f t="shared" si="337"/>
        <v>4130315704.0797863</v>
      </c>
      <c r="AY1871" s="41" t="s">
        <v>557</v>
      </c>
    </row>
    <row r="1872" spans="1:51" x14ac:dyDescent="0.2">
      <c r="A1872" s="41" t="s">
        <v>663</v>
      </c>
      <c r="B1872" s="43" t="s">
        <v>560</v>
      </c>
      <c r="G1872" s="53">
        <f>STDEV(G1786:G1870)</f>
        <v>2508396.4500634158</v>
      </c>
      <c r="J1872" s="52">
        <f>STDEV(J1786:J1870)</f>
        <v>47.28198592813002</v>
      </c>
      <c r="L1872" s="47">
        <f>STDEV(L1786:L1870)</f>
        <v>1.8798579191120299</v>
      </c>
      <c r="M1872" s="47">
        <f>STDEV(M1786:M1870)</f>
        <v>1.359665084088695</v>
      </c>
      <c r="U1872" s="53">
        <f>STDEV(U1786:U1870)</f>
        <v>149972.89443273214</v>
      </c>
      <c r="X1872" s="53">
        <f>STDEV(X1786:X1870)</f>
        <v>121081.41717974152</v>
      </c>
      <c r="Y1872" s="53">
        <f>STDEV(Y1786:Y1870)</f>
        <v>60540.708589870759</v>
      </c>
      <c r="Z1872" s="53">
        <f>STDEV(Z1786:Z1870)</f>
        <v>233105.28480039854</v>
      </c>
      <c r="AA1872" s="53">
        <f>STDEV(AA1786:AA1870)</f>
        <v>116552.64240019927</v>
      </c>
      <c r="AY1872" s="41" t="s">
        <v>557</v>
      </c>
    </row>
    <row r="1873" spans="1:51" x14ac:dyDescent="0.2">
      <c r="A1873" s="41" t="s">
        <v>663</v>
      </c>
      <c r="B1873" s="81" t="s">
        <v>249</v>
      </c>
      <c r="G1873" s="41">
        <f>COUNT(G1786:G1870)</f>
        <v>85</v>
      </c>
      <c r="J1873" s="41">
        <f>COUNT(J1786:J1870)</f>
        <v>85</v>
      </c>
      <c r="L1873" s="41">
        <f>COUNT(L1786:L1870)</f>
        <v>85</v>
      </c>
      <c r="M1873" s="41">
        <f>COUNT(M1786:M1870)</f>
        <v>83</v>
      </c>
      <c r="U1873" s="41">
        <f>COUNT(U1786:U1870)</f>
        <v>85</v>
      </c>
      <c r="X1873" s="41">
        <f>COUNT(X1786:X1870)</f>
        <v>85</v>
      </c>
      <c r="Y1873" s="41">
        <f>COUNT(Y1786:Y1870)</f>
        <v>85</v>
      </c>
      <c r="Z1873" s="41">
        <f>COUNT(Z1786:Z1870)</f>
        <v>81</v>
      </c>
      <c r="AA1873" s="41">
        <f>COUNT(AA1786:AA1870)</f>
        <v>81</v>
      </c>
      <c r="AY1873" s="41" t="s">
        <v>557</v>
      </c>
    </row>
    <row r="1874" spans="1:51" x14ac:dyDescent="0.2">
      <c r="A1874" s="82"/>
      <c r="B1874" s="82"/>
      <c r="C1874" s="82"/>
      <c r="D1874" s="82"/>
      <c r="E1874" s="82"/>
      <c r="F1874" s="82"/>
      <c r="G1874" s="82"/>
      <c r="H1874" s="82"/>
      <c r="I1874" s="82"/>
      <c r="J1874" s="82"/>
      <c r="K1874" s="82"/>
      <c r="L1874" s="82"/>
      <c r="M1874" s="82"/>
      <c r="N1874" s="82"/>
      <c r="O1874" s="82"/>
      <c r="P1874" s="82"/>
      <c r="Q1874" s="82"/>
      <c r="R1874" s="82"/>
      <c r="S1874" s="82"/>
      <c r="T1874" s="82"/>
      <c r="U1874" s="82"/>
      <c r="V1874" s="82"/>
      <c r="W1874" s="82"/>
      <c r="X1874" s="82"/>
      <c r="Y1874" s="82"/>
      <c r="Z1874" s="82"/>
      <c r="AA1874" s="82"/>
      <c r="AB1874" s="82"/>
      <c r="AC1874" s="82"/>
      <c r="AD1874" s="82"/>
      <c r="AE1874" s="82"/>
      <c r="AF1874" s="82"/>
      <c r="AG1874" s="82"/>
      <c r="AH1874" s="82"/>
      <c r="AI1874" s="82"/>
      <c r="AJ1874" s="82"/>
      <c r="AK1874" s="82"/>
      <c r="AL1874" s="82"/>
      <c r="AM1874" s="82"/>
      <c r="AN1874" s="82"/>
      <c r="AO1874" s="82"/>
      <c r="AP1874" s="82"/>
      <c r="AQ1874" s="82"/>
      <c r="AR1874" s="82"/>
      <c r="AS1874" s="82"/>
      <c r="AT1874" s="82"/>
      <c r="AU1874" s="82"/>
      <c r="AV1874" s="82"/>
      <c r="AW1874" s="82"/>
      <c r="AX1874" s="82"/>
      <c r="AY1874" s="41" t="s">
        <v>557</v>
      </c>
    </row>
    <row r="1875" spans="1:51" x14ac:dyDescent="0.2">
      <c r="A1875" s="41" t="s">
        <v>246</v>
      </c>
      <c r="B1875" s="41">
        <v>1888</v>
      </c>
      <c r="C1875" s="41" t="s">
        <v>101</v>
      </c>
      <c r="D1875" s="41" t="s">
        <v>137</v>
      </c>
      <c r="E1875" s="41">
        <v>100</v>
      </c>
      <c r="F1875" s="41" t="s">
        <v>556</v>
      </c>
      <c r="G1875" s="53">
        <v>1903.9839999999999</v>
      </c>
      <c r="I1875" s="47">
        <v>27.310733703644573</v>
      </c>
      <c r="J1875" s="47">
        <v>13.916713585828454</v>
      </c>
      <c r="S1875" s="62"/>
      <c r="T1875" s="109">
        <v>51.999200000000002</v>
      </c>
      <c r="U1875" s="109">
        <v>26.497199999999999</v>
      </c>
      <c r="AO1875" s="53">
        <f t="shared" ref="AO1875:AW1903" si="338">$G1875*H1875</f>
        <v>0</v>
      </c>
      <c r="AP1875" s="53">
        <f t="shared" si="338"/>
        <v>51999.200000000004</v>
      </c>
      <c r="AQ1875" s="53">
        <f t="shared" si="338"/>
        <v>26497.200000000001</v>
      </c>
      <c r="AR1875" s="53">
        <f t="shared" si="338"/>
        <v>0</v>
      </c>
      <c r="AS1875" s="53">
        <f t="shared" si="338"/>
        <v>0</v>
      </c>
      <c r="AT1875" s="53">
        <f t="shared" si="338"/>
        <v>0</v>
      </c>
      <c r="AU1875" s="53">
        <f t="shared" si="338"/>
        <v>0</v>
      </c>
      <c r="AV1875" s="53">
        <f t="shared" si="338"/>
        <v>0</v>
      </c>
      <c r="AW1875" s="53">
        <f t="shared" si="338"/>
        <v>0</v>
      </c>
      <c r="AX1875" s="53">
        <f t="shared" si="334"/>
        <v>190398.4</v>
      </c>
      <c r="AY1875" s="41" t="s">
        <v>557</v>
      </c>
    </row>
    <row r="1876" spans="1:51" x14ac:dyDescent="0.2">
      <c r="A1876" s="41" t="s">
        <v>246</v>
      </c>
      <c r="B1876" s="41">
        <v>1889</v>
      </c>
      <c r="C1876" s="41" t="s">
        <v>101</v>
      </c>
      <c r="D1876" s="41" t="s">
        <v>137</v>
      </c>
      <c r="E1876" s="41">
        <v>100</v>
      </c>
      <c r="F1876" s="41" t="s">
        <v>556</v>
      </c>
      <c r="G1876" s="53">
        <v>1554.48</v>
      </c>
      <c r="I1876" s="47">
        <v>14.804950851731769</v>
      </c>
      <c r="J1876" s="47">
        <v>14.804950851731769</v>
      </c>
      <c r="S1876" s="62"/>
      <c r="T1876" s="109">
        <v>23.013999999999999</v>
      </c>
      <c r="U1876" s="109">
        <v>23.013999999999999</v>
      </c>
      <c r="AO1876" s="53">
        <f t="shared" si="338"/>
        <v>0</v>
      </c>
      <c r="AP1876" s="53">
        <f t="shared" si="338"/>
        <v>23014</v>
      </c>
      <c r="AQ1876" s="53">
        <f t="shared" si="338"/>
        <v>23014</v>
      </c>
      <c r="AR1876" s="53">
        <f t="shared" si="338"/>
        <v>0</v>
      </c>
      <c r="AS1876" s="53">
        <f t="shared" si="338"/>
        <v>0</v>
      </c>
      <c r="AT1876" s="53">
        <f t="shared" si="338"/>
        <v>0</v>
      </c>
      <c r="AU1876" s="53">
        <f t="shared" si="338"/>
        <v>0</v>
      </c>
      <c r="AV1876" s="53">
        <f t="shared" si="338"/>
        <v>0</v>
      </c>
      <c r="AW1876" s="53">
        <f t="shared" si="338"/>
        <v>0</v>
      </c>
      <c r="AX1876" s="53">
        <f t="shared" si="334"/>
        <v>155448</v>
      </c>
      <c r="AY1876" s="41" t="s">
        <v>557</v>
      </c>
    </row>
    <row r="1877" spans="1:51" x14ac:dyDescent="0.2">
      <c r="A1877" s="41" t="s">
        <v>246</v>
      </c>
      <c r="B1877" s="41">
        <v>1894</v>
      </c>
      <c r="C1877" s="41" t="s">
        <v>101</v>
      </c>
      <c r="D1877" s="41" t="s">
        <v>137</v>
      </c>
      <c r="E1877" s="62">
        <v>100</v>
      </c>
      <c r="F1877" s="41" t="s">
        <v>556</v>
      </c>
      <c r="G1877" s="93">
        <v>480.56799999999998</v>
      </c>
      <c r="H1877" s="106">
        <v>23.731501057082454</v>
      </c>
      <c r="I1877" s="62"/>
      <c r="J1877" s="95">
        <v>36952.314760866313</v>
      </c>
      <c r="R1877" s="76">
        <f t="shared" ref="R1877:R1940" si="339">S1877*4</f>
        <v>456.18400000000003</v>
      </c>
      <c r="S1877" s="93">
        <v>114.04600000000001</v>
      </c>
      <c r="T1877" s="93"/>
      <c r="U1877" s="93">
        <v>17758.099999999999</v>
      </c>
      <c r="AO1877" s="53">
        <f t="shared" si="338"/>
        <v>11404.6</v>
      </c>
      <c r="AP1877" s="53">
        <f t="shared" si="338"/>
        <v>0</v>
      </c>
      <c r="AQ1877" s="53">
        <f t="shared" si="338"/>
        <v>17758100</v>
      </c>
      <c r="AR1877" s="53">
        <f t="shared" si="338"/>
        <v>0</v>
      </c>
      <c r="AS1877" s="53">
        <f t="shared" si="338"/>
        <v>0</v>
      </c>
      <c r="AT1877" s="53">
        <f t="shared" si="338"/>
        <v>0</v>
      </c>
      <c r="AU1877" s="53">
        <f t="shared" si="338"/>
        <v>0</v>
      </c>
      <c r="AV1877" s="53">
        <f t="shared" si="338"/>
        <v>0</v>
      </c>
      <c r="AW1877" s="53">
        <f t="shared" si="338"/>
        <v>0</v>
      </c>
      <c r="AX1877" s="53">
        <f t="shared" si="334"/>
        <v>48056.799999999996</v>
      </c>
      <c r="AY1877" s="41" t="s">
        <v>557</v>
      </c>
    </row>
    <row r="1878" spans="1:51" x14ac:dyDescent="0.2">
      <c r="A1878" s="41" t="s">
        <v>246</v>
      </c>
      <c r="B1878" s="41">
        <v>1895</v>
      </c>
      <c r="C1878" s="41" t="s">
        <v>101</v>
      </c>
      <c r="D1878" s="41" t="s">
        <v>137</v>
      </c>
      <c r="E1878" s="62">
        <v>100</v>
      </c>
      <c r="F1878" s="41" t="s">
        <v>556</v>
      </c>
      <c r="G1878" s="93">
        <v>393.19200000000001</v>
      </c>
      <c r="H1878" s="106">
        <v>16.472868217054263</v>
      </c>
      <c r="I1878" s="62"/>
      <c r="J1878" s="95">
        <v>22700.614458076459</v>
      </c>
      <c r="R1878" s="76">
        <f t="shared" si="339"/>
        <v>259.08</v>
      </c>
      <c r="S1878" s="93">
        <v>64.77</v>
      </c>
      <c r="T1878" s="93"/>
      <c r="U1878" s="93">
        <v>8925.7000000000007</v>
      </c>
      <c r="AO1878" s="53">
        <f t="shared" si="338"/>
        <v>6477</v>
      </c>
      <c r="AP1878" s="53">
        <f t="shared" si="338"/>
        <v>0</v>
      </c>
      <c r="AQ1878" s="53">
        <f t="shared" si="338"/>
        <v>8925700</v>
      </c>
      <c r="AR1878" s="53">
        <f t="shared" si="338"/>
        <v>0</v>
      </c>
      <c r="AS1878" s="53">
        <f t="shared" si="338"/>
        <v>0</v>
      </c>
      <c r="AT1878" s="53">
        <f t="shared" si="338"/>
        <v>0</v>
      </c>
      <c r="AU1878" s="53">
        <f t="shared" si="338"/>
        <v>0</v>
      </c>
      <c r="AV1878" s="53">
        <f t="shared" si="338"/>
        <v>0</v>
      </c>
      <c r="AW1878" s="53">
        <f t="shared" si="338"/>
        <v>0</v>
      </c>
      <c r="AX1878" s="53">
        <f t="shared" si="334"/>
        <v>39319.199999999997</v>
      </c>
      <c r="AY1878" s="41" t="s">
        <v>557</v>
      </c>
    </row>
    <row r="1879" spans="1:51" x14ac:dyDescent="0.2">
      <c r="A1879" s="41" t="s">
        <v>246</v>
      </c>
      <c r="B1879" s="41">
        <v>1896</v>
      </c>
      <c r="C1879" s="41" t="s">
        <v>101</v>
      </c>
      <c r="D1879" s="41" t="s">
        <v>137</v>
      </c>
      <c r="E1879" s="62">
        <v>100</v>
      </c>
      <c r="F1879" s="41" t="s">
        <v>556</v>
      </c>
      <c r="G1879" s="53">
        <v>8359.6479999999992</v>
      </c>
      <c r="H1879" s="46">
        <v>6.04</v>
      </c>
      <c r="I1879" s="106">
        <v>5.9264512572778205</v>
      </c>
      <c r="J1879" s="131">
        <v>136.0087051512217</v>
      </c>
      <c r="R1879" s="76">
        <f t="shared" si="339"/>
        <v>1964.7214512608202</v>
      </c>
      <c r="S1879" s="93">
        <v>491.18036281520506</v>
      </c>
      <c r="T1879" s="93">
        <v>49.543046400000016</v>
      </c>
      <c r="U1879" s="93">
        <v>1136.9849000000002</v>
      </c>
      <c r="AO1879" s="53">
        <f t="shared" si="338"/>
        <v>50492.273919999992</v>
      </c>
      <c r="AP1879" s="53">
        <f t="shared" si="338"/>
        <v>49543.046400000014</v>
      </c>
      <c r="AQ1879" s="53">
        <f t="shared" si="338"/>
        <v>1136984.9000000001</v>
      </c>
      <c r="AR1879" s="53">
        <f t="shared" si="338"/>
        <v>0</v>
      </c>
      <c r="AS1879" s="53">
        <f t="shared" si="338"/>
        <v>0</v>
      </c>
      <c r="AT1879" s="53">
        <f t="shared" si="338"/>
        <v>0</v>
      </c>
      <c r="AU1879" s="53">
        <f t="shared" si="338"/>
        <v>0</v>
      </c>
      <c r="AV1879" s="53">
        <f t="shared" si="338"/>
        <v>0</v>
      </c>
      <c r="AW1879" s="53">
        <f t="shared" si="338"/>
        <v>0</v>
      </c>
      <c r="AX1879" s="53">
        <f t="shared" si="334"/>
        <v>835964.79999999993</v>
      </c>
      <c r="AY1879" s="41" t="s">
        <v>557</v>
      </c>
    </row>
    <row r="1880" spans="1:51" x14ac:dyDescent="0.2">
      <c r="A1880" s="41" t="s">
        <v>246</v>
      </c>
      <c r="B1880" s="41">
        <v>1897</v>
      </c>
      <c r="C1880" s="41" t="s">
        <v>101</v>
      </c>
      <c r="D1880" s="41" t="s">
        <v>137</v>
      </c>
      <c r="E1880" s="109">
        <v>92.682926829268297</v>
      </c>
      <c r="F1880" s="41" t="s">
        <v>556</v>
      </c>
      <c r="G1880" s="53">
        <v>112392.73084991821</v>
      </c>
      <c r="H1880" s="46">
        <v>4.96</v>
      </c>
      <c r="I1880" s="106">
        <v>3.6066158098897638</v>
      </c>
      <c r="J1880" s="131">
        <v>74.997907215688343</v>
      </c>
      <c r="R1880" s="76">
        <f t="shared" si="339"/>
        <v>19304</v>
      </c>
      <c r="S1880" s="93">
        <v>4826</v>
      </c>
      <c r="T1880" s="93">
        <v>405.35740000000004</v>
      </c>
      <c r="U1880" s="93">
        <v>8429.2196000000004</v>
      </c>
      <c r="AO1880" s="53">
        <f t="shared" si="338"/>
        <v>557467.94501559436</v>
      </c>
      <c r="AP1880" s="53">
        <f t="shared" si="338"/>
        <v>405357.4</v>
      </c>
      <c r="AQ1880" s="53">
        <f t="shared" si="338"/>
        <v>8429219.5999999996</v>
      </c>
      <c r="AR1880" s="53">
        <f t="shared" si="338"/>
        <v>0</v>
      </c>
      <c r="AS1880" s="53">
        <f t="shared" si="338"/>
        <v>0</v>
      </c>
      <c r="AT1880" s="53">
        <f t="shared" si="338"/>
        <v>0</v>
      </c>
      <c r="AU1880" s="53">
        <f t="shared" si="338"/>
        <v>0</v>
      </c>
      <c r="AV1880" s="53">
        <f t="shared" si="338"/>
        <v>0</v>
      </c>
      <c r="AW1880" s="53">
        <f t="shared" si="338"/>
        <v>0</v>
      </c>
      <c r="AX1880" s="53">
        <f t="shared" si="334"/>
        <v>10416887.249504615</v>
      </c>
      <c r="AY1880" s="41" t="s">
        <v>557</v>
      </c>
    </row>
    <row r="1881" spans="1:51" x14ac:dyDescent="0.2">
      <c r="A1881" s="41" t="s">
        <v>246</v>
      </c>
      <c r="B1881" s="41">
        <v>1898</v>
      </c>
      <c r="C1881" s="41" t="s">
        <v>101</v>
      </c>
      <c r="D1881" s="41" t="s">
        <v>137</v>
      </c>
      <c r="E1881" s="110">
        <v>90</v>
      </c>
      <c r="F1881" s="41" t="s">
        <v>556</v>
      </c>
      <c r="G1881" s="91">
        <v>155633.71337798206</v>
      </c>
      <c r="H1881" s="88">
        <v>3.9161339586972579</v>
      </c>
      <c r="I1881" s="106">
        <v>4.7207328767660925</v>
      </c>
      <c r="J1881" s="129">
        <v>75</v>
      </c>
      <c r="R1881" s="76">
        <f t="shared" si="339"/>
        <v>21187.875328000002</v>
      </c>
      <c r="S1881" s="93">
        <v>5296.9688320000005</v>
      </c>
      <c r="T1881" s="93">
        <v>732.24950000000001</v>
      </c>
      <c r="U1881" s="91">
        <v>8754.3963775114917</v>
      </c>
      <c r="AO1881" s="53">
        <f t="shared" si="338"/>
        <v>609482.47007767123</v>
      </c>
      <c r="AP1881" s="53">
        <f t="shared" si="338"/>
        <v>734705.18747663079</v>
      </c>
      <c r="AQ1881" s="53">
        <f t="shared" si="338"/>
        <v>11672528.503348654</v>
      </c>
      <c r="AR1881" s="53">
        <f t="shared" si="338"/>
        <v>0</v>
      </c>
      <c r="AS1881" s="53">
        <f t="shared" si="338"/>
        <v>0</v>
      </c>
      <c r="AT1881" s="53">
        <f t="shared" si="338"/>
        <v>0</v>
      </c>
      <c r="AU1881" s="53">
        <f t="shared" si="338"/>
        <v>0</v>
      </c>
      <c r="AV1881" s="53">
        <f t="shared" si="338"/>
        <v>0</v>
      </c>
      <c r="AW1881" s="53">
        <f t="shared" si="338"/>
        <v>0</v>
      </c>
      <c r="AX1881" s="53">
        <f t="shared" si="334"/>
        <v>14007034.204018386</v>
      </c>
      <c r="AY1881" s="41" t="s">
        <v>557</v>
      </c>
    </row>
    <row r="1882" spans="1:51" x14ac:dyDescent="0.2">
      <c r="A1882" s="41" t="s">
        <v>246</v>
      </c>
      <c r="B1882" s="41">
        <v>1899</v>
      </c>
      <c r="C1882" s="41" t="s">
        <v>101</v>
      </c>
      <c r="D1882" s="41" t="s">
        <v>137</v>
      </c>
      <c r="E1882" s="109">
        <v>87.921454171327525</v>
      </c>
      <c r="F1882" s="41" t="s">
        <v>556</v>
      </c>
      <c r="G1882" s="53">
        <v>211774.8</v>
      </c>
      <c r="H1882" s="46">
        <v>3.7955629659430681</v>
      </c>
      <c r="I1882" s="106">
        <v>3.7552403909074754</v>
      </c>
      <c r="J1882" s="131">
        <v>108.52593092509431</v>
      </c>
      <c r="R1882" s="76">
        <f t="shared" si="339"/>
        <v>29541.856</v>
      </c>
      <c r="S1882" s="93">
        <v>7385.4639999999999</v>
      </c>
      <c r="T1882" s="93">
        <v>768.97860000000014</v>
      </c>
      <c r="U1882" s="93">
        <v>22223.375800000002</v>
      </c>
      <c r="AM1882" s="53">
        <v>292666.92800000001</v>
      </c>
      <c r="AO1882" s="53">
        <f t="shared" si="338"/>
        <v>803804.58799999999</v>
      </c>
      <c r="AP1882" s="53">
        <f t="shared" si="338"/>
        <v>795265.28273635241</v>
      </c>
      <c r="AQ1882" s="53">
        <f t="shared" si="338"/>
        <v>22983057.316475663</v>
      </c>
      <c r="AR1882" s="53">
        <f t="shared" si="338"/>
        <v>0</v>
      </c>
      <c r="AS1882" s="53">
        <f t="shared" si="338"/>
        <v>0</v>
      </c>
      <c r="AT1882" s="53">
        <f t="shared" si="338"/>
        <v>0</v>
      </c>
      <c r="AU1882" s="53">
        <f t="shared" si="338"/>
        <v>0</v>
      </c>
      <c r="AV1882" s="53">
        <f t="shared" si="338"/>
        <v>0</v>
      </c>
      <c r="AW1882" s="53">
        <f t="shared" si="338"/>
        <v>0</v>
      </c>
      <c r="AX1882" s="53">
        <f t="shared" si="334"/>
        <v>18619548.372842051</v>
      </c>
      <c r="AY1882" s="41" t="s">
        <v>557</v>
      </c>
    </row>
    <row r="1883" spans="1:51" x14ac:dyDescent="0.2">
      <c r="A1883" s="41" t="s">
        <v>246</v>
      </c>
      <c r="B1883" s="41">
        <v>1900</v>
      </c>
      <c r="C1883" s="41" t="s">
        <v>101</v>
      </c>
      <c r="D1883" s="41" t="s">
        <v>137</v>
      </c>
      <c r="E1883" s="110">
        <v>90</v>
      </c>
      <c r="F1883" s="41" t="s">
        <v>556</v>
      </c>
      <c r="G1883" s="53">
        <v>181319.424</v>
      </c>
      <c r="H1883" s="46">
        <v>3.3869284001255151</v>
      </c>
      <c r="I1883" s="106">
        <v>2.1819868063702019</v>
      </c>
      <c r="J1883" s="131">
        <v>60.746512689346417</v>
      </c>
      <c r="R1883" s="76">
        <f t="shared" si="339"/>
        <v>44681.339136000002</v>
      </c>
      <c r="S1883" s="93">
        <v>11170.334784000001</v>
      </c>
      <c r="T1883" s="93">
        <v>370.71199999999999</v>
      </c>
      <c r="U1883" s="93">
        <v>10320.622079999999</v>
      </c>
      <c r="AO1883" s="53">
        <f t="shared" si="338"/>
        <v>614115.90663999994</v>
      </c>
      <c r="AP1883" s="53">
        <f t="shared" si="338"/>
        <v>395636.59090664453</v>
      </c>
      <c r="AQ1883" s="53">
        <f t="shared" si="338"/>
        <v>11014522.690840984</v>
      </c>
      <c r="AR1883" s="53">
        <f t="shared" si="338"/>
        <v>0</v>
      </c>
      <c r="AS1883" s="53">
        <f t="shared" si="338"/>
        <v>0</v>
      </c>
      <c r="AT1883" s="53">
        <f t="shared" si="338"/>
        <v>0</v>
      </c>
      <c r="AU1883" s="53">
        <f t="shared" si="338"/>
        <v>0</v>
      </c>
      <c r="AV1883" s="53">
        <f t="shared" si="338"/>
        <v>0</v>
      </c>
      <c r="AW1883" s="53">
        <f t="shared" si="338"/>
        <v>0</v>
      </c>
      <c r="AX1883" s="53">
        <f t="shared" si="334"/>
        <v>16318748.16</v>
      </c>
      <c r="AY1883" s="41" t="s">
        <v>557</v>
      </c>
    </row>
    <row r="1884" spans="1:51" x14ac:dyDescent="0.2">
      <c r="A1884" s="41" t="s">
        <v>246</v>
      </c>
      <c r="B1884" s="41">
        <v>1901</v>
      </c>
      <c r="C1884" s="41" t="s">
        <v>101</v>
      </c>
      <c r="D1884" s="41" t="s">
        <v>137</v>
      </c>
      <c r="E1884" s="110">
        <v>90</v>
      </c>
      <c r="F1884" s="41" t="s">
        <v>556</v>
      </c>
      <c r="G1884" s="53">
        <v>249848.62400000001</v>
      </c>
      <c r="H1884" s="46">
        <v>4.3536195173922589</v>
      </c>
      <c r="I1884" s="106">
        <v>1.6546948294958064</v>
      </c>
      <c r="J1884" s="131">
        <v>52.594570624911</v>
      </c>
      <c r="R1884" s="76">
        <f t="shared" si="339"/>
        <v>61870.985833599996</v>
      </c>
      <c r="S1884" s="93">
        <v>15467.746458399999</v>
      </c>
      <c r="T1884" s="93">
        <v>729.17059999999992</v>
      </c>
      <c r="U1884" s="93">
        <v>19621.052199999998</v>
      </c>
      <c r="AO1884" s="53">
        <f t="shared" si="338"/>
        <v>1087745.8458400001</v>
      </c>
      <c r="AP1884" s="53">
        <f t="shared" si="338"/>
        <v>413423.22628944187</v>
      </c>
      <c r="AQ1884" s="53">
        <f t="shared" si="338"/>
        <v>13140681.100504834</v>
      </c>
      <c r="AR1884" s="53">
        <f t="shared" si="338"/>
        <v>0</v>
      </c>
      <c r="AS1884" s="53">
        <f t="shared" si="338"/>
        <v>0</v>
      </c>
      <c r="AT1884" s="53">
        <f t="shared" si="338"/>
        <v>0</v>
      </c>
      <c r="AU1884" s="53">
        <f t="shared" si="338"/>
        <v>0</v>
      </c>
      <c r="AV1884" s="53">
        <f t="shared" si="338"/>
        <v>0</v>
      </c>
      <c r="AW1884" s="53">
        <f t="shared" si="338"/>
        <v>0</v>
      </c>
      <c r="AX1884" s="53">
        <f t="shared" si="334"/>
        <v>22486376.16</v>
      </c>
      <c r="AY1884" s="41" t="s">
        <v>557</v>
      </c>
    </row>
    <row r="1885" spans="1:51" x14ac:dyDescent="0.2">
      <c r="A1885" s="41" t="s">
        <v>246</v>
      </c>
      <c r="B1885" s="41">
        <v>1902</v>
      </c>
      <c r="C1885" s="41" t="s">
        <v>101</v>
      </c>
      <c r="D1885" s="41" t="s">
        <v>137</v>
      </c>
      <c r="E1885" s="109">
        <v>96.565894483631311</v>
      </c>
      <c r="F1885" s="41" t="s">
        <v>556</v>
      </c>
      <c r="G1885" s="53">
        <v>419892.47999999998</v>
      </c>
      <c r="H1885" s="46">
        <v>2.88200493612079</v>
      </c>
      <c r="I1885" s="106">
        <v>2.3344173279383953</v>
      </c>
      <c r="J1885" s="131">
        <v>54.294583682604063</v>
      </c>
      <c r="R1885" s="76">
        <f t="shared" si="339"/>
        <v>48405.288</v>
      </c>
      <c r="S1885" s="93">
        <v>12101.322</v>
      </c>
      <c r="T1885" s="93">
        <v>907.46690000000001</v>
      </c>
      <c r="U1885" s="93">
        <v>21106.139400000004</v>
      </c>
      <c r="AO1885" s="53">
        <f t="shared" si="338"/>
        <v>1210132.2</v>
      </c>
      <c r="AP1885" s="53">
        <f t="shared" si="338"/>
        <v>980204.28118302603</v>
      </c>
      <c r="AQ1885" s="53">
        <f t="shared" si="338"/>
        <v>22797887.393056151</v>
      </c>
      <c r="AR1885" s="53">
        <f t="shared" si="338"/>
        <v>0</v>
      </c>
      <c r="AS1885" s="53">
        <f t="shared" si="338"/>
        <v>0</v>
      </c>
      <c r="AT1885" s="53">
        <f t="shared" si="338"/>
        <v>0</v>
      </c>
      <c r="AU1885" s="53">
        <f t="shared" si="338"/>
        <v>0</v>
      </c>
      <c r="AV1885" s="53">
        <f t="shared" si="338"/>
        <v>0</v>
      </c>
      <c r="AW1885" s="53">
        <f t="shared" si="338"/>
        <v>0</v>
      </c>
      <c r="AX1885" s="53">
        <f t="shared" si="334"/>
        <v>40547292.918150268</v>
      </c>
      <c r="AY1885" s="41" t="s">
        <v>557</v>
      </c>
    </row>
    <row r="1886" spans="1:51" x14ac:dyDescent="0.2">
      <c r="A1886" s="41" t="s">
        <v>246</v>
      </c>
      <c r="B1886" s="41">
        <v>1903</v>
      </c>
      <c r="C1886" s="41" t="s">
        <v>101</v>
      </c>
      <c r="D1886" s="41" t="s">
        <v>137</v>
      </c>
      <c r="E1886" s="110">
        <v>84</v>
      </c>
      <c r="F1886" s="41" t="s">
        <v>556</v>
      </c>
      <c r="G1886" s="53">
        <v>405555.70400000003</v>
      </c>
      <c r="H1886" s="46">
        <v>2.17</v>
      </c>
      <c r="I1886" s="106">
        <v>2.2628181306506789</v>
      </c>
      <c r="J1886" s="131">
        <v>39.178777275932482</v>
      </c>
      <c r="R1886" s="76">
        <f t="shared" si="339"/>
        <v>22868.128000000001</v>
      </c>
      <c r="S1886" s="93">
        <v>5717.0320000000002</v>
      </c>
      <c r="T1886" s="93">
        <v>917.69880000000001</v>
      </c>
      <c r="U1886" s="93">
        <v>18811.146000000001</v>
      </c>
      <c r="AO1886" s="53">
        <f t="shared" si="338"/>
        <v>880055.87768000003</v>
      </c>
      <c r="AP1886" s="53">
        <f t="shared" si="338"/>
        <v>917698.80000000016</v>
      </c>
      <c r="AQ1886" s="53">
        <f t="shared" si="338"/>
        <v>15889176.600000001</v>
      </c>
      <c r="AR1886" s="53">
        <f t="shared" si="338"/>
        <v>0</v>
      </c>
      <c r="AS1886" s="53">
        <f t="shared" si="338"/>
        <v>0</v>
      </c>
      <c r="AT1886" s="53">
        <f t="shared" si="338"/>
        <v>0</v>
      </c>
      <c r="AU1886" s="53">
        <f t="shared" si="338"/>
        <v>0</v>
      </c>
      <c r="AV1886" s="53">
        <f t="shared" si="338"/>
        <v>0</v>
      </c>
      <c r="AW1886" s="53">
        <f t="shared" si="338"/>
        <v>0</v>
      </c>
      <c r="AX1886" s="53">
        <f t="shared" si="334"/>
        <v>34066679.136</v>
      </c>
      <c r="AY1886" s="41" t="s">
        <v>557</v>
      </c>
    </row>
    <row r="1887" spans="1:51" x14ac:dyDescent="0.2">
      <c r="A1887" s="41" t="s">
        <v>246</v>
      </c>
      <c r="B1887" s="41">
        <v>1904</v>
      </c>
      <c r="C1887" s="41" t="s">
        <v>101</v>
      </c>
      <c r="D1887" s="41" t="s">
        <v>137</v>
      </c>
      <c r="E1887" s="103">
        <v>73.090867358383278</v>
      </c>
      <c r="F1887" s="41" t="s">
        <v>556</v>
      </c>
      <c r="G1887" s="93">
        <v>412935.92800000001</v>
      </c>
      <c r="H1887" s="106">
        <v>2.033791547438323</v>
      </c>
      <c r="I1887" s="106">
        <v>2.3326359725230787</v>
      </c>
      <c r="J1887" s="131">
        <v>61.504934731666168</v>
      </c>
      <c r="R1887" s="76">
        <f t="shared" si="339"/>
        <v>33593.023999999998</v>
      </c>
      <c r="S1887" s="93">
        <v>8398.2559999999994</v>
      </c>
      <c r="T1887" s="93">
        <v>963.22920000000011</v>
      </c>
      <c r="U1887" s="93">
        <v>25397.597300000001</v>
      </c>
      <c r="AO1887" s="53">
        <f t="shared" si="338"/>
        <v>839825.6</v>
      </c>
      <c r="AP1887" s="53">
        <f t="shared" si="338"/>
        <v>963229.20000000007</v>
      </c>
      <c r="AQ1887" s="53">
        <f t="shared" si="338"/>
        <v>25397597.300000001</v>
      </c>
      <c r="AR1887" s="53">
        <f t="shared" si="338"/>
        <v>0</v>
      </c>
      <c r="AS1887" s="53">
        <f t="shared" si="338"/>
        <v>0</v>
      </c>
      <c r="AT1887" s="53">
        <f t="shared" si="338"/>
        <v>0</v>
      </c>
      <c r="AU1887" s="53">
        <f t="shared" si="338"/>
        <v>0</v>
      </c>
      <c r="AV1887" s="53">
        <f t="shared" si="338"/>
        <v>0</v>
      </c>
      <c r="AW1887" s="53">
        <f t="shared" si="338"/>
        <v>0</v>
      </c>
      <c r="AX1887" s="53">
        <f t="shared" si="334"/>
        <v>30181845.140958909</v>
      </c>
      <c r="AY1887" s="41" t="s">
        <v>557</v>
      </c>
    </row>
    <row r="1888" spans="1:51" x14ac:dyDescent="0.2">
      <c r="A1888" s="41" t="s">
        <v>246</v>
      </c>
      <c r="B1888" s="41">
        <v>1905</v>
      </c>
      <c r="C1888" s="41" t="s">
        <v>101</v>
      </c>
      <c r="D1888" s="41" t="s">
        <v>137</v>
      </c>
      <c r="E1888" s="110">
        <v>60</v>
      </c>
      <c r="F1888" s="41" t="s">
        <v>556</v>
      </c>
      <c r="G1888" s="93">
        <v>433683.66399999999</v>
      </c>
      <c r="H1888" s="62">
        <v>2.25</v>
      </c>
      <c r="I1888" s="106">
        <v>1.9173438361284461</v>
      </c>
      <c r="J1888" s="131">
        <v>52.494001480304782</v>
      </c>
      <c r="R1888" s="76">
        <f t="shared" si="339"/>
        <v>34568.383999999998</v>
      </c>
      <c r="S1888" s="93">
        <v>8642.0959999999995</v>
      </c>
      <c r="T1888" s="93">
        <v>831.52070000000003</v>
      </c>
      <c r="U1888" s="93">
        <v>22765.790900000004</v>
      </c>
      <c r="AO1888" s="53">
        <f t="shared" si="338"/>
        <v>975788.24399999995</v>
      </c>
      <c r="AP1888" s="53">
        <f t="shared" si="338"/>
        <v>831520.70000000007</v>
      </c>
      <c r="AQ1888" s="53">
        <f t="shared" si="338"/>
        <v>22765790.900000002</v>
      </c>
      <c r="AR1888" s="53">
        <f t="shared" si="338"/>
        <v>0</v>
      </c>
      <c r="AS1888" s="53">
        <f t="shared" si="338"/>
        <v>0</v>
      </c>
      <c r="AT1888" s="53">
        <f t="shared" si="338"/>
        <v>0</v>
      </c>
      <c r="AU1888" s="53">
        <f t="shared" si="338"/>
        <v>0</v>
      </c>
      <c r="AV1888" s="53">
        <f t="shared" si="338"/>
        <v>0</v>
      </c>
      <c r="AW1888" s="53">
        <f t="shared" si="338"/>
        <v>0</v>
      </c>
      <c r="AX1888" s="53">
        <f t="shared" si="334"/>
        <v>26021019.84</v>
      </c>
      <c r="AY1888" s="41" t="s">
        <v>557</v>
      </c>
    </row>
    <row r="1889" spans="1:51" x14ac:dyDescent="0.2">
      <c r="A1889" s="41" t="s">
        <v>246</v>
      </c>
      <c r="B1889" s="41">
        <v>1906</v>
      </c>
      <c r="C1889" s="41" t="s">
        <v>101</v>
      </c>
      <c r="D1889" s="41" t="s">
        <v>137</v>
      </c>
      <c r="E1889" s="110">
        <v>50</v>
      </c>
      <c r="F1889" s="41" t="s">
        <v>556</v>
      </c>
      <c r="G1889" s="93">
        <v>398939.766</v>
      </c>
      <c r="H1889" s="106">
        <v>2.1935161008742359</v>
      </c>
      <c r="I1889" s="106">
        <v>1.9609210880220951</v>
      </c>
      <c r="J1889" s="131">
        <v>54.649001323172179</v>
      </c>
      <c r="R1889" s="76">
        <f t="shared" si="339"/>
        <v>35003.232000000004</v>
      </c>
      <c r="S1889" s="93">
        <v>8750.8080000000009</v>
      </c>
      <c r="T1889" s="93">
        <v>782.2894</v>
      </c>
      <c r="U1889" s="93">
        <v>21801.659800000001</v>
      </c>
      <c r="AO1889" s="53">
        <f t="shared" si="338"/>
        <v>875080.8</v>
      </c>
      <c r="AP1889" s="53">
        <f t="shared" si="338"/>
        <v>782289.4</v>
      </c>
      <c r="AQ1889" s="53">
        <f t="shared" si="338"/>
        <v>21801659.800000001</v>
      </c>
      <c r="AR1889" s="53">
        <f t="shared" si="338"/>
        <v>0</v>
      </c>
      <c r="AS1889" s="53">
        <f t="shared" si="338"/>
        <v>0</v>
      </c>
      <c r="AT1889" s="53">
        <f t="shared" si="338"/>
        <v>0</v>
      </c>
      <c r="AU1889" s="53">
        <f t="shared" si="338"/>
        <v>0</v>
      </c>
      <c r="AV1889" s="53">
        <f t="shared" si="338"/>
        <v>0</v>
      </c>
      <c r="AW1889" s="53">
        <f t="shared" si="338"/>
        <v>0</v>
      </c>
      <c r="AX1889" s="53">
        <f t="shared" si="334"/>
        <v>19946988.300000001</v>
      </c>
      <c r="AY1889" s="41" t="s">
        <v>557</v>
      </c>
    </row>
    <row r="1890" spans="1:51" x14ac:dyDescent="0.2">
      <c r="A1890" s="41" t="s">
        <v>246</v>
      </c>
      <c r="B1890" s="41">
        <v>1907</v>
      </c>
      <c r="C1890" s="41" t="s">
        <v>101</v>
      </c>
      <c r="D1890" s="41" t="s">
        <v>137</v>
      </c>
      <c r="E1890" s="110">
        <v>45</v>
      </c>
      <c r="F1890" s="41" t="s">
        <v>556</v>
      </c>
      <c r="G1890" s="93">
        <v>389021.82799999998</v>
      </c>
      <c r="H1890" s="106">
        <v>2.1269510871765274</v>
      </c>
      <c r="I1890" s="106">
        <v>1.9623078836594228</v>
      </c>
      <c r="J1890" s="131">
        <v>55.967825281001971</v>
      </c>
      <c r="R1890" s="76">
        <f t="shared" si="339"/>
        <v>33097.216</v>
      </c>
      <c r="S1890" s="93">
        <v>8274.3040000000001</v>
      </c>
      <c r="T1890" s="93">
        <v>763.38059999999996</v>
      </c>
      <c r="U1890" s="93">
        <v>21772.705699999999</v>
      </c>
      <c r="AO1890" s="53">
        <f t="shared" si="338"/>
        <v>827430.40000000002</v>
      </c>
      <c r="AP1890" s="53">
        <f t="shared" si="338"/>
        <v>763380.6</v>
      </c>
      <c r="AQ1890" s="53">
        <f t="shared" si="338"/>
        <v>21772705.699999999</v>
      </c>
      <c r="AR1890" s="53">
        <f t="shared" si="338"/>
        <v>0</v>
      </c>
      <c r="AS1890" s="53">
        <f t="shared" si="338"/>
        <v>0</v>
      </c>
      <c r="AT1890" s="53">
        <f t="shared" si="338"/>
        <v>0</v>
      </c>
      <c r="AU1890" s="53">
        <f t="shared" si="338"/>
        <v>0</v>
      </c>
      <c r="AV1890" s="53">
        <f t="shared" si="338"/>
        <v>0</v>
      </c>
      <c r="AW1890" s="53">
        <f t="shared" si="338"/>
        <v>0</v>
      </c>
      <c r="AX1890" s="53">
        <f t="shared" si="334"/>
        <v>17505982.259999998</v>
      </c>
      <c r="AY1890" s="41" t="s">
        <v>557</v>
      </c>
    </row>
    <row r="1891" spans="1:51" x14ac:dyDescent="0.2">
      <c r="A1891" s="41" t="s">
        <v>246</v>
      </c>
      <c r="B1891" s="41">
        <v>1908</v>
      </c>
      <c r="C1891" s="41" t="s">
        <v>101</v>
      </c>
      <c r="D1891" s="41" t="s">
        <v>137</v>
      </c>
      <c r="E1891" s="109">
        <v>37.05055405684616</v>
      </c>
      <c r="F1891" s="41" t="s">
        <v>556</v>
      </c>
      <c r="G1891" s="93">
        <v>383060.54959999997</v>
      </c>
      <c r="H1891" s="106">
        <v>1.3188305327905268</v>
      </c>
      <c r="I1891" s="106">
        <v>1.7930415980377428</v>
      </c>
      <c r="J1891" s="103">
        <v>29.199777820190338</v>
      </c>
      <c r="R1891" s="76">
        <f t="shared" si="339"/>
        <v>35446.207999999999</v>
      </c>
      <c r="S1891" s="93">
        <v>8861.5519999999997</v>
      </c>
      <c r="T1891" s="93">
        <v>686.84349999999995</v>
      </c>
      <c r="U1891" s="93">
        <v>21458.533500000001</v>
      </c>
      <c r="AO1891" s="53">
        <f t="shared" si="338"/>
        <v>505191.94871999999</v>
      </c>
      <c r="AP1891" s="53">
        <f t="shared" si="338"/>
        <v>686843.5</v>
      </c>
      <c r="AQ1891" s="53">
        <f t="shared" si="338"/>
        <v>11185282.939999999</v>
      </c>
      <c r="AR1891" s="53">
        <f t="shared" si="338"/>
        <v>0</v>
      </c>
      <c r="AS1891" s="53">
        <f t="shared" si="338"/>
        <v>0</v>
      </c>
      <c r="AT1891" s="53">
        <f t="shared" si="338"/>
        <v>0</v>
      </c>
      <c r="AU1891" s="53">
        <f t="shared" si="338"/>
        <v>0</v>
      </c>
      <c r="AV1891" s="53">
        <f t="shared" si="338"/>
        <v>0</v>
      </c>
      <c r="AW1891" s="53">
        <f t="shared" si="338"/>
        <v>0</v>
      </c>
      <c r="AX1891" s="53">
        <f t="shared" si="334"/>
        <v>14192605.599999998</v>
      </c>
      <c r="AY1891" s="41" t="s">
        <v>557</v>
      </c>
    </row>
    <row r="1892" spans="1:51" x14ac:dyDescent="0.2">
      <c r="A1892" s="41" t="s">
        <v>246</v>
      </c>
      <c r="B1892" s="41">
        <v>1909</v>
      </c>
      <c r="C1892" s="41" t="s">
        <v>101</v>
      </c>
      <c r="D1892" s="41" t="s">
        <v>137</v>
      </c>
      <c r="E1892" s="109">
        <v>72.297027255870447</v>
      </c>
      <c r="F1892" s="41" t="s">
        <v>556</v>
      </c>
      <c r="G1892" s="93">
        <v>354757.38040000002</v>
      </c>
      <c r="H1892" s="106">
        <v>2.4440771296212898</v>
      </c>
      <c r="I1892" s="106">
        <v>1.6546872099972243</v>
      </c>
      <c r="J1892" s="131">
        <v>61.892840890985447</v>
      </c>
      <c r="R1892" s="76">
        <f t="shared" si="339"/>
        <v>34682.175999999999</v>
      </c>
      <c r="S1892" s="93">
        <v>8670.5439999999999</v>
      </c>
      <c r="T1892" s="93">
        <v>587.01250000000005</v>
      </c>
      <c r="U1892" s="93">
        <v>21956.9421</v>
      </c>
      <c r="AO1892" s="53">
        <f t="shared" si="338"/>
        <v>867054.4</v>
      </c>
      <c r="AP1892" s="53">
        <f t="shared" si="338"/>
        <v>587012.5</v>
      </c>
      <c r="AQ1892" s="53">
        <f t="shared" si="338"/>
        <v>21956942.100000001</v>
      </c>
      <c r="AR1892" s="53">
        <f t="shared" si="338"/>
        <v>0</v>
      </c>
      <c r="AS1892" s="53">
        <f t="shared" si="338"/>
        <v>0</v>
      </c>
      <c r="AT1892" s="53">
        <f t="shared" si="338"/>
        <v>0</v>
      </c>
      <c r="AU1892" s="53">
        <f t="shared" si="338"/>
        <v>0</v>
      </c>
      <c r="AV1892" s="53">
        <f t="shared" si="338"/>
        <v>0</v>
      </c>
      <c r="AW1892" s="53">
        <f t="shared" si="338"/>
        <v>0</v>
      </c>
      <c r="AX1892" s="53">
        <f t="shared" si="334"/>
        <v>25647904</v>
      </c>
      <c r="AY1892" s="41" t="s">
        <v>557</v>
      </c>
    </row>
    <row r="1893" spans="1:51" x14ac:dyDescent="0.2">
      <c r="A1893" s="41" t="s">
        <v>246</v>
      </c>
      <c r="B1893" s="41">
        <v>1910</v>
      </c>
      <c r="C1893" s="41" t="s">
        <v>101</v>
      </c>
      <c r="D1893" s="41" t="s">
        <v>137</v>
      </c>
      <c r="E1893" s="109">
        <v>63.931331146937268</v>
      </c>
      <c r="F1893" s="41" t="s">
        <v>556</v>
      </c>
      <c r="G1893" s="93">
        <v>392865.81320000003</v>
      </c>
      <c r="H1893" s="106">
        <v>2.0932093665817599</v>
      </c>
      <c r="I1893" s="106">
        <v>0.94820110959962745</v>
      </c>
      <c r="J1893" s="131">
        <v>51.992974735120065</v>
      </c>
      <c r="R1893" s="76">
        <f t="shared" si="339"/>
        <v>32894.016000000003</v>
      </c>
      <c r="S1893" s="93">
        <v>8223.5040000000008</v>
      </c>
      <c r="T1893" s="93">
        <v>372.51580000000001</v>
      </c>
      <c r="U1893" s="93">
        <v>20426.262300000002</v>
      </c>
      <c r="AO1893" s="53">
        <f t="shared" si="338"/>
        <v>822350.40000000014</v>
      </c>
      <c r="AP1893" s="53">
        <f t="shared" si="338"/>
        <v>372515.8</v>
      </c>
      <c r="AQ1893" s="53">
        <f t="shared" si="338"/>
        <v>20426262.300000001</v>
      </c>
      <c r="AR1893" s="53">
        <f t="shared" si="338"/>
        <v>0</v>
      </c>
      <c r="AS1893" s="53">
        <f t="shared" si="338"/>
        <v>0</v>
      </c>
      <c r="AT1893" s="53">
        <f t="shared" si="338"/>
        <v>0</v>
      </c>
      <c r="AU1893" s="53">
        <f t="shared" si="338"/>
        <v>0</v>
      </c>
      <c r="AV1893" s="53">
        <f t="shared" si="338"/>
        <v>0</v>
      </c>
      <c r="AW1893" s="53">
        <f t="shared" si="338"/>
        <v>0</v>
      </c>
      <c r="AX1893" s="53">
        <f t="shared" si="334"/>
        <v>25116434.400000002</v>
      </c>
      <c r="AY1893" s="41" t="s">
        <v>557</v>
      </c>
    </row>
    <row r="1894" spans="1:51" x14ac:dyDescent="0.2">
      <c r="A1894" s="41" t="s">
        <v>246</v>
      </c>
      <c r="B1894" s="41">
        <v>1911</v>
      </c>
      <c r="C1894" s="41" t="s">
        <v>101</v>
      </c>
      <c r="D1894" s="41" t="s">
        <v>137</v>
      </c>
      <c r="E1894" s="109">
        <v>63.210559195233543</v>
      </c>
      <c r="F1894" s="41" t="s">
        <v>556</v>
      </c>
      <c r="G1894" s="93">
        <v>265746.58559999999</v>
      </c>
      <c r="H1894" s="106">
        <v>2.2751810663338961</v>
      </c>
      <c r="I1894" s="106">
        <v>0.93669839421635837</v>
      </c>
      <c r="J1894" s="131">
        <v>45.506408944807909</v>
      </c>
      <c r="R1894" s="76">
        <f t="shared" si="339"/>
        <v>24184.864000000001</v>
      </c>
      <c r="S1894" s="93">
        <v>6046.2160000000003</v>
      </c>
      <c r="T1894" s="93">
        <v>248.92440000000002</v>
      </c>
      <c r="U1894" s="93">
        <v>12093.1728</v>
      </c>
      <c r="AO1894" s="53">
        <f t="shared" si="338"/>
        <v>604621.6</v>
      </c>
      <c r="AP1894" s="53">
        <f t="shared" si="338"/>
        <v>248924.40000000002</v>
      </c>
      <c r="AQ1894" s="53">
        <f t="shared" si="338"/>
        <v>12093172.800000001</v>
      </c>
      <c r="AR1894" s="53">
        <f t="shared" si="338"/>
        <v>0</v>
      </c>
      <c r="AS1894" s="53">
        <f t="shared" si="338"/>
        <v>0</v>
      </c>
      <c r="AT1894" s="53">
        <f t="shared" si="338"/>
        <v>0</v>
      </c>
      <c r="AU1894" s="53">
        <f t="shared" si="338"/>
        <v>0</v>
      </c>
      <c r="AV1894" s="53">
        <f t="shared" si="338"/>
        <v>0</v>
      </c>
      <c r="AW1894" s="53">
        <f t="shared" si="338"/>
        <v>0</v>
      </c>
      <c r="AX1894" s="53">
        <f t="shared" si="334"/>
        <v>16797990.279999997</v>
      </c>
      <c r="AY1894" s="41" t="s">
        <v>557</v>
      </c>
    </row>
    <row r="1895" spans="1:51" x14ac:dyDescent="0.2">
      <c r="A1895" s="41" t="s">
        <v>246</v>
      </c>
      <c r="B1895" s="41">
        <v>1912</v>
      </c>
      <c r="C1895" s="41" t="s">
        <v>101</v>
      </c>
      <c r="D1895" s="41" t="s">
        <v>137</v>
      </c>
      <c r="E1895" s="109">
        <v>62.049061686936589</v>
      </c>
      <c r="F1895" s="41" t="s">
        <v>556</v>
      </c>
      <c r="G1895" s="93">
        <v>263156.9032</v>
      </c>
      <c r="H1895" s="106">
        <v>1.958591219658341</v>
      </c>
      <c r="I1895" s="106">
        <v>1.9055414997754847</v>
      </c>
      <c r="J1895" s="131">
        <v>43.020282053539539</v>
      </c>
      <c r="R1895" s="76">
        <f t="shared" si="339"/>
        <v>20616.671999999999</v>
      </c>
      <c r="S1895" s="93">
        <v>5154.1679999999997</v>
      </c>
      <c r="T1895" s="93">
        <v>501.45640000000003</v>
      </c>
      <c r="U1895" s="93">
        <v>11321.084200000001</v>
      </c>
      <c r="AO1895" s="53">
        <f t="shared" si="338"/>
        <v>515416.8</v>
      </c>
      <c r="AP1895" s="53">
        <f t="shared" si="338"/>
        <v>501456.4</v>
      </c>
      <c r="AQ1895" s="53">
        <f t="shared" si="338"/>
        <v>11321084.200000001</v>
      </c>
      <c r="AR1895" s="53">
        <f t="shared" si="338"/>
        <v>0</v>
      </c>
      <c r="AS1895" s="53">
        <f t="shared" si="338"/>
        <v>0</v>
      </c>
      <c r="AT1895" s="53">
        <f t="shared" si="338"/>
        <v>0</v>
      </c>
      <c r="AU1895" s="53">
        <f t="shared" si="338"/>
        <v>0</v>
      </c>
      <c r="AV1895" s="53">
        <f t="shared" si="338"/>
        <v>0</v>
      </c>
      <c r="AW1895" s="53">
        <f t="shared" si="338"/>
        <v>0</v>
      </c>
      <c r="AX1895" s="53">
        <f t="shared" si="334"/>
        <v>16328638.92</v>
      </c>
      <c r="AY1895" s="41" t="s">
        <v>557</v>
      </c>
    </row>
    <row r="1896" spans="1:51" x14ac:dyDescent="0.2">
      <c r="A1896" s="41" t="s">
        <v>246</v>
      </c>
      <c r="B1896" s="41">
        <v>1913</v>
      </c>
      <c r="C1896" s="41" t="s">
        <v>101</v>
      </c>
      <c r="D1896" s="41" t="s">
        <v>137</v>
      </c>
      <c r="E1896" s="109">
        <v>64.916274750621568</v>
      </c>
      <c r="F1896" s="41" t="s">
        <v>556</v>
      </c>
      <c r="G1896" s="93">
        <v>271337.02399999998</v>
      </c>
      <c r="H1896" s="106">
        <v>1.6891082287391785</v>
      </c>
      <c r="I1896" s="106">
        <v>1.3774743840339312</v>
      </c>
      <c r="J1896" s="131">
        <v>40.003034381330878</v>
      </c>
      <c r="R1896" s="76">
        <f t="shared" si="339"/>
        <v>18332.704000000002</v>
      </c>
      <c r="S1896" s="93">
        <v>4583.1760000000004</v>
      </c>
      <c r="T1896" s="93">
        <v>373.75979999999998</v>
      </c>
      <c r="U1896" s="93">
        <v>10854.304300000002</v>
      </c>
      <c r="AO1896" s="53">
        <f t="shared" si="338"/>
        <v>458317.59999999992</v>
      </c>
      <c r="AP1896" s="53">
        <f t="shared" si="338"/>
        <v>373759.8</v>
      </c>
      <c r="AQ1896" s="53">
        <f t="shared" si="338"/>
        <v>10854304.300000001</v>
      </c>
      <c r="AR1896" s="53">
        <f t="shared" si="338"/>
        <v>0</v>
      </c>
      <c r="AS1896" s="53">
        <f t="shared" si="338"/>
        <v>0</v>
      </c>
      <c r="AT1896" s="53">
        <f t="shared" si="338"/>
        <v>0</v>
      </c>
      <c r="AU1896" s="53">
        <f t="shared" si="338"/>
        <v>0</v>
      </c>
      <c r="AV1896" s="53">
        <f t="shared" si="338"/>
        <v>0</v>
      </c>
      <c r="AW1896" s="53">
        <f t="shared" si="338"/>
        <v>0</v>
      </c>
      <c r="AX1896" s="53">
        <f t="shared" si="334"/>
        <v>17614188.799999997</v>
      </c>
      <c r="AY1896" s="41" t="s">
        <v>557</v>
      </c>
    </row>
    <row r="1897" spans="1:51" x14ac:dyDescent="0.2">
      <c r="A1897" s="41" t="s">
        <v>246</v>
      </c>
      <c r="B1897" s="41">
        <v>1914</v>
      </c>
      <c r="C1897" s="41" t="s">
        <v>101</v>
      </c>
      <c r="D1897" s="41" t="s">
        <v>137</v>
      </c>
      <c r="E1897" s="109">
        <v>61.79515395758164</v>
      </c>
      <c r="F1897" s="41" t="s">
        <v>556</v>
      </c>
      <c r="G1897" s="93">
        <v>344380.31199999998</v>
      </c>
      <c r="H1897" s="106">
        <v>2.1890682298934672</v>
      </c>
      <c r="I1897" s="106">
        <v>0.8964789485410537</v>
      </c>
      <c r="J1897" s="131">
        <v>42.618647142639212</v>
      </c>
      <c r="R1897" s="76">
        <f t="shared" si="339"/>
        <v>30154.880000000001</v>
      </c>
      <c r="S1897" s="93">
        <v>7538.72</v>
      </c>
      <c r="T1897" s="93">
        <v>308.72970000000004</v>
      </c>
      <c r="U1897" s="93">
        <v>14677.022999999999</v>
      </c>
      <c r="AO1897" s="53">
        <f t="shared" si="338"/>
        <v>753871.99999999988</v>
      </c>
      <c r="AP1897" s="53">
        <f t="shared" si="338"/>
        <v>308729.7</v>
      </c>
      <c r="AQ1897" s="53">
        <f t="shared" si="338"/>
        <v>14677023</v>
      </c>
      <c r="AR1897" s="53">
        <f t="shared" si="338"/>
        <v>0</v>
      </c>
      <c r="AS1897" s="53">
        <f t="shared" si="338"/>
        <v>0</v>
      </c>
      <c r="AT1897" s="53">
        <f t="shared" si="338"/>
        <v>0</v>
      </c>
      <c r="AU1897" s="53">
        <f t="shared" si="338"/>
        <v>0</v>
      </c>
      <c r="AV1897" s="53">
        <f t="shared" si="338"/>
        <v>0</v>
      </c>
      <c r="AW1897" s="53">
        <f t="shared" si="338"/>
        <v>0</v>
      </c>
      <c r="AX1897" s="53">
        <f t="shared" si="334"/>
        <v>21281034.399999999</v>
      </c>
      <c r="AY1897" s="41" t="s">
        <v>557</v>
      </c>
    </row>
    <row r="1898" spans="1:51" x14ac:dyDescent="0.2">
      <c r="A1898" s="41" t="s">
        <v>246</v>
      </c>
      <c r="B1898" s="41">
        <v>1915</v>
      </c>
      <c r="C1898" s="41" t="s">
        <v>101</v>
      </c>
      <c r="D1898" s="41" t="s">
        <v>137</v>
      </c>
      <c r="E1898" s="109">
        <v>61.8171949949392</v>
      </c>
      <c r="F1898" s="41" t="s">
        <v>556</v>
      </c>
      <c r="G1898" s="93">
        <v>346308.68</v>
      </c>
      <c r="H1898" s="106">
        <v>2.2924704053043081</v>
      </c>
      <c r="I1898" s="106">
        <v>0.89400155953353522</v>
      </c>
      <c r="J1898" s="131">
        <v>40.649456144154399</v>
      </c>
      <c r="R1898" s="76">
        <f t="shared" si="339"/>
        <v>31756.096000000001</v>
      </c>
      <c r="S1898" s="93">
        <v>7939.0240000000003</v>
      </c>
      <c r="T1898" s="93">
        <v>309.60050000000001</v>
      </c>
      <c r="U1898" s="93">
        <v>14077.2595</v>
      </c>
      <c r="AO1898" s="53">
        <f t="shared" si="338"/>
        <v>793902.39999999991</v>
      </c>
      <c r="AP1898" s="53">
        <f t="shared" si="338"/>
        <v>309600.5</v>
      </c>
      <c r="AQ1898" s="53">
        <f t="shared" si="338"/>
        <v>14077259.5</v>
      </c>
      <c r="AR1898" s="53">
        <f t="shared" si="338"/>
        <v>0</v>
      </c>
      <c r="AS1898" s="53">
        <f t="shared" si="338"/>
        <v>0</v>
      </c>
      <c r="AT1898" s="53">
        <f t="shared" si="338"/>
        <v>0</v>
      </c>
      <c r="AU1898" s="53">
        <f t="shared" si="338"/>
        <v>0</v>
      </c>
      <c r="AV1898" s="53">
        <f t="shared" si="338"/>
        <v>0</v>
      </c>
      <c r="AW1898" s="53">
        <f t="shared" si="338"/>
        <v>0</v>
      </c>
      <c r="AX1898" s="53">
        <f t="shared" si="334"/>
        <v>21407831.199999999</v>
      </c>
      <c r="AY1898" s="41" t="s">
        <v>557</v>
      </c>
    </row>
    <row r="1899" spans="1:51" x14ac:dyDescent="0.2">
      <c r="A1899" s="41" t="s">
        <v>246</v>
      </c>
      <c r="B1899" s="41">
        <v>1916</v>
      </c>
      <c r="C1899" s="41" t="s">
        <v>101</v>
      </c>
      <c r="D1899" s="41" t="s">
        <v>137</v>
      </c>
      <c r="E1899" s="109">
        <v>61.483276458752258</v>
      </c>
      <c r="F1899" s="41" t="s">
        <v>556</v>
      </c>
      <c r="G1899" s="93">
        <v>311396.98959999997</v>
      </c>
      <c r="H1899" s="106">
        <v>2.0349560887341349</v>
      </c>
      <c r="I1899" s="106">
        <v>0.88237365541956425</v>
      </c>
      <c r="J1899" s="131">
        <v>32.828095137114971</v>
      </c>
      <c r="R1899" s="76">
        <f t="shared" si="339"/>
        <v>25347.168000000001</v>
      </c>
      <c r="S1899" s="93">
        <v>6336.7920000000004</v>
      </c>
      <c r="T1899" s="93">
        <v>274.76850000000002</v>
      </c>
      <c r="U1899" s="93">
        <v>10222.57</v>
      </c>
      <c r="AO1899" s="53">
        <f t="shared" si="338"/>
        <v>633679.20000000007</v>
      </c>
      <c r="AP1899" s="53">
        <f t="shared" si="338"/>
        <v>274768.5</v>
      </c>
      <c r="AQ1899" s="53">
        <f t="shared" si="338"/>
        <v>10222570</v>
      </c>
      <c r="AR1899" s="53">
        <f t="shared" si="338"/>
        <v>0</v>
      </c>
      <c r="AS1899" s="53">
        <f t="shared" si="338"/>
        <v>0</v>
      </c>
      <c r="AT1899" s="53">
        <f t="shared" si="338"/>
        <v>0</v>
      </c>
      <c r="AU1899" s="53">
        <f t="shared" si="338"/>
        <v>0</v>
      </c>
      <c r="AV1899" s="53">
        <f t="shared" si="338"/>
        <v>0</v>
      </c>
      <c r="AW1899" s="53">
        <f t="shared" si="338"/>
        <v>0</v>
      </c>
      <c r="AX1899" s="53">
        <f t="shared" si="334"/>
        <v>19145707.199999999</v>
      </c>
      <c r="AY1899" s="41" t="s">
        <v>557</v>
      </c>
    </row>
    <row r="1900" spans="1:51" x14ac:dyDescent="0.2">
      <c r="A1900" s="41" t="s">
        <v>246</v>
      </c>
      <c r="B1900" s="41">
        <v>1917</v>
      </c>
      <c r="C1900" s="41" t="s">
        <v>101</v>
      </c>
      <c r="D1900" s="41" t="s">
        <v>137</v>
      </c>
      <c r="E1900" s="109">
        <v>61.639580850850209</v>
      </c>
      <c r="F1900" s="41" t="s">
        <v>556</v>
      </c>
      <c r="G1900" s="93">
        <v>254001.72720000002</v>
      </c>
      <c r="H1900" s="106">
        <v>2.3115842812268874</v>
      </c>
      <c r="I1900" s="106">
        <v>0.90764855239929254</v>
      </c>
      <c r="J1900" s="131">
        <v>37.40618894500178</v>
      </c>
      <c r="R1900" s="76">
        <f t="shared" si="339"/>
        <v>23485.856</v>
      </c>
      <c r="S1900" s="93">
        <v>5871.4639999999999</v>
      </c>
      <c r="T1900" s="93">
        <v>230.54430000000002</v>
      </c>
      <c r="U1900" s="93">
        <v>9501.2366000000002</v>
      </c>
      <c r="AO1900" s="53">
        <f t="shared" si="338"/>
        <v>587146.4</v>
      </c>
      <c r="AP1900" s="53">
        <f t="shared" si="338"/>
        <v>230544.30000000002</v>
      </c>
      <c r="AQ1900" s="53">
        <f t="shared" si="338"/>
        <v>9501236.5999999996</v>
      </c>
      <c r="AR1900" s="53">
        <f t="shared" si="338"/>
        <v>0</v>
      </c>
      <c r="AS1900" s="53">
        <f t="shared" si="338"/>
        <v>0</v>
      </c>
      <c r="AT1900" s="53">
        <f t="shared" si="338"/>
        <v>0</v>
      </c>
      <c r="AU1900" s="53">
        <f t="shared" si="338"/>
        <v>0</v>
      </c>
      <c r="AV1900" s="53">
        <f t="shared" si="338"/>
        <v>0</v>
      </c>
      <c r="AW1900" s="53">
        <f t="shared" si="338"/>
        <v>0</v>
      </c>
      <c r="AX1900" s="53">
        <f t="shared" si="334"/>
        <v>15656560</v>
      </c>
      <c r="AY1900" s="41" t="s">
        <v>557</v>
      </c>
    </row>
    <row r="1901" spans="1:51" x14ac:dyDescent="0.2">
      <c r="A1901" s="41" t="s">
        <v>246</v>
      </c>
      <c r="B1901" s="41">
        <v>1918</v>
      </c>
      <c r="C1901" s="41" t="s">
        <v>101</v>
      </c>
      <c r="D1901" s="41" t="s">
        <v>137</v>
      </c>
      <c r="E1901" s="109">
        <v>59.798427995718285</v>
      </c>
      <c r="F1901" s="41" t="s">
        <v>556</v>
      </c>
      <c r="G1901" s="93">
        <v>235295.13520000002</v>
      </c>
      <c r="H1901" s="106">
        <v>2.3705717482254176</v>
      </c>
      <c r="I1901" s="106">
        <v>0.8416867600414375</v>
      </c>
      <c r="J1901" s="131">
        <v>41.510436633965732</v>
      </c>
      <c r="R1901" s="76">
        <f t="shared" si="339"/>
        <v>22311.360000000001</v>
      </c>
      <c r="S1901" s="93">
        <v>5577.84</v>
      </c>
      <c r="T1901" s="93">
        <v>198.04480000000001</v>
      </c>
      <c r="U1901" s="93">
        <v>9767.2038000000011</v>
      </c>
      <c r="AO1901" s="53">
        <f t="shared" si="338"/>
        <v>557784</v>
      </c>
      <c r="AP1901" s="53">
        <f t="shared" si="338"/>
        <v>198044.80000000002</v>
      </c>
      <c r="AQ1901" s="53">
        <f t="shared" si="338"/>
        <v>9767203.8000000007</v>
      </c>
      <c r="AR1901" s="53">
        <f t="shared" si="338"/>
        <v>0</v>
      </c>
      <c r="AS1901" s="53">
        <f t="shared" si="338"/>
        <v>0</v>
      </c>
      <c r="AT1901" s="53">
        <f t="shared" si="338"/>
        <v>0</v>
      </c>
      <c r="AU1901" s="53">
        <f t="shared" si="338"/>
        <v>0</v>
      </c>
      <c r="AV1901" s="53">
        <f t="shared" si="338"/>
        <v>0</v>
      </c>
      <c r="AW1901" s="53">
        <f t="shared" si="338"/>
        <v>0</v>
      </c>
      <c r="AX1901" s="53">
        <f t="shared" si="334"/>
        <v>14070279.199999999</v>
      </c>
      <c r="AY1901" s="41" t="s">
        <v>557</v>
      </c>
    </row>
    <row r="1902" spans="1:51" x14ac:dyDescent="0.2">
      <c r="A1902" s="41" t="s">
        <v>246</v>
      </c>
      <c r="B1902" s="41">
        <v>1919</v>
      </c>
      <c r="C1902" s="41" t="s">
        <v>101</v>
      </c>
      <c r="D1902" s="41" t="s">
        <v>137</v>
      </c>
      <c r="E1902" s="109">
        <v>58.122104289806543</v>
      </c>
      <c r="F1902" s="41" t="s">
        <v>556</v>
      </c>
      <c r="G1902" s="93">
        <v>198654.72079999998</v>
      </c>
      <c r="H1902" s="106">
        <v>2.5643609069470452</v>
      </c>
      <c r="I1902" s="106">
        <v>0.85571890421443242</v>
      </c>
      <c r="J1902" s="131">
        <v>35.79616518229755</v>
      </c>
      <c r="R1902" s="76">
        <f t="shared" si="339"/>
        <v>20376.896000000001</v>
      </c>
      <c r="S1902" s="93">
        <v>5094.2240000000002</v>
      </c>
      <c r="T1902" s="93">
        <v>169.99260000000001</v>
      </c>
      <c r="U1902" s="93">
        <v>7111.0772000000006</v>
      </c>
      <c r="AO1902" s="53">
        <f t="shared" si="338"/>
        <v>509422.4</v>
      </c>
      <c r="AP1902" s="53">
        <f t="shared" si="338"/>
        <v>169992.6</v>
      </c>
      <c r="AQ1902" s="53">
        <f t="shared" si="338"/>
        <v>7111077.2000000002</v>
      </c>
      <c r="AR1902" s="53">
        <f t="shared" si="338"/>
        <v>0</v>
      </c>
      <c r="AS1902" s="53">
        <f t="shared" si="338"/>
        <v>0</v>
      </c>
      <c r="AT1902" s="53">
        <f t="shared" si="338"/>
        <v>0</v>
      </c>
      <c r="AU1902" s="53">
        <f t="shared" si="338"/>
        <v>0</v>
      </c>
      <c r="AV1902" s="53">
        <f t="shared" si="338"/>
        <v>0</v>
      </c>
      <c r="AW1902" s="53">
        <f t="shared" si="338"/>
        <v>0</v>
      </c>
      <c r="AX1902" s="53">
        <f t="shared" si="334"/>
        <v>11546230.4</v>
      </c>
      <c r="AY1902" s="41" t="s">
        <v>557</v>
      </c>
    </row>
    <row r="1903" spans="1:51" x14ac:dyDescent="0.2">
      <c r="A1903" s="41" t="s">
        <v>246</v>
      </c>
      <c r="B1903" s="41">
        <v>1920</v>
      </c>
      <c r="C1903" s="41" t="s">
        <v>101</v>
      </c>
      <c r="D1903" s="41" t="s">
        <v>137</v>
      </c>
      <c r="E1903" s="109">
        <v>55.380776686760939</v>
      </c>
      <c r="F1903" s="41" t="s">
        <v>556</v>
      </c>
      <c r="G1903" s="93">
        <v>202617.42560000002</v>
      </c>
      <c r="H1903" s="106">
        <v>2.4023876453793025</v>
      </c>
      <c r="I1903" s="106">
        <v>0.81626641691967095</v>
      </c>
      <c r="J1903" s="131">
        <v>26.0856828298385</v>
      </c>
      <c r="R1903" s="76">
        <f t="shared" si="339"/>
        <v>19470.624</v>
      </c>
      <c r="S1903" s="93">
        <v>4867.6559999999999</v>
      </c>
      <c r="T1903" s="93">
        <v>165.38980000000001</v>
      </c>
      <c r="U1903" s="93">
        <v>5285.4139000000005</v>
      </c>
      <c r="AO1903" s="53">
        <f t="shared" si="338"/>
        <v>486765.60000000003</v>
      </c>
      <c r="AP1903" s="53">
        <f t="shared" si="338"/>
        <v>165389.80000000002</v>
      </c>
      <c r="AQ1903" s="53">
        <f t="shared" si="338"/>
        <v>5285413.9000000004</v>
      </c>
      <c r="AR1903" s="53">
        <f t="shared" ref="AR1903:AW1934" si="340">$G1903*K1903</f>
        <v>0</v>
      </c>
      <c r="AS1903" s="53">
        <f t="shared" si="340"/>
        <v>0</v>
      </c>
      <c r="AT1903" s="53">
        <f t="shared" si="340"/>
        <v>0</v>
      </c>
      <c r="AU1903" s="53">
        <f t="shared" si="340"/>
        <v>0</v>
      </c>
      <c r="AV1903" s="53">
        <f t="shared" si="340"/>
        <v>0</v>
      </c>
      <c r="AW1903" s="53">
        <f t="shared" si="340"/>
        <v>0</v>
      </c>
      <c r="AX1903" s="53">
        <f t="shared" si="334"/>
        <v>11221110.4</v>
      </c>
      <c r="AY1903" s="41" t="s">
        <v>557</v>
      </c>
    </row>
    <row r="1904" spans="1:51" x14ac:dyDescent="0.2">
      <c r="A1904" s="41" t="s">
        <v>246</v>
      </c>
      <c r="B1904" s="41">
        <v>1921</v>
      </c>
      <c r="C1904" s="41" t="s">
        <v>101</v>
      </c>
      <c r="D1904" s="41" t="s">
        <v>137</v>
      </c>
      <c r="E1904" s="109">
        <v>47.099766791656009</v>
      </c>
      <c r="F1904" s="41" t="s">
        <v>556</v>
      </c>
      <c r="G1904" s="93">
        <v>178316.43279999998</v>
      </c>
      <c r="H1904" s="106">
        <v>3.5155032554015966</v>
      </c>
      <c r="I1904" s="106">
        <v>0.82216427111029566</v>
      </c>
      <c r="J1904" s="131">
        <v>31.920344696352632</v>
      </c>
      <c r="R1904" s="76">
        <f t="shared" si="339"/>
        <v>25074.880000000001</v>
      </c>
      <c r="S1904" s="93">
        <v>6268.72</v>
      </c>
      <c r="T1904" s="93">
        <v>146.6054</v>
      </c>
      <c r="U1904" s="93">
        <v>5691.9219999999996</v>
      </c>
      <c r="AO1904" s="53">
        <f t="shared" ref="AO1904:AW1935" si="341">$G1904*H1904</f>
        <v>626872</v>
      </c>
      <c r="AP1904" s="53">
        <f t="shared" si="341"/>
        <v>146605.4</v>
      </c>
      <c r="AQ1904" s="53">
        <f t="shared" si="341"/>
        <v>5691922</v>
      </c>
      <c r="AR1904" s="53">
        <f t="shared" si="340"/>
        <v>0</v>
      </c>
      <c r="AS1904" s="53">
        <f t="shared" si="340"/>
        <v>0</v>
      </c>
      <c r="AT1904" s="53">
        <f t="shared" si="340"/>
        <v>0</v>
      </c>
      <c r="AU1904" s="53">
        <f t="shared" si="340"/>
        <v>0</v>
      </c>
      <c r="AV1904" s="53">
        <f t="shared" si="340"/>
        <v>0</v>
      </c>
      <c r="AW1904" s="53">
        <f t="shared" si="340"/>
        <v>0</v>
      </c>
      <c r="AX1904" s="53">
        <f t="shared" si="334"/>
        <v>8398662.3999999985</v>
      </c>
      <c r="AY1904" s="41" t="s">
        <v>557</v>
      </c>
    </row>
    <row r="1905" spans="1:51" x14ac:dyDescent="0.2">
      <c r="A1905" s="41" t="s">
        <v>246</v>
      </c>
      <c r="B1905" s="41">
        <v>1922</v>
      </c>
      <c r="C1905" s="41" t="s">
        <v>101</v>
      </c>
      <c r="D1905" s="41" t="s">
        <v>137</v>
      </c>
      <c r="E1905" s="109">
        <v>11.874562545012463</v>
      </c>
      <c r="F1905" s="41" t="s">
        <v>556</v>
      </c>
      <c r="G1905" s="93">
        <v>180431.13520000002</v>
      </c>
      <c r="H1905" s="106">
        <v>3.1623455639600717</v>
      </c>
      <c r="I1905" s="106">
        <v>0.36472419201406209</v>
      </c>
      <c r="J1905" s="131">
        <v>20.631909763653695</v>
      </c>
      <c r="R1905" s="76">
        <f t="shared" si="339"/>
        <v>22823.423999999999</v>
      </c>
      <c r="S1905" s="93">
        <v>5705.8559999999998</v>
      </c>
      <c r="T1905" s="93">
        <v>65.807600000000008</v>
      </c>
      <c r="U1905" s="93">
        <v>3722.6389000000004</v>
      </c>
      <c r="AO1905" s="53">
        <f t="shared" si="341"/>
        <v>570585.59999999998</v>
      </c>
      <c r="AP1905" s="53">
        <f t="shared" si="341"/>
        <v>65807.600000000006</v>
      </c>
      <c r="AQ1905" s="53">
        <f t="shared" si="341"/>
        <v>3722638.9000000004</v>
      </c>
      <c r="AR1905" s="53">
        <f t="shared" si="340"/>
        <v>0</v>
      </c>
      <c r="AS1905" s="53">
        <f t="shared" si="340"/>
        <v>0</v>
      </c>
      <c r="AT1905" s="53">
        <f t="shared" si="340"/>
        <v>0</v>
      </c>
      <c r="AU1905" s="53">
        <f t="shared" si="340"/>
        <v>0</v>
      </c>
      <c r="AV1905" s="53">
        <f t="shared" si="340"/>
        <v>0</v>
      </c>
      <c r="AW1905" s="53">
        <f t="shared" si="340"/>
        <v>0</v>
      </c>
      <c r="AX1905" s="53">
        <f t="shared" ref="AX1905:AX1968" si="342">$G1905*E1905</f>
        <v>2142540.7999999998</v>
      </c>
      <c r="AY1905" s="41" t="s">
        <v>557</v>
      </c>
    </row>
    <row r="1906" spans="1:51" x14ac:dyDescent="0.2">
      <c r="A1906" s="41" t="s">
        <v>246</v>
      </c>
      <c r="B1906" s="41">
        <v>1923</v>
      </c>
      <c r="C1906" s="41" t="s">
        <v>101</v>
      </c>
      <c r="D1906" s="41" t="s">
        <v>137</v>
      </c>
      <c r="E1906" s="109">
        <v>6.5703959568434902</v>
      </c>
      <c r="F1906" s="41" t="s">
        <v>556</v>
      </c>
      <c r="G1906" s="93">
        <v>152421.74239999999</v>
      </c>
      <c r="H1906" s="106">
        <v>4.0340911363312166</v>
      </c>
      <c r="I1906" s="106">
        <v>0.41501559425815887</v>
      </c>
      <c r="J1906" s="131">
        <v>25.000302712718501</v>
      </c>
      <c r="R1906" s="76">
        <f t="shared" si="339"/>
        <v>24595.328000000001</v>
      </c>
      <c r="S1906" s="93">
        <v>6148.8320000000003</v>
      </c>
      <c r="T1906" s="93">
        <v>63.257400000000004</v>
      </c>
      <c r="U1906" s="93">
        <v>3810.5897</v>
      </c>
      <c r="AO1906" s="53">
        <f t="shared" si="341"/>
        <v>614883.19999999995</v>
      </c>
      <c r="AP1906" s="53">
        <f t="shared" si="341"/>
        <v>63257.400000000009</v>
      </c>
      <c r="AQ1906" s="53">
        <f t="shared" si="341"/>
        <v>3810589.7</v>
      </c>
      <c r="AR1906" s="53">
        <f t="shared" si="340"/>
        <v>0</v>
      </c>
      <c r="AS1906" s="53">
        <f t="shared" si="340"/>
        <v>0</v>
      </c>
      <c r="AT1906" s="53">
        <f t="shared" si="340"/>
        <v>0</v>
      </c>
      <c r="AU1906" s="53">
        <f t="shared" si="340"/>
        <v>0</v>
      </c>
      <c r="AV1906" s="53">
        <f t="shared" si="340"/>
        <v>0</v>
      </c>
      <c r="AW1906" s="53">
        <f t="shared" si="340"/>
        <v>0</v>
      </c>
      <c r="AX1906" s="53">
        <f t="shared" si="342"/>
        <v>1001471.2</v>
      </c>
      <c r="AY1906" s="41" t="s">
        <v>557</v>
      </c>
    </row>
    <row r="1907" spans="1:51" x14ac:dyDescent="0.2">
      <c r="A1907" s="41" t="s">
        <v>246</v>
      </c>
      <c r="B1907" s="41">
        <v>1924</v>
      </c>
      <c r="C1907" s="41" t="s">
        <v>101</v>
      </c>
      <c r="D1907" s="41" t="s">
        <v>137</v>
      </c>
      <c r="E1907" s="109">
        <v>6.7839679619222846</v>
      </c>
      <c r="F1907" s="41" t="s">
        <v>556</v>
      </c>
      <c r="G1907" s="93">
        <v>162569.7536</v>
      </c>
      <c r="H1907" s="88">
        <v>5.96</v>
      </c>
      <c r="I1907" s="106">
        <v>0.43980444342630787</v>
      </c>
      <c r="J1907" s="103">
        <v>32.140748031496067</v>
      </c>
      <c r="R1907" s="76">
        <f t="shared" si="339"/>
        <v>27220.671999999999</v>
      </c>
      <c r="S1907" s="93">
        <v>6805.1679999999997</v>
      </c>
      <c r="T1907" s="93">
        <v>71.498900000000006</v>
      </c>
      <c r="U1907" s="93">
        <v>4583.3936000000003</v>
      </c>
      <c r="AO1907" s="53">
        <f t="shared" si="341"/>
        <v>968915.73145600001</v>
      </c>
      <c r="AP1907" s="53">
        <f t="shared" si="341"/>
        <v>71498.900000000009</v>
      </c>
      <c r="AQ1907" s="53">
        <f t="shared" si="341"/>
        <v>5225113.4880000008</v>
      </c>
      <c r="AR1907" s="53">
        <f t="shared" si="340"/>
        <v>0</v>
      </c>
      <c r="AS1907" s="53">
        <f t="shared" si="340"/>
        <v>0</v>
      </c>
      <c r="AT1907" s="53">
        <f t="shared" si="340"/>
        <v>0</v>
      </c>
      <c r="AU1907" s="53">
        <f t="shared" si="340"/>
        <v>0</v>
      </c>
      <c r="AV1907" s="53">
        <f t="shared" si="340"/>
        <v>0</v>
      </c>
      <c r="AW1907" s="53">
        <f t="shared" si="340"/>
        <v>0</v>
      </c>
      <c r="AX1907" s="53">
        <f t="shared" si="342"/>
        <v>1102868</v>
      </c>
      <c r="AY1907" s="41" t="s">
        <v>557</v>
      </c>
    </row>
    <row r="1908" spans="1:51" x14ac:dyDescent="0.2">
      <c r="A1908" s="41" t="s">
        <v>246</v>
      </c>
      <c r="B1908" s="41">
        <v>1925</v>
      </c>
      <c r="C1908" s="41" t="s">
        <v>101</v>
      </c>
      <c r="D1908" s="41" t="s">
        <v>137</v>
      </c>
      <c r="E1908" s="109">
        <v>6.2998202097023119</v>
      </c>
      <c r="F1908" s="41" t="s">
        <v>556</v>
      </c>
      <c r="G1908" s="93">
        <v>127713.232</v>
      </c>
      <c r="H1908" s="88">
        <v>6.06</v>
      </c>
      <c r="I1908" s="88">
        <v>0.61220472440944884</v>
      </c>
      <c r="J1908" s="103">
        <v>32.446850393700785</v>
      </c>
      <c r="R1908" s="76">
        <f t="shared" si="339"/>
        <v>26574.495999999999</v>
      </c>
      <c r="S1908" s="93">
        <v>6643.6239999999998</v>
      </c>
      <c r="T1908" s="93">
        <v>70.41040000000001</v>
      </c>
      <c r="U1908" s="93">
        <v>4142.2401</v>
      </c>
      <c r="AO1908" s="53">
        <f t="shared" si="341"/>
        <v>773942.18591999996</v>
      </c>
      <c r="AP1908" s="53">
        <f t="shared" si="341"/>
        <v>78186.644</v>
      </c>
      <c r="AQ1908" s="53">
        <f t="shared" si="341"/>
        <v>4143892.1319999998</v>
      </c>
      <c r="AR1908" s="53">
        <f t="shared" si="340"/>
        <v>0</v>
      </c>
      <c r="AS1908" s="53">
        <f t="shared" si="340"/>
        <v>0</v>
      </c>
      <c r="AT1908" s="53">
        <f t="shared" si="340"/>
        <v>0</v>
      </c>
      <c r="AU1908" s="53">
        <f t="shared" si="340"/>
        <v>0</v>
      </c>
      <c r="AV1908" s="53">
        <f t="shared" si="340"/>
        <v>0</v>
      </c>
      <c r="AW1908" s="53">
        <f t="shared" si="340"/>
        <v>0</v>
      </c>
      <c r="AX1908" s="53">
        <f t="shared" si="342"/>
        <v>804570.4</v>
      </c>
      <c r="AY1908" s="41" t="s">
        <v>557</v>
      </c>
    </row>
    <row r="1909" spans="1:51" x14ac:dyDescent="0.2">
      <c r="A1909" s="41" t="s">
        <v>246</v>
      </c>
      <c r="B1909" s="41">
        <v>1926</v>
      </c>
      <c r="C1909" s="41" t="s">
        <v>101</v>
      </c>
      <c r="D1909" s="41" t="s">
        <v>137</v>
      </c>
      <c r="E1909" s="109">
        <v>3.8883881012865689</v>
      </c>
      <c r="F1909" s="41" t="s">
        <v>556</v>
      </c>
      <c r="G1909" s="93">
        <v>123982.48</v>
      </c>
      <c r="H1909" s="106">
        <v>5.666639350979267</v>
      </c>
      <c r="I1909" s="106">
        <v>0.57844140559214507</v>
      </c>
      <c r="J1909" s="106">
        <v>33.760057872692983</v>
      </c>
      <c r="R1909" s="76">
        <f t="shared" si="339"/>
        <v>28102.560000000001</v>
      </c>
      <c r="S1909" s="93">
        <v>7025.64</v>
      </c>
      <c r="T1909" s="93">
        <v>71.7166</v>
      </c>
      <c r="U1909" s="93">
        <v>4185.6557000000003</v>
      </c>
      <c r="AO1909" s="53">
        <f t="shared" si="341"/>
        <v>702563.99999999988</v>
      </c>
      <c r="AP1909" s="53">
        <f t="shared" si="341"/>
        <v>71716.600000000006</v>
      </c>
      <c r="AQ1909" s="53">
        <f t="shared" si="341"/>
        <v>4185655.7</v>
      </c>
      <c r="AR1909" s="53">
        <f t="shared" si="340"/>
        <v>0</v>
      </c>
      <c r="AS1909" s="53">
        <f t="shared" si="340"/>
        <v>0</v>
      </c>
      <c r="AT1909" s="53">
        <f t="shared" si="340"/>
        <v>0</v>
      </c>
      <c r="AU1909" s="53">
        <f t="shared" si="340"/>
        <v>0</v>
      </c>
      <c r="AV1909" s="53">
        <f t="shared" si="340"/>
        <v>0</v>
      </c>
      <c r="AW1909" s="53">
        <f t="shared" si="340"/>
        <v>0</v>
      </c>
      <c r="AX1909" s="53">
        <f t="shared" si="342"/>
        <v>482092</v>
      </c>
      <c r="AY1909" s="41" t="s">
        <v>557</v>
      </c>
    </row>
    <row r="1910" spans="1:51" x14ac:dyDescent="0.2">
      <c r="A1910" s="41" t="s">
        <v>246</v>
      </c>
      <c r="B1910" s="41">
        <v>1927</v>
      </c>
      <c r="C1910" s="41" t="s">
        <v>101</v>
      </c>
      <c r="D1910" s="41" t="s">
        <v>137</v>
      </c>
      <c r="E1910" s="109">
        <v>0.76846034781025219</v>
      </c>
      <c r="F1910" s="41" t="s">
        <v>556</v>
      </c>
      <c r="G1910" s="93">
        <v>111587.28</v>
      </c>
      <c r="H1910" s="106">
        <v>5.2909041245561319</v>
      </c>
      <c r="I1910" s="106">
        <v>0.78009697879543272</v>
      </c>
      <c r="J1910" s="106">
        <v>28.206957818131244</v>
      </c>
      <c r="R1910" s="76">
        <f t="shared" si="339"/>
        <v>23615.903999999999</v>
      </c>
      <c r="S1910" s="93">
        <v>5903.9759999999997</v>
      </c>
      <c r="T1910" s="93">
        <v>87.048900000000003</v>
      </c>
      <c r="U1910" s="93">
        <v>3147.5377000000003</v>
      </c>
      <c r="AO1910" s="53">
        <f t="shared" si="341"/>
        <v>590397.6</v>
      </c>
      <c r="AP1910" s="53">
        <f t="shared" si="341"/>
        <v>87048.900000000009</v>
      </c>
      <c r="AQ1910" s="53">
        <f t="shared" si="341"/>
        <v>3147537.7</v>
      </c>
      <c r="AR1910" s="53">
        <f t="shared" si="340"/>
        <v>0</v>
      </c>
      <c r="AS1910" s="53">
        <f t="shared" si="340"/>
        <v>0</v>
      </c>
      <c r="AT1910" s="53">
        <f t="shared" si="340"/>
        <v>0</v>
      </c>
      <c r="AU1910" s="53">
        <f t="shared" si="340"/>
        <v>0</v>
      </c>
      <c r="AV1910" s="53">
        <f t="shared" si="340"/>
        <v>0</v>
      </c>
      <c r="AW1910" s="53">
        <f t="shared" si="340"/>
        <v>0</v>
      </c>
      <c r="AX1910" s="53">
        <f t="shared" si="342"/>
        <v>85750.399999999994</v>
      </c>
      <c r="AY1910" s="41" t="s">
        <v>557</v>
      </c>
    </row>
    <row r="1911" spans="1:51" x14ac:dyDescent="0.2">
      <c r="A1911" s="41" t="s">
        <v>246</v>
      </c>
      <c r="B1911" s="41">
        <v>1928</v>
      </c>
      <c r="C1911" s="41" t="s">
        <v>101</v>
      </c>
      <c r="D1911" s="41" t="s">
        <v>137</v>
      </c>
      <c r="E1911" s="109">
        <v>0.41879652751140928</v>
      </c>
      <c r="F1911" s="41" t="s">
        <v>556</v>
      </c>
      <c r="G1911" s="93">
        <v>129790.952</v>
      </c>
      <c r="H1911" s="62">
        <v>5.8</v>
      </c>
      <c r="I1911" s="106">
        <v>0.69848089256637858</v>
      </c>
      <c r="J1911" s="106">
        <v>25.224385440982047</v>
      </c>
      <c r="R1911" s="76">
        <f t="shared" si="339"/>
        <v>26094.944</v>
      </c>
      <c r="S1911" s="93">
        <v>6523.7359999999999</v>
      </c>
      <c r="T1911" s="93">
        <v>90.656499999999994</v>
      </c>
      <c r="U1911" s="93">
        <v>3273.8969999999999</v>
      </c>
      <c r="AO1911" s="53">
        <f t="shared" si="341"/>
        <v>752787.52159999998</v>
      </c>
      <c r="AP1911" s="53">
        <f t="shared" si="341"/>
        <v>90656.5</v>
      </c>
      <c r="AQ1911" s="53">
        <f t="shared" si="341"/>
        <v>3273897</v>
      </c>
      <c r="AR1911" s="53">
        <f t="shared" si="340"/>
        <v>0</v>
      </c>
      <c r="AS1911" s="53">
        <f t="shared" si="340"/>
        <v>0</v>
      </c>
      <c r="AT1911" s="53">
        <f t="shared" si="340"/>
        <v>0</v>
      </c>
      <c r="AU1911" s="53">
        <f t="shared" si="340"/>
        <v>0</v>
      </c>
      <c r="AV1911" s="53">
        <f t="shared" si="340"/>
        <v>0</v>
      </c>
      <c r="AW1911" s="53">
        <f t="shared" si="340"/>
        <v>0</v>
      </c>
      <c r="AX1911" s="53">
        <f t="shared" si="342"/>
        <v>54356</v>
      </c>
      <c r="AY1911" s="41" t="s">
        <v>557</v>
      </c>
    </row>
    <row r="1912" spans="1:51" x14ac:dyDescent="0.2">
      <c r="A1912" s="41" t="s">
        <v>246</v>
      </c>
      <c r="B1912" s="41">
        <v>1929</v>
      </c>
      <c r="C1912" s="41" t="s">
        <v>101</v>
      </c>
      <c r="D1912" s="41" t="s">
        <v>137</v>
      </c>
      <c r="E1912" s="109">
        <v>0.65727746642114926</v>
      </c>
      <c r="F1912" s="41" t="s">
        <v>556</v>
      </c>
      <c r="G1912" s="93">
        <v>202495.91200000001</v>
      </c>
      <c r="H1912" s="62">
        <v>4.95</v>
      </c>
      <c r="I1912" s="106">
        <v>0.69173939669458606</v>
      </c>
      <c r="J1912" s="106">
        <v>22.949038102063017</v>
      </c>
      <c r="R1912" s="76">
        <f t="shared" si="339"/>
        <v>35226.752</v>
      </c>
      <c r="S1912" s="93">
        <v>8806.6880000000001</v>
      </c>
      <c r="T1912" s="93">
        <v>140.0744</v>
      </c>
      <c r="U1912" s="93">
        <v>4647.0864000000001</v>
      </c>
      <c r="AO1912" s="53">
        <f t="shared" si="341"/>
        <v>1002354.7644000001</v>
      </c>
      <c r="AP1912" s="53">
        <f t="shared" si="341"/>
        <v>140074.4</v>
      </c>
      <c r="AQ1912" s="53">
        <f t="shared" si="341"/>
        <v>4647086.4000000004</v>
      </c>
      <c r="AR1912" s="53">
        <f t="shared" si="340"/>
        <v>0</v>
      </c>
      <c r="AS1912" s="53">
        <f t="shared" si="340"/>
        <v>0</v>
      </c>
      <c r="AT1912" s="53">
        <f t="shared" si="340"/>
        <v>0</v>
      </c>
      <c r="AU1912" s="53">
        <f t="shared" si="340"/>
        <v>0</v>
      </c>
      <c r="AV1912" s="53">
        <f t="shared" si="340"/>
        <v>0</v>
      </c>
      <c r="AW1912" s="53">
        <f t="shared" si="340"/>
        <v>0</v>
      </c>
      <c r="AX1912" s="53">
        <f t="shared" si="342"/>
        <v>133096</v>
      </c>
      <c r="AY1912" s="41" t="s">
        <v>557</v>
      </c>
    </row>
    <row r="1913" spans="1:51" x14ac:dyDescent="0.2">
      <c r="A1913" s="41" t="s">
        <v>246</v>
      </c>
      <c r="B1913" s="41">
        <v>1930</v>
      </c>
      <c r="C1913" s="41" t="s">
        <v>101</v>
      </c>
      <c r="D1913" s="41" t="s">
        <v>137</v>
      </c>
      <c r="E1913" s="109">
        <v>0</v>
      </c>
      <c r="F1913" s="41" t="s">
        <v>556</v>
      </c>
      <c r="G1913" s="93">
        <v>257262.37599999999</v>
      </c>
      <c r="H1913" s="106">
        <v>3.9259747799266225</v>
      </c>
      <c r="I1913" s="106">
        <v>0.45865004372034568</v>
      </c>
      <c r="J1913" s="106">
        <v>22.120012216632876</v>
      </c>
      <c r="R1913" s="76">
        <f t="shared" si="339"/>
        <v>40400.224000000002</v>
      </c>
      <c r="S1913" s="93">
        <v>10100.056</v>
      </c>
      <c r="T1913" s="93">
        <v>117.99340000000001</v>
      </c>
      <c r="U1913" s="93">
        <v>5690.6469000000006</v>
      </c>
      <c r="AO1913" s="53">
        <f t="shared" si="341"/>
        <v>1010005.6</v>
      </c>
      <c r="AP1913" s="53">
        <f t="shared" si="341"/>
        <v>117993.40000000001</v>
      </c>
      <c r="AQ1913" s="53">
        <f t="shared" si="341"/>
        <v>5690646.9000000004</v>
      </c>
      <c r="AR1913" s="53">
        <f t="shared" si="340"/>
        <v>0</v>
      </c>
      <c r="AS1913" s="53">
        <f t="shared" si="340"/>
        <v>0</v>
      </c>
      <c r="AT1913" s="53">
        <f t="shared" si="340"/>
        <v>0</v>
      </c>
      <c r="AU1913" s="53">
        <f t="shared" si="340"/>
        <v>0</v>
      </c>
      <c r="AV1913" s="53">
        <f t="shared" si="340"/>
        <v>0</v>
      </c>
      <c r="AW1913" s="53">
        <f t="shared" si="340"/>
        <v>0</v>
      </c>
      <c r="AX1913" s="53">
        <f t="shared" si="342"/>
        <v>0</v>
      </c>
      <c r="AY1913" s="41" t="s">
        <v>557</v>
      </c>
    </row>
    <row r="1914" spans="1:51" x14ac:dyDescent="0.2">
      <c r="A1914" s="41" t="s">
        <v>246</v>
      </c>
      <c r="B1914" s="41">
        <v>1931</v>
      </c>
      <c r="C1914" s="41" t="s">
        <v>101</v>
      </c>
      <c r="D1914" s="41" t="s">
        <v>137</v>
      </c>
      <c r="E1914" s="109">
        <v>0</v>
      </c>
      <c r="F1914" s="41" t="s">
        <v>556</v>
      </c>
      <c r="G1914" s="93">
        <v>313894.21600000001</v>
      </c>
      <c r="H1914" s="88">
        <v>3.5</v>
      </c>
      <c r="I1914" s="106">
        <v>0.37609995336772944</v>
      </c>
      <c r="J1914" s="106">
        <v>14.741017719166893</v>
      </c>
      <c r="R1914" s="76">
        <f t="shared" si="339"/>
        <v>41107.360000000001</v>
      </c>
      <c r="S1914" s="93">
        <v>10276.84</v>
      </c>
      <c r="T1914" s="93">
        <v>118.05560000000001</v>
      </c>
      <c r="U1914" s="93">
        <v>4627.1202000000003</v>
      </c>
      <c r="AO1914" s="53">
        <f t="shared" si="341"/>
        <v>1098629.7560000001</v>
      </c>
      <c r="AP1914" s="53">
        <f t="shared" si="341"/>
        <v>118055.6</v>
      </c>
      <c r="AQ1914" s="53">
        <f t="shared" si="341"/>
        <v>4627120.2</v>
      </c>
      <c r="AR1914" s="53">
        <f t="shared" si="340"/>
        <v>0</v>
      </c>
      <c r="AS1914" s="53">
        <f t="shared" si="340"/>
        <v>0</v>
      </c>
      <c r="AT1914" s="53">
        <f t="shared" si="340"/>
        <v>0</v>
      </c>
      <c r="AU1914" s="53">
        <f t="shared" si="340"/>
        <v>0</v>
      </c>
      <c r="AV1914" s="53">
        <f t="shared" si="340"/>
        <v>0</v>
      </c>
      <c r="AW1914" s="53">
        <f t="shared" si="340"/>
        <v>0</v>
      </c>
      <c r="AX1914" s="53">
        <f t="shared" si="342"/>
        <v>0</v>
      </c>
      <c r="AY1914" s="41" t="s">
        <v>557</v>
      </c>
    </row>
    <row r="1915" spans="1:51" x14ac:dyDescent="0.2">
      <c r="A1915" s="41" t="s">
        <v>246</v>
      </c>
      <c r="B1915" s="41">
        <v>1932</v>
      </c>
      <c r="C1915" s="41" t="s">
        <v>101</v>
      </c>
      <c r="D1915" s="41" t="s">
        <v>137</v>
      </c>
      <c r="E1915" s="109">
        <v>0</v>
      </c>
      <c r="F1915" s="41" t="s">
        <v>556</v>
      </c>
      <c r="G1915" s="93">
        <v>245157.75200000001</v>
      </c>
      <c r="H1915" s="62">
        <v>3.35</v>
      </c>
      <c r="I1915" s="106">
        <v>0.62527861652116956</v>
      </c>
      <c r="J1915" s="106">
        <v>20.504292680902051</v>
      </c>
      <c r="R1915" s="76">
        <f t="shared" si="339"/>
        <v>44655.232000000004</v>
      </c>
      <c r="S1915" s="93">
        <v>11163.808000000001</v>
      </c>
      <c r="T1915" s="93">
        <v>153.2919</v>
      </c>
      <c r="U1915" s="93">
        <v>5026.7862999999998</v>
      </c>
      <c r="AO1915" s="53">
        <f t="shared" si="341"/>
        <v>821278.46920000005</v>
      </c>
      <c r="AP1915" s="53">
        <f t="shared" si="341"/>
        <v>153291.9</v>
      </c>
      <c r="AQ1915" s="53">
        <f t="shared" si="341"/>
        <v>5026786.3</v>
      </c>
      <c r="AR1915" s="53">
        <f t="shared" si="340"/>
        <v>0</v>
      </c>
      <c r="AS1915" s="53">
        <f t="shared" si="340"/>
        <v>0</v>
      </c>
      <c r="AT1915" s="53">
        <f t="shared" si="340"/>
        <v>0</v>
      </c>
      <c r="AU1915" s="53">
        <f t="shared" si="340"/>
        <v>0</v>
      </c>
      <c r="AV1915" s="53">
        <f t="shared" si="340"/>
        <v>0</v>
      </c>
      <c r="AW1915" s="53">
        <f t="shared" si="340"/>
        <v>0</v>
      </c>
      <c r="AX1915" s="53">
        <f t="shared" si="342"/>
        <v>0</v>
      </c>
      <c r="AY1915" s="41" t="s">
        <v>557</v>
      </c>
    </row>
    <row r="1916" spans="1:51" x14ac:dyDescent="0.2">
      <c r="A1916" s="41" t="s">
        <v>246</v>
      </c>
      <c r="B1916" s="41">
        <v>1933</v>
      </c>
      <c r="C1916" s="41" t="s">
        <v>101</v>
      </c>
      <c r="D1916" s="41" t="s">
        <v>137</v>
      </c>
      <c r="E1916" s="110">
        <v>5</v>
      </c>
      <c r="F1916" s="41" t="s">
        <v>556</v>
      </c>
      <c r="G1916" s="93">
        <v>434662.07199999999</v>
      </c>
      <c r="H1916" s="62">
        <v>2.79</v>
      </c>
      <c r="I1916" s="106">
        <v>0.40332642595970514</v>
      </c>
      <c r="J1916" s="106">
        <v>9.1270401895107156</v>
      </c>
      <c r="R1916" s="76">
        <f t="shared" si="339"/>
        <v>42797.984000000004</v>
      </c>
      <c r="S1916" s="93">
        <v>10699.496000000001</v>
      </c>
      <c r="T1916" s="93">
        <v>175.31070000000003</v>
      </c>
      <c r="U1916" s="93">
        <v>3967.1782000000003</v>
      </c>
      <c r="AO1916" s="53">
        <f t="shared" si="341"/>
        <v>1212707.1808799999</v>
      </c>
      <c r="AP1916" s="53">
        <f t="shared" si="341"/>
        <v>175310.7</v>
      </c>
      <c r="AQ1916" s="53">
        <f t="shared" si="341"/>
        <v>3967178.2</v>
      </c>
      <c r="AR1916" s="53">
        <f t="shared" si="340"/>
        <v>0</v>
      </c>
      <c r="AS1916" s="53">
        <f t="shared" si="340"/>
        <v>0</v>
      </c>
      <c r="AT1916" s="53">
        <f t="shared" si="340"/>
        <v>0</v>
      </c>
      <c r="AU1916" s="53">
        <f t="shared" si="340"/>
        <v>0</v>
      </c>
      <c r="AV1916" s="53">
        <f t="shared" si="340"/>
        <v>0</v>
      </c>
      <c r="AW1916" s="53">
        <f t="shared" si="340"/>
        <v>0</v>
      </c>
      <c r="AX1916" s="53">
        <f t="shared" si="342"/>
        <v>2173310.36</v>
      </c>
      <c r="AY1916" s="41" t="s">
        <v>557</v>
      </c>
    </row>
    <row r="1917" spans="1:51" x14ac:dyDescent="0.2">
      <c r="A1917" s="41" t="s">
        <v>246</v>
      </c>
      <c r="B1917" s="41">
        <v>1934</v>
      </c>
      <c r="C1917" s="41" t="s">
        <v>101</v>
      </c>
      <c r="D1917" s="41" t="s">
        <v>137</v>
      </c>
      <c r="E1917" s="110">
        <v>20</v>
      </c>
      <c r="F1917" s="41" t="s">
        <v>556</v>
      </c>
      <c r="G1917" s="93">
        <v>526821.4</v>
      </c>
      <c r="H1917" s="62">
        <v>2.5</v>
      </c>
      <c r="I1917" s="106">
        <v>0.28879085018186429</v>
      </c>
      <c r="J1917" s="106">
        <v>5.3095130531903223</v>
      </c>
      <c r="R1917" s="76">
        <f t="shared" si="339"/>
        <v>33357.311999999998</v>
      </c>
      <c r="S1917" s="93">
        <v>8339.3279999999995</v>
      </c>
      <c r="T1917" s="93">
        <v>152.1412</v>
      </c>
      <c r="U1917" s="93">
        <v>2797.1651000000002</v>
      </c>
      <c r="AO1917" s="53">
        <f t="shared" si="341"/>
        <v>1317053.5</v>
      </c>
      <c r="AP1917" s="53">
        <f t="shared" si="341"/>
        <v>152141.20000000001</v>
      </c>
      <c r="AQ1917" s="53">
        <f t="shared" si="341"/>
        <v>2797165.1</v>
      </c>
      <c r="AR1917" s="53">
        <f t="shared" si="340"/>
        <v>0</v>
      </c>
      <c r="AS1917" s="53">
        <f t="shared" si="340"/>
        <v>0</v>
      </c>
      <c r="AT1917" s="53">
        <f t="shared" si="340"/>
        <v>0</v>
      </c>
      <c r="AU1917" s="53">
        <f t="shared" si="340"/>
        <v>0</v>
      </c>
      <c r="AV1917" s="53">
        <f t="shared" si="340"/>
        <v>0</v>
      </c>
      <c r="AW1917" s="53">
        <f t="shared" si="340"/>
        <v>0</v>
      </c>
      <c r="AX1917" s="53">
        <f t="shared" si="342"/>
        <v>10536428</v>
      </c>
      <c r="AY1917" s="41" t="s">
        <v>557</v>
      </c>
    </row>
    <row r="1918" spans="1:51" x14ac:dyDescent="0.2">
      <c r="A1918" s="41" t="s">
        <v>246</v>
      </c>
      <c r="B1918" s="41">
        <v>1935</v>
      </c>
      <c r="C1918" s="41" t="s">
        <v>101</v>
      </c>
      <c r="D1918" s="41" t="s">
        <v>137</v>
      </c>
      <c r="E1918" s="110">
        <v>35</v>
      </c>
      <c r="F1918" s="41" t="s">
        <v>556</v>
      </c>
      <c r="G1918" s="93">
        <v>573268.85600000003</v>
      </c>
      <c r="H1918" s="62">
        <v>2.2200000000000002</v>
      </c>
      <c r="I1918" s="106">
        <v>0.39103606912146649</v>
      </c>
      <c r="J1918" s="106">
        <v>7.7383694466737261</v>
      </c>
      <c r="R1918" s="76">
        <f t="shared" si="339"/>
        <v>57212.991999999998</v>
      </c>
      <c r="S1918" s="93">
        <v>14303.248</v>
      </c>
      <c r="T1918" s="93">
        <v>224.1688</v>
      </c>
      <c r="U1918" s="93">
        <v>4436.1662000000006</v>
      </c>
      <c r="AO1918" s="53">
        <f t="shared" si="341"/>
        <v>1272656.8603200002</v>
      </c>
      <c r="AP1918" s="53">
        <f t="shared" si="341"/>
        <v>224168.80000000002</v>
      </c>
      <c r="AQ1918" s="53">
        <f t="shared" si="341"/>
        <v>4436166.2</v>
      </c>
      <c r="AR1918" s="53">
        <f t="shared" si="340"/>
        <v>0</v>
      </c>
      <c r="AS1918" s="53">
        <f t="shared" si="340"/>
        <v>0</v>
      </c>
      <c r="AT1918" s="53">
        <f t="shared" si="340"/>
        <v>0</v>
      </c>
      <c r="AU1918" s="53">
        <f t="shared" si="340"/>
        <v>0</v>
      </c>
      <c r="AV1918" s="53">
        <f t="shared" si="340"/>
        <v>0</v>
      </c>
      <c r="AW1918" s="53">
        <f t="shared" si="340"/>
        <v>0</v>
      </c>
      <c r="AX1918" s="53">
        <f t="shared" si="342"/>
        <v>20064409.960000001</v>
      </c>
      <c r="AY1918" s="41" t="s">
        <v>557</v>
      </c>
    </row>
    <row r="1919" spans="1:51" x14ac:dyDescent="0.2">
      <c r="A1919" s="41" t="s">
        <v>246</v>
      </c>
      <c r="B1919" s="41">
        <v>1936</v>
      </c>
      <c r="C1919" s="41" t="s">
        <v>101</v>
      </c>
      <c r="D1919" s="41" t="s">
        <v>137</v>
      </c>
      <c r="E1919" s="62">
        <v>60</v>
      </c>
      <c r="F1919" s="41" t="s">
        <v>556</v>
      </c>
      <c r="G1919" s="93">
        <v>676068.75199999998</v>
      </c>
      <c r="H1919" s="62">
        <v>2.06</v>
      </c>
      <c r="I1919" s="106">
        <v>0.33194493804973257</v>
      </c>
      <c r="J1919" s="106">
        <v>4.7468218143589045</v>
      </c>
      <c r="R1919" s="76">
        <f t="shared" si="339"/>
        <v>52994.559999999998</v>
      </c>
      <c r="S1919" s="93">
        <v>13248.64</v>
      </c>
      <c r="T1919" s="93">
        <v>224.41759999999999</v>
      </c>
      <c r="U1919" s="93">
        <v>3209.1779000000006</v>
      </c>
      <c r="AO1919" s="53">
        <f t="shared" si="341"/>
        <v>1392701.6291199999</v>
      </c>
      <c r="AP1919" s="53">
        <f t="shared" si="341"/>
        <v>224417.6</v>
      </c>
      <c r="AQ1919" s="53">
        <f t="shared" si="341"/>
        <v>3209177.9</v>
      </c>
      <c r="AR1919" s="53">
        <f t="shared" si="340"/>
        <v>0</v>
      </c>
      <c r="AS1919" s="53">
        <f t="shared" si="340"/>
        <v>0</v>
      </c>
      <c r="AT1919" s="53">
        <f t="shared" si="340"/>
        <v>0</v>
      </c>
      <c r="AU1919" s="53">
        <f t="shared" si="340"/>
        <v>0</v>
      </c>
      <c r="AV1919" s="53">
        <f t="shared" si="340"/>
        <v>0</v>
      </c>
      <c r="AW1919" s="53">
        <f t="shared" si="340"/>
        <v>0</v>
      </c>
      <c r="AX1919" s="53">
        <f t="shared" si="342"/>
        <v>40564125.119999997</v>
      </c>
      <c r="AY1919" s="41" t="s">
        <v>557</v>
      </c>
    </row>
    <row r="1920" spans="1:51" x14ac:dyDescent="0.2">
      <c r="A1920" s="41" t="s">
        <v>246</v>
      </c>
      <c r="B1920" s="41">
        <v>1937</v>
      </c>
      <c r="C1920" s="41" t="s">
        <v>101</v>
      </c>
      <c r="D1920" s="41" t="s">
        <v>137</v>
      </c>
      <c r="E1920" s="93">
        <v>77</v>
      </c>
      <c r="F1920" s="41" t="s">
        <v>556</v>
      </c>
      <c r="G1920" s="93">
        <v>854889.83200000005</v>
      </c>
      <c r="H1920" s="62">
        <v>1.67</v>
      </c>
      <c r="I1920" s="106">
        <v>0.23060620517475053</v>
      </c>
      <c r="J1920" s="106">
        <v>3.0279296853304953</v>
      </c>
      <c r="R1920" s="76">
        <f t="shared" si="339"/>
        <v>52356.512000000002</v>
      </c>
      <c r="S1920" s="93">
        <v>13089.128000000001</v>
      </c>
      <c r="T1920" s="93">
        <v>197.14290000000003</v>
      </c>
      <c r="U1920" s="93">
        <v>2588.5463000000004</v>
      </c>
      <c r="AO1920" s="53">
        <f t="shared" si="341"/>
        <v>1427666.0194399999</v>
      </c>
      <c r="AP1920" s="53">
        <f t="shared" si="341"/>
        <v>197142.90000000002</v>
      </c>
      <c r="AQ1920" s="53">
        <f t="shared" si="341"/>
        <v>2588546.3000000003</v>
      </c>
      <c r="AR1920" s="53">
        <f t="shared" si="340"/>
        <v>0</v>
      </c>
      <c r="AS1920" s="53">
        <f t="shared" si="340"/>
        <v>0</v>
      </c>
      <c r="AT1920" s="53">
        <f t="shared" si="340"/>
        <v>0</v>
      </c>
      <c r="AU1920" s="53">
        <f t="shared" si="340"/>
        <v>0</v>
      </c>
      <c r="AV1920" s="53">
        <f t="shared" si="340"/>
        <v>0</v>
      </c>
      <c r="AW1920" s="53">
        <f t="shared" si="340"/>
        <v>0</v>
      </c>
      <c r="AX1920" s="53">
        <f t="shared" si="342"/>
        <v>65826517.064000003</v>
      </c>
      <c r="AY1920" s="41" t="s">
        <v>557</v>
      </c>
    </row>
    <row r="1921" spans="1:51" x14ac:dyDescent="0.2">
      <c r="A1921" s="41" t="s">
        <v>246</v>
      </c>
      <c r="B1921" s="41">
        <v>1938</v>
      </c>
      <c r="C1921" s="41" t="s">
        <v>101</v>
      </c>
      <c r="D1921" s="41" t="s">
        <v>137</v>
      </c>
      <c r="E1921" s="109">
        <v>83.092466007805015</v>
      </c>
      <c r="F1921" s="41" t="s">
        <v>556</v>
      </c>
      <c r="G1921" s="93">
        <v>1048642.048</v>
      </c>
      <c r="H1921" s="62">
        <v>1.43</v>
      </c>
      <c r="I1921" s="106">
        <v>0.23628053106640257</v>
      </c>
      <c r="J1921" s="106">
        <v>1.9922657154407757</v>
      </c>
      <c r="R1921" s="76">
        <f t="shared" si="339"/>
        <v>51921.664000000004</v>
      </c>
      <c r="S1921" s="93">
        <v>12980.416000000001</v>
      </c>
      <c r="T1921" s="93">
        <v>247.77370000000002</v>
      </c>
      <c r="U1921" s="93">
        <v>2089.1736000000001</v>
      </c>
      <c r="AO1921" s="53">
        <f t="shared" si="341"/>
        <v>1499558.1286399998</v>
      </c>
      <c r="AP1921" s="53">
        <f t="shared" si="341"/>
        <v>247773.7</v>
      </c>
      <c r="AQ1921" s="53">
        <f t="shared" si="341"/>
        <v>2089173.6</v>
      </c>
      <c r="AR1921" s="53">
        <f t="shared" si="340"/>
        <v>0</v>
      </c>
      <c r="AS1921" s="53">
        <f t="shared" si="340"/>
        <v>0</v>
      </c>
      <c r="AT1921" s="53">
        <f t="shared" si="340"/>
        <v>0</v>
      </c>
      <c r="AU1921" s="53">
        <f t="shared" si="340"/>
        <v>0</v>
      </c>
      <c r="AV1921" s="53">
        <f t="shared" si="340"/>
        <v>0</v>
      </c>
      <c r="AW1921" s="53">
        <f t="shared" si="340"/>
        <v>0</v>
      </c>
      <c r="AX1921" s="53">
        <f t="shared" si="342"/>
        <v>87134253.727795035</v>
      </c>
      <c r="AY1921" s="41" t="s">
        <v>557</v>
      </c>
    </row>
    <row r="1922" spans="1:51" x14ac:dyDescent="0.2">
      <c r="A1922" s="41" t="s">
        <v>246</v>
      </c>
      <c r="B1922" s="41">
        <v>1939</v>
      </c>
      <c r="C1922" s="41" t="s">
        <v>101</v>
      </c>
      <c r="D1922" s="41" t="s">
        <v>137</v>
      </c>
      <c r="E1922" s="109">
        <v>82.315516450840107</v>
      </c>
      <c r="F1922" s="41" t="s">
        <v>556</v>
      </c>
      <c r="G1922" s="93">
        <v>1103307.9280000001</v>
      </c>
      <c r="H1922" s="62">
        <v>1.34</v>
      </c>
      <c r="I1922" s="106">
        <v>0.21332648304871057</v>
      </c>
      <c r="J1922" s="106">
        <v>1.9847706559759264</v>
      </c>
      <c r="R1922" s="76">
        <f t="shared" si="339"/>
        <v>54425.088000000003</v>
      </c>
      <c r="S1922" s="93">
        <v>13606.272000000001</v>
      </c>
      <c r="T1922" s="93">
        <v>235.36480000000003</v>
      </c>
      <c r="U1922" s="93">
        <v>2189.8132000000001</v>
      </c>
      <c r="AO1922" s="53">
        <f t="shared" si="341"/>
        <v>1478432.6235200001</v>
      </c>
      <c r="AP1922" s="53">
        <f t="shared" si="341"/>
        <v>235364.8</v>
      </c>
      <c r="AQ1922" s="53">
        <f t="shared" si="341"/>
        <v>2189813.2000000002</v>
      </c>
      <c r="AR1922" s="53">
        <f t="shared" si="340"/>
        <v>0</v>
      </c>
      <c r="AS1922" s="53">
        <f t="shared" si="340"/>
        <v>0</v>
      </c>
      <c r="AT1922" s="53">
        <f t="shared" si="340"/>
        <v>0</v>
      </c>
      <c r="AU1922" s="53">
        <f t="shared" si="340"/>
        <v>0</v>
      </c>
      <c r="AV1922" s="53">
        <f t="shared" si="340"/>
        <v>0</v>
      </c>
      <c r="AW1922" s="53">
        <f t="shared" si="340"/>
        <v>0</v>
      </c>
      <c r="AX1922" s="53">
        <f t="shared" si="342"/>
        <v>90819361.897626325</v>
      </c>
      <c r="AY1922" s="41" t="s">
        <v>557</v>
      </c>
    </row>
    <row r="1923" spans="1:51" x14ac:dyDescent="0.2">
      <c r="A1923" s="41" t="s">
        <v>246</v>
      </c>
      <c r="B1923" s="41">
        <v>1940</v>
      </c>
      <c r="C1923" s="41" t="s">
        <v>101</v>
      </c>
      <c r="D1923" s="41" t="s">
        <v>137</v>
      </c>
      <c r="E1923" s="109">
        <v>82.963411093639607</v>
      </c>
      <c r="F1923" s="41" t="s">
        <v>556</v>
      </c>
      <c r="G1923" s="93">
        <v>1193967.6399999999</v>
      </c>
      <c r="H1923" s="122">
        <v>1.0941253166812981</v>
      </c>
      <c r="I1923" s="106">
        <v>0.1891056276868609</v>
      </c>
      <c r="J1923" s="106">
        <v>1.5283954429451705</v>
      </c>
      <c r="R1923" s="76">
        <f t="shared" si="339"/>
        <v>47028.608</v>
      </c>
      <c r="S1923" s="93">
        <v>11757.152</v>
      </c>
      <c r="T1923" s="93">
        <v>225.786</v>
      </c>
      <c r="U1923" s="93">
        <v>1824.8547000000001</v>
      </c>
      <c r="AO1923" s="53">
        <f t="shared" si="341"/>
        <v>1306350.222222222</v>
      </c>
      <c r="AP1923" s="53">
        <f t="shared" si="341"/>
        <v>225785.99999999994</v>
      </c>
      <c r="AQ1923" s="53">
        <f t="shared" si="341"/>
        <v>1824854.6999999997</v>
      </c>
      <c r="AR1923" s="53">
        <f t="shared" si="340"/>
        <v>0</v>
      </c>
      <c r="AS1923" s="53">
        <f t="shared" si="340"/>
        <v>0</v>
      </c>
      <c r="AT1923" s="53">
        <f t="shared" si="340"/>
        <v>0</v>
      </c>
      <c r="AU1923" s="53">
        <f t="shared" si="340"/>
        <v>0</v>
      </c>
      <c r="AV1923" s="53">
        <f t="shared" si="340"/>
        <v>0</v>
      </c>
      <c r="AW1923" s="53">
        <f t="shared" si="340"/>
        <v>0</v>
      </c>
      <c r="AX1923" s="53">
        <f t="shared" si="342"/>
        <v>99055628.149822697</v>
      </c>
      <c r="AY1923" s="41" t="s">
        <v>557</v>
      </c>
    </row>
    <row r="1924" spans="1:51" x14ac:dyDescent="0.2">
      <c r="A1924" s="41" t="s">
        <v>246</v>
      </c>
      <c r="B1924" s="41">
        <v>1941</v>
      </c>
      <c r="C1924" s="41" t="s">
        <v>101</v>
      </c>
      <c r="D1924" s="41" t="s">
        <v>137</v>
      </c>
      <c r="E1924" s="109">
        <v>85.793276189013397</v>
      </c>
      <c r="F1924" s="41" t="s">
        <v>556</v>
      </c>
      <c r="G1924" s="93">
        <v>1374925.368</v>
      </c>
      <c r="H1924" s="122">
        <v>0.95587184223401755</v>
      </c>
      <c r="I1924" s="106">
        <v>0.18174695573730951</v>
      </c>
      <c r="J1924" s="106">
        <v>0.81900358100018711</v>
      </c>
      <c r="R1924" s="76">
        <f t="shared" si="339"/>
        <v>47313.088000000003</v>
      </c>
      <c r="S1924" s="93">
        <v>11828.272000000001</v>
      </c>
      <c r="T1924" s="93">
        <v>249.88849999999999</v>
      </c>
      <c r="U1924" s="93">
        <v>1126.0688</v>
      </c>
      <c r="AO1924" s="53">
        <f t="shared" si="341"/>
        <v>1314252.4444444445</v>
      </c>
      <c r="AP1924" s="53">
        <f t="shared" si="341"/>
        <v>249888.5</v>
      </c>
      <c r="AQ1924" s="53">
        <f t="shared" si="341"/>
        <v>1126068.8</v>
      </c>
      <c r="AR1924" s="53">
        <f t="shared" si="340"/>
        <v>0</v>
      </c>
      <c r="AS1924" s="53">
        <f t="shared" si="340"/>
        <v>0</v>
      </c>
      <c r="AT1924" s="53">
        <f t="shared" si="340"/>
        <v>0</v>
      </c>
      <c r="AU1924" s="53">
        <f t="shared" si="340"/>
        <v>0</v>
      </c>
      <c r="AV1924" s="53">
        <f t="shared" si="340"/>
        <v>0</v>
      </c>
      <c r="AW1924" s="53">
        <f t="shared" si="340"/>
        <v>0</v>
      </c>
      <c r="AX1924" s="53">
        <f t="shared" si="342"/>
        <v>117959351.83610488</v>
      </c>
      <c r="AY1924" s="41" t="s">
        <v>557</v>
      </c>
    </row>
    <row r="1925" spans="1:51" x14ac:dyDescent="0.2">
      <c r="A1925" s="41" t="s">
        <v>246</v>
      </c>
      <c r="B1925" s="41">
        <v>1942</v>
      </c>
      <c r="C1925" s="41" t="s">
        <v>101</v>
      </c>
      <c r="D1925" s="41" t="s">
        <v>137</v>
      </c>
      <c r="E1925" s="109">
        <v>87.763711152333372</v>
      </c>
      <c r="F1925" s="41" t="s">
        <v>556</v>
      </c>
      <c r="G1925" s="93">
        <v>1550467.8160000001</v>
      </c>
      <c r="H1925" s="122">
        <v>0.8194716661209589</v>
      </c>
      <c r="I1925" s="106">
        <v>0.14606572136676974</v>
      </c>
      <c r="J1925" s="106">
        <v>0.726276797479813</v>
      </c>
      <c r="R1925" s="76">
        <f t="shared" si="339"/>
        <v>45740.32</v>
      </c>
      <c r="S1925" s="93">
        <v>11435.08</v>
      </c>
      <c r="T1925" s="93">
        <v>226.47020000000001</v>
      </c>
      <c r="U1925" s="93">
        <v>1126.0688</v>
      </c>
      <c r="AO1925" s="53">
        <f t="shared" si="341"/>
        <v>1270564.4444444445</v>
      </c>
      <c r="AP1925" s="53">
        <f t="shared" si="341"/>
        <v>226470.2</v>
      </c>
      <c r="AQ1925" s="53">
        <f t="shared" si="341"/>
        <v>1126068.8</v>
      </c>
      <c r="AR1925" s="53">
        <f t="shared" si="340"/>
        <v>0</v>
      </c>
      <c r="AS1925" s="53">
        <f t="shared" si="340"/>
        <v>0</v>
      </c>
      <c r="AT1925" s="53">
        <f t="shared" si="340"/>
        <v>0</v>
      </c>
      <c r="AU1925" s="53">
        <f t="shared" si="340"/>
        <v>0</v>
      </c>
      <c r="AV1925" s="53">
        <f t="shared" si="340"/>
        <v>0</v>
      </c>
      <c r="AW1925" s="53">
        <f t="shared" si="340"/>
        <v>0</v>
      </c>
      <c r="AX1925" s="53">
        <f t="shared" si="342"/>
        <v>136074809.55441317</v>
      </c>
      <c r="AY1925" s="41" t="s">
        <v>557</v>
      </c>
    </row>
    <row r="1926" spans="1:51" x14ac:dyDescent="0.2">
      <c r="A1926" s="41" t="s">
        <v>246</v>
      </c>
      <c r="B1926" s="41">
        <v>1943</v>
      </c>
      <c r="C1926" s="41" t="s">
        <v>101</v>
      </c>
      <c r="D1926" s="41" t="s">
        <v>137</v>
      </c>
      <c r="E1926" s="109">
        <v>89.432173663269296</v>
      </c>
      <c r="F1926" s="41" t="s">
        <v>556</v>
      </c>
      <c r="G1926" s="93">
        <v>1549480.264</v>
      </c>
      <c r="H1926" s="122">
        <v>0.77839319216323288</v>
      </c>
      <c r="I1926" s="106">
        <v>0.14491439821268998</v>
      </c>
      <c r="J1926" s="106">
        <v>0.8895777068122761</v>
      </c>
      <c r="R1926" s="76">
        <f t="shared" si="339"/>
        <v>43419.775999999998</v>
      </c>
      <c r="S1926" s="93">
        <v>10854.944</v>
      </c>
      <c r="T1926" s="93">
        <v>224.542</v>
      </c>
      <c r="U1926" s="93">
        <v>1378.3831</v>
      </c>
      <c r="AM1926" s="53">
        <v>336321.4</v>
      </c>
      <c r="AO1926" s="53">
        <f t="shared" si="341"/>
        <v>1206104.8888888888</v>
      </c>
      <c r="AP1926" s="53">
        <f t="shared" si="341"/>
        <v>224542</v>
      </c>
      <c r="AQ1926" s="53">
        <f t="shared" si="341"/>
        <v>1378383.1</v>
      </c>
      <c r="AR1926" s="53">
        <f t="shared" si="340"/>
        <v>0</v>
      </c>
      <c r="AS1926" s="53">
        <f t="shared" si="340"/>
        <v>0</v>
      </c>
      <c r="AT1926" s="53">
        <f t="shared" si="340"/>
        <v>0</v>
      </c>
      <c r="AU1926" s="53">
        <f t="shared" si="340"/>
        <v>0</v>
      </c>
      <c r="AV1926" s="53">
        <f t="shared" si="340"/>
        <v>0</v>
      </c>
      <c r="AW1926" s="53">
        <f t="shared" si="340"/>
        <v>0</v>
      </c>
      <c r="AX1926" s="53">
        <f t="shared" si="342"/>
        <v>138573388.05785635</v>
      </c>
      <c r="AY1926" s="41" t="s">
        <v>557</v>
      </c>
    </row>
    <row r="1927" spans="1:51" x14ac:dyDescent="0.2">
      <c r="A1927" s="41" t="s">
        <v>246</v>
      </c>
      <c r="B1927" s="41">
        <v>1944</v>
      </c>
      <c r="C1927" s="41" t="s">
        <v>101</v>
      </c>
      <c r="D1927" s="41" t="s">
        <v>137</v>
      </c>
      <c r="E1927" s="109">
        <v>90.99976892859894</v>
      </c>
      <c r="F1927" s="41" t="s">
        <v>556</v>
      </c>
      <c r="G1927" s="93">
        <v>1499503.2239999999</v>
      </c>
      <c r="H1927" s="122">
        <v>0.74011889331334091</v>
      </c>
      <c r="I1927" s="106">
        <v>0.13362912249397071</v>
      </c>
      <c r="J1927" s="106">
        <v>0.7891024714462368</v>
      </c>
      <c r="R1927" s="76">
        <f t="shared" si="339"/>
        <v>39953.184000000001</v>
      </c>
      <c r="S1927" s="93">
        <v>9988.2960000000003</v>
      </c>
      <c r="T1927" s="93">
        <v>200.37730000000002</v>
      </c>
      <c r="U1927" s="93">
        <v>1183.2617</v>
      </c>
      <c r="AM1927" s="53">
        <v>322899.02399999998</v>
      </c>
      <c r="AO1927" s="53">
        <f t="shared" si="341"/>
        <v>1109810.6666666667</v>
      </c>
      <c r="AP1927" s="53">
        <f t="shared" si="341"/>
        <v>200377.3</v>
      </c>
      <c r="AQ1927" s="53">
        <f t="shared" si="341"/>
        <v>1183261.7</v>
      </c>
      <c r="AR1927" s="53">
        <f t="shared" si="340"/>
        <v>0</v>
      </c>
      <c r="AS1927" s="53">
        <f t="shared" si="340"/>
        <v>0</v>
      </c>
      <c r="AT1927" s="53">
        <f t="shared" si="340"/>
        <v>0</v>
      </c>
      <c r="AU1927" s="53">
        <f t="shared" si="340"/>
        <v>0</v>
      </c>
      <c r="AV1927" s="53">
        <f t="shared" si="340"/>
        <v>0</v>
      </c>
      <c r="AW1927" s="53">
        <f t="shared" si="340"/>
        <v>0</v>
      </c>
      <c r="AX1927" s="53">
        <f t="shared" si="342"/>
        <v>136454446.89168912</v>
      </c>
      <c r="AY1927" s="41" t="s">
        <v>557</v>
      </c>
    </row>
    <row r="1928" spans="1:51" x14ac:dyDescent="0.2">
      <c r="A1928" s="41" t="s">
        <v>246</v>
      </c>
      <c r="B1928" s="41">
        <v>1945</v>
      </c>
      <c r="C1928" s="41" t="s">
        <v>101</v>
      </c>
      <c r="D1928" s="41" t="s">
        <v>137</v>
      </c>
      <c r="E1928" s="109">
        <v>94.681827154107424</v>
      </c>
      <c r="F1928" s="41" t="s">
        <v>556</v>
      </c>
      <c r="G1928" s="93">
        <v>1492636.08</v>
      </c>
      <c r="H1928" s="122">
        <v>0.54431307417768782</v>
      </c>
      <c r="I1928" s="106">
        <v>0.10113610545981173</v>
      </c>
      <c r="J1928" s="106">
        <v>0.50451373251007037</v>
      </c>
      <c r="R1928" s="76">
        <f t="shared" si="339"/>
        <v>29248.608</v>
      </c>
      <c r="S1928" s="93">
        <v>7312.152</v>
      </c>
      <c r="T1928" s="93">
        <v>150.95939999999999</v>
      </c>
      <c r="U1928" s="93">
        <v>753.05540000000008</v>
      </c>
      <c r="AM1928" s="53">
        <v>285310.07199999999</v>
      </c>
      <c r="AO1928" s="53">
        <f t="shared" si="341"/>
        <v>812461.33333333326</v>
      </c>
      <c r="AP1928" s="53">
        <f t="shared" si="341"/>
        <v>150959.4</v>
      </c>
      <c r="AQ1928" s="53">
        <f t="shared" si="341"/>
        <v>753055.4</v>
      </c>
      <c r="AR1928" s="53">
        <f t="shared" si="340"/>
        <v>0</v>
      </c>
      <c r="AS1928" s="53">
        <f t="shared" si="340"/>
        <v>0</v>
      </c>
      <c r="AT1928" s="53">
        <f t="shared" si="340"/>
        <v>0</v>
      </c>
      <c r="AU1928" s="53">
        <f t="shared" si="340"/>
        <v>0</v>
      </c>
      <c r="AV1928" s="53">
        <f t="shared" si="340"/>
        <v>0</v>
      </c>
      <c r="AW1928" s="53">
        <f t="shared" si="340"/>
        <v>0</v>
      </c>
      <c r="AX1928" s="53">
        <f t="shared" si="342"/>
        <v>141325511.33054447</v>
      </c>
      <c r="AY1928" s="41" t="s">
        <v>557</v>
      </c>
    </row>
    <row r="1929" spans="1:51" x14ac:dyDescent="0.2">
      <c r="A1929" s="41" t="s">
        <v>246</v>
      </c>
      <c r="B1929" s="41">
        <v>1946</v>
      </c>
      <c r="C1929" s="41" t="s">
        <v>101</v>
      </c>
      <c r="D1929" s="41" t="s">
        <v>137</v>
      </c>
      <c r="E1929" s="109">
        <v>94.177509822280172</v>
      </c>
      <c r="F1929" s="41" t="s">
        <v>556</v>
      </c>
      <c r="G1929" s="93">
        <v>1509423.4480000001</v>
      </c>
      <c r="H1929" s="122">
        <v>0.6831264695651601</v>
      </c>
      <c r="I1929" s="106">
        <v>0.12652851010964286</v>
      </c>
      <c r="J1929" s="106">
        <v>0.70452953504138227</v>
      </c>
      <c r="R1929" s="76">
        <f t="shared" si="339"/>
        <v>37120.576000000001</v>
      </c>
      <c r="S1929" s="93">
        <v>9280.1440000000002</v>
      </c>
      <c r="T1929" s="93">
        <v>190.98510000000002</v>
      </c>
      <c r="U1929" s="93">
        <v>1063.4334000000001</v>
      </c>
      <c r="AM1929" s="53">
        <v>317025.52799999999</v>
      </c>
      <c r="AO1929" s="53">
        <f t="shared" si="341"/>
        <v>1031127.1111111111</v>
      </c>
      <c r="AP1929" s="53">
        <f t="shared" si="341"/>
        <v>190985.1</v>
      </c>
      <c r="AQ1929" s="53">
        <f t="shared" si="341"/>
        <v>1063433.4000000001</v>
      </c>
      <c r="AR1929" s="53">
        <f t="shared" si="340"/>
        <v>0</v>
      </c>
      <c r="AS1929" s="53">
        <f t="shared" si="340"/>
        <v>0</v>
      </c>
      <c r="AT1929" s="53">
        <f t="shared" si="340"/>
        <v>0</v>
      </c>
      <c r="AU1929" s="53">
        <f t="shared" si="340"/>
        <v>0</v>
      </c>
      <c r="AV1929" s="53">
        <f t="shared" si="340"/>
        <v>0</v>
      </c>
      <c r="AW1929" s="53">
        <f t="shared" si="340"/>
        <v>0</v>
      </c>
      <c r="AX1929" s="53">
        <f t="shared" si="342"/>
        <v>142153741.60000002</v>
      </c>
      <c r="AY1929" s="41" t="s">
        <v>557</v>
      </c>
    </row>
    <row r="1930" spans="1:51" x14ac:dyDescent="0.2">
      <c r="A1930" s="41" t="s">
        <v>246</v>
      </c>
      <c r="B1930" s="41">
        <v>1947</v>
      </c>
      <c r="C1930" s="41" t="s">
        <v>101</v>
      </c>
      <c r="D1930" s="41" t="s">
        <v>137</v>
      </c>
      <c r="E1930" s="109">
        <v>93.6009001936755</v>
      </c>
      <c r="F1930" s="41" t="s">
        <v>556</v>
      </c>
      <c r="G1930" s="93">
        <v>1457307.7280000001</v>
      </c>
      <c r="H1930" s="122">
        <v>0.59391650403099427</v>
      </c>
      <c r="I1930" s="106">
        <v>0.1152825836109201</v>
      </c>
      <c r="J1930" s="106">
        <v>0.59523543540832713</v>
      </c>
      <c r="R1930" s="76">
        <f t="shared" si="339"/>
        <v>31158.688000000002</v>
      </c>
      <c r="S1930" s="93">
        <v>7789.6720000000005</v>
      </c>
      <c r="T1930" s="93">
        <v>168.00220000000002</v>
      </c>
      <c r="U1930" s="93">
        <v>867.44120000000009</v>
      </c>
      <c r="AM1930" s="53">
        <v>593722.96799999999</v>
      </c>
      <c r="AO1930" s="53">
        <f t="shared" si="341"/>
        <v>865519.11111111112</v>
      </c>
      <c r="AP1930" s="53">
        <f t="shared" si="341"/>
        <v>168002.2</v>
      </c>
      <c r="AQ1930" s="53">
        <f t="shared" si="341"/>
        <v>867441.20000000007</v>
      </c>
      <c r="AR1930" s="53">
        <f t="shared" si="340"/>
        <v>0</v>
      </c>
      <c r="AS1930" s="53">
        <f t="shared" si="340"/>
        <v>0</v>
      </c>
      <c r="AT1930" s="53">
        <f t="shared" si="340"/>
        <v>0</v>
      </c>
      <c r="AU1930" s="53">
        <f t="shared" si="340"/>
        <v>0</v>
      </c>
      <c r="AV1930" s="53">
        <f t="shared" si="340"/>
        <v>0</v>
      </c>
      <c r="AW1930" s="53">
        <f t="shared" si="340"/>
        <v>0</v>
      </c>
      <c r="AX1930" s="53">
        <f t="shared" si="342"/>
        <v>136405315.20000002</v>
      </c>
      <c r="AY1930" s="41" t="s">
        <v>557</v>
      </c>
    </row>
    <row r="1931" spans="1:51" x14ac:dyDescent="0.2">
      <c r="A1931" s="41" t="s">
        <v>246</v>
      </c>
      <c r="B1931" s="41">
        <v>1948</v>
      </c>
      <c r="C1931" s="41" t="s">
        <v>101</v>
      </c>
      <c r="D1931" s="41" t="s">
        <v>137</v>
      </c>
      <c r="E1931" s="103">
        <v>94.895626684491489</v>
      </c>
      <c r="F1931" s="41" t="s">
        <v>556</v>
      </c>
      <c r="G1931" s="93">
        <v>1325420.7679999999</v>
      </c>
      <c r="H1931" s="88">
        <v>0.6</v>
      </c>
      <c r="I1931" s="106">
        <v>9.5077127990196103E-2</v>
      </c>
      <c r="J1931" s="106">
        <v>0.53411664966456907</v>
      </c>
      <c r="R1931" s="76">
        <f t="shared" si="339"/>
        <v>25708.864000000001</v>
      </c>
      <c r="S1931" s="93">
        <v>6427.2160000000003</v>
      </c>
      <c r="T1931" s="93">
        <v>126.01720000000002</v>
      </c>
      <c r="U1931" s="93">
        <v>707.92930000000001</v>
      </c>
      <c r="AM1931" s="53">
        <v>611267.25600000005</v>
      </c>
      <c r="AO1931" s="53">
        <f t="shared" si="341"/>
        <v>795252.46079999988</v>
      </c>
      <c r="AP1931" s="53">
        <f t="shared" si="341"/>
        <v>126017.20000000001</v>
      </c>
      <c r="AQ1931" s="53">
        <f t="shared" si="341"/>
        <v>707929.3</v>
      </c>
      <c r="AR1931" s="53">
        <f t="shared" si="340"/>
        <v>0</v>
      </c>
      <c r="AS1931" s="53">
        <f t="shared" si="340"/>
        <v>0</v>
      </c>
      <c r="AT1931" s="53">
        <f t="shared" si="340"/>
        <v>0</v>
      </c>
      <c r="AU1931" s="53">
        <f t="shared" si="340"/>
        <v>0</v>
      </c>
      <c r="AV1931" s="53">
        <f t="shared" si="340"/>
        <v>0</v>
      </c>
      <c r="AW1931" s="53">
        <f t="shared" si="340"/>
        <v>0</v>
      </c>
      <c r="AX1931" s="53">
        <f t="shared" si="342"/>
        <v>125776634.39999999</v>
      </c>
      <c r="AY1931" s="41" t="s">
        <v>557</v>
      </c>
    </row>
    <row r="1932" spans="1:51" x14ac:dyDescent="0.2">
      <c r="A1932" s="41" t="s">
        <v>246</v>
      </c>
      <c r="B1932" s="41">
        <v>1949</v>
      </c>
      <c r="C1932" s="41" t="s">
        <v>101</v>
      </c>
      <c r="D1932" s="41" t="s">
        <v>137</v>
      </c>
      <c r="E1932" s="62">
        <v>90</v>
      </c>
      <c r="F1932" s="41" t="s">
        <v>556</v>
      </c>
      <c r="G1932" s="93">
        <v>1495316.2879999999</v>
      </c>
      <c r="H1932" s="62">
        <v>0.64</v>
      </c>
      <c r="I1932" s="106">
        <v>6.2789993497348984E-2</v>
      </c>
      <c r="J1932" s="106">
        <v>0.36295070437967436</v>
      </c>
      <c r="R1932" s="76">
        <f t="shared" si="339"/>
        <v>20007.072</v>
      </c>
      <c r="S1932" s="93">
        <v>5001.768</v>
      </c>
      <c r="T1932" s="93">
        <v>93.890900000000002</v>
      </c>
      <c r="U1932" s="93">
        <v>542.72609999999997</v>
      </c>
      <c r="AM1932" s="53">
        <v>608897.94400000002</v>
      </c>
      <c r="AO1932" s="53">
        <f t="shared" si="341"/>
        <v>957002.42431999999</v>
      </c>
      <c r="AP1932" s="53">
        <f t="shared" si="341"/>
        <v>93890.900000000023</v>
      </c>
      <c r="AQ1932" s="53">
        <f t="shared" si="341"/>
        <v>542726.1</v>
      </c>
      <c r="AR1932" s="53">
        <f t="shared" si="340"/>
        <v>0</v>
      </c>
      <c r="AS1932" s="53">
        <f t="shared" si="340"/>
        <v>0</v>
      </c>
      <c r="AT1932" s="53">
        <f t="shared" si="340"/>
        <v>0</v>
      </c>
      <c r="AU1932" s="53">
        <f t="shared" si="340"/>
        <v>0</v>
      </c>
      <c r="AV1932" s="53">
        <f t="shared" si="340"/>
        <v>0</v>
      </c>
      <c r="AW1932" s="53">
        <f t="shared" si="340"/>
        <v>0</v>
      </c>
      <c r="AX1932" s="53">
        <f t="shared" si="342"/>
        <v>134578465.91999999</v>
      </c>
      <c r="AY1932" s="41" t="s">
        <v>557</v>
      </c>
    </row>
    <row r="1933" spans="1:51" x14ac:dyDescent="0.2">
      <c r="A1933" s="41" t="s">
        <v>246</v>
      </c>
      <c r="B1933" s="41">
        <v>1950</v>
      </c>
      <c r="C1933" s="41" t="s">
        <v>101</v>
      </c>
      <c r="D1933" s="41" t="s">
        <v>137</v>
      </c>
      <c r="E1933" s="62">
        <v>90</v>
      </c>
      <c r="F1933" s="41" t="s">
        <v>556</v>
      </c>
      <c r="G1933" s="93">
        <v>1524027.432</v>
      </c>
      <c r="H1933" s="62">
        <v>0.63100000000000001</v>
      </c>
      <c r="I1933" s="88">
        <v>0.26350000000000001</v>
      </c>
      <c r="J1933" s="88">
        <v>1.5305118110236222</v>
      </c>
      <c r="R1933" s="76">
        <f t="shared" si="339"/>
        <v>30459.68</v>
      </c>
      <c r="S1933" s="93">
        <v>7614.92</v>
      </c>
      <c r="T1933" s="93">
        <v>183.21010000000001</v>
      </c>
      <c r="U1933" s="93">
        <v>813.29610000000014</v>
      </c>
      <c r="AM1933" s="53">
        <v>853995.75199999998</v>
      </c>
      <c r="AO1933" s="53">
        <f t="shared" si="341"/>
        <v>961661.30959199998</v>
      </c>
      <c r="AP1933" s="53">
        <f t="shared" si="341"/>
        <v>401581.22833200003</v>
      </c>
      <c r="AQ1933" s="53">
        <f t="shared" si="341"/>
        <v>2332541.9850000003</v>
      </c>
      <c r="AR1933" s="53">
        <f t="shared" si="340"/>
        <v>0</v>
      </c>
      <c r="AS1933" s="53">
        <f t="shared" si="340"/>
        <v>0</v>
      </c>
      <c r="AT1933" s="53">
        <f t="shared" si="340"/>
        <v>0</v>
      </c>
      <c r="AU1933" s="53">
        <f t="shared" si="340"/>
        <v>0</v>
      </c>
      <c r="AV1933" s="53">
        <f t="shared" si="340"/>
        <v>0</v>
      </c>
      <c r="AW1933" s="53">
        <f t="shared" si="340"/>
        <v>0</v>
      </c>
      <c r="AX1933" s="53">
        <f t="shared" si="342"/>
        <v>137162468.88</v>
      </c>
      <c r="AY1933" s="41" t="s">
        <v>557</v>
      </c>
    </row>
    <row r="1934" spans="1:51" x14ac:dyDescent="0.2">
      <c r="A1934" s="41" t="s">
        <v>246</v>
      </c>
      <c r="B1934" s="41">
        <v>1951</v>
      </c>
      <c r="C1934" s="41" t="s">
        <v>101</v>
      </c>
      <c r="D1934" s="41" t="s">
        <v>137</v>
      </c>
      <c r="E1934" s="62">
        <v>93</v>
      </c>
      <c r="F1934" s="41" t="s">
        <v>556</v>
      </c>
      <c r="G1934" s="93">
        <v>1543248.12</v>
      </c>
      <c r="H1934" s="62">
        <v>0.64800000000000002</v>
      </c>
      <c r="I1934" s="88">
        <v>0.23250000000000001</v>
      </c>
      <c r="J1934" s="88">
        <v>1.3468503937007874</v>
      </c>
      <c r="R1934" s="76">
        <f t="shared" si="339"/>
        <v>33893.760000000002</v>
      </c>
      <c r="S1934" s="93">
        <v>8473.44</v>
      </c>
      <c r="T1934" s="93">
        <v>177.79870000000003</v>
      </c>
      <c r="U1934" s="93">
        <v>758.77780000000007</v>
      </c>
      <c r="AM1934" s="53">
        <v>1107277.44</v>
      </c>
      <c r="AO1934" s="53">
        <f t="shared" si="341"/>
        <v>1000024.7817600002</v>
      </c>
      <c r="AP1934" s="53">
        <f t="shared" si="341"/>
        <v>358805.18790000002</v>
      </c>
      <c r="AQ1934" s="53">
        <f t="shared" si="341"/>
        <v>2078524.3380000002</v>
      </c>
      <c r="AR1934" s="53">
        <f t="shared" si="340"/>
        <v>0</v>
      </c>
      <c r="AS1934" s="53">
        <f t="shared" si="340"/>
        <v>0</v>
      </c>
      <c r="AT1934" s="53">
        <f t="shared" si="340"/>
        <v>0</v>
      </c>
      <c r="AU1934" s="53">
        <f t="shared" si="340"/>
        <v>0</v>
      </c>
      <c r="AV1934" s="53">
        <f t="shared" si="340"/>
        <v>0</v>
      </c>
      <c r="AW1934" s="53">
        <f t="shared" si="340"/>
        <v>0</v>
      </c>
      <c r="AX1934" s="53">
        <f t="shared" si="342"/>
        <v>143522075.16</v>
      </c>
      <c r="AY1934" s="41" t="s">
        <v>557</v>
      </c>
    </row>
    <row r="1935" spans="1:51" x14ac:dyDescent="0.2">
      <c r="A1935" s="41" t="s">
        <v>246</v>
      </c>
      <c r="B1935" s="41">
        <v>1952</v>
      </c>
      <c r="C1935" s="41" t="s">
        <v>101</v>
      </c>
      <c r="D1935" s="41" t="s">
        <v>137</v>
      </c>
      <c r="E1935" s="62">
        <v>93</v>
      </c>
      <c r="F1935" s="41" t="s">
        <v>556</v>
      </c>
      <c r="G1935" s="93">
        <v>1477765.9040000001</v>
      </c>
      <c r="H1935" s="62">
        <v>0.62</v>
      </c>
      <c r="I1935" s="106">
        <v>0.11972660860633849</v>
      </c>
      <c r="J1935" s="106">
        <v>0.65926450012342419</v>
      </c>
      <c r="R1935" s="76">
        <f t="shared" si="339"/>
        <v>30000.448</v>
      </c>
      <c r="S1935" s="93">
        <v>7500.1120000000001</v>
      </c>
      <c r="T1935" s="93">
        <v>176.92789999999999</v>
      </c>
      <c r="U1935" s="93">
        <v>974.23860000000013</v>
      </c>
      <c r="AM1935" s="53">
        <v>1275162.2960000001</v>
      </c>
      <c r="AO1935" s="53">
        <f t="shared" si="341"/>
        <v>916214.86048000003</v>
      </c>
      <c r="AP1935" s="53">
        <f t="shared" si="341"/>
        <v>176927.9</v>
      </c>
      <c r="AQ1935" s="53">
        <f t="shared" si="341"/>
        <v>974238.60000000009</v>
      </c>
      <c r="AR1935" s="53">
        <f t="shared" si="341"/>
        <v>0</v>
      </c>
      <c r="AS1935" s="53">
        <f t="shared" si="341"/>
        <v>0</v>
      </c>
      <c r="AT1935" s="53">
        <f t="shared" si="341"/>
        <v>0</v>
      </c>
      <c r="AU1935" s="53">
        <f t="shared" si="341"/>
        <v>0</v>
      </c>
      <c r="AV1935" s="53">
        <f t="shared" si="341"/>
        <v>0</v>
      </c>
      <c r="AW1935" s="53">
        <f t="shared" si="341"/>
        <v>0</v>
      </c>
      <c r="AX1935" s="53">
        <f t="shared" si="342"/>
        <v>137432229.072</v>
      </c>
      <c r="AY1935" s="41" t="s">
        <v>557</v>
      </c>
    </row>
    <row r="1936" spans="1:51" x14ac:dyDescent="0.2">
      <c r="A1936" s="41" t="s">
        <v>246</v>
      </c>
      <c r="B1936" s="41">
        <v>1953</v>
      </c>
      <c r="C1936" s="41" t="s">
        <v>101</v>
      </c>
      <c r="D1936" s="41" t="s">
        <v>137</v>
      </c>
      <c r="E1936" s="62">
        <v>92.4</v>
      </c>
      <c r="F1936" s="41" t="s">
        <v>556</v>
      </c>
      <c r="G1936" s="93">
        <v>1493196.912</v>
      </c>
      <c r="H1936" s="62">
        <v>0.66</v>
      </c>
      <c r="I1936" s="106">
        <v>0.11371976370655661</v>
      </c>
      <c r="J1936" s="106">
        <v>0.59777856009924568</v>
      </c>
      <c r="R1936" s="76">
        <f t="shared" si="339"/>
        <v>33861.248</v>
      </c>
      <c r="S1936" s="93">
        <v>8465.3119999999999</v>
      </c>
      <c r="T1936" s="93">
        <v>169.80600000000001</v>
      </c>
      <c r="U1936" s="93">
        <v>892.60110000000009</v>
      </c>
      <c r="AM1936" s="53">
        <v>1360424</v>
      </c>
      <c r="AO1936" s="53">
        <f t="shared" ref="AO1936:AW1964" si="343">$G1936*H1936</f>
        <v>985509.96192000003</v>
      </c>
      <c r="AP1936" s="53">
        <f t="shared" si="343"/>
        <v>169806</v>
      </c>
      <c r="AQ1936" s="53">
        <f t="shared" si="343"/>
        <v>892601.10000000009</v>
      </c>
      <c r="AR1936" s="53">
        <f t="shared" si="343"/>
        <v>0</v>
      </c>
      <c r="AS1936" s="53">
        <f t="shared" si="343"/>
        <v>0</v>
      </c>
      <c r="AT1936" s="53">
        <f t="shared" si="343"/>
        <v>0</v>
      </c>
      <c r="AU1936" s="53">
        <f t="shared" si="343"/>
        <v>0</v>
      </c>
      <c r="AV1936" s="53">
        <f t="shared" si="343"/>
        <v>0</v>
      </c>
      <c r="AW1936" s="53">
        <f t="shared" si="343"/>
        <v>0</v>
      </c>
      <c r="AX1936" s="53">
        <f t="shared" si="342"/>
        <v>137971394.6688</v>
      </c>
      <c r="AY1936" s="41" t="s">
        <v>557</v>
      </c>
    </row>
    <row r="1937" spans="1:51" x14ac:dyDescent="0.2">
      <c r="A1937" s="41" t="s">
        <v>246</v>
      </c>
      <c r="B1937" s="41">
        <v>1954</v>
      </c>
      <c r="C1937" s="41" t="s">
        <v>101</v>
      </c>
      <c r="D1937" s="41" t="s">
        <v>137</v>
      </c>
      <c r="E1937" s="110">
        <v>95</v>
      </c>
      <c r="F1937" s="41" t="s">
        <v>556</v>
      </c>
      <c r="G1937" s="93">
        <v>1621755.456</v>
      </c>
      <c r="H1937" s="122">
        <v>0.68749239679113838</v>
      </c>
      <c r="I1937" s="106">
        <v>0.10888559020824408</v>
      </c>
      <c r="J1937" s="106">
        <v>0.65998705047673978</v>
      </c>
      <c r="R1937" s="76">
        <f t="shared" si="339"/>
        <v>39246.048000000003</v>
      </c>
      <c r="S1937" s="93">
        <v>9811.5120000000006</v>
      </c>
      <c r="T1937" s="93">
        <v>176.58580000000001</v>
      </c>
      <c r="U1937" s="93">
        <v>1070.3376000000001</v>
      </c>
      <c r="AM1937" s="53">
        <v>1346127.8640000001</v>
      </c>
      <c r="AO1937" s="53">
        <f t="shared" si="343"/>
        <v>1114944.5454545456</v>
      </c>
      <c r="AP1937" s="53">
        <f t="shared" si="343"/>
        <v>176585.80000000002</v>
      </c>
      <c r="AQ1937" s="53">
        <f t="shared" si="343"/>
        <v>1070337.6000000001</v>
      </c>
      <c r="AR1937" s="53">
        <f t="shared" si="343"/>
        <v>0</v>
      </c>
      <c r="AS1937" s="53">
        <f t="shared" si="343"/>
        <v>0</v>
      </c>
      <c r="AT1937" s="53">
        <f t="shared" si="343"/>
        <v>0</v>
      </c>
      <c r="AU1937" s="53">
        <f t="shared" si="343"/>
        <v>0</v>
      </c>
      <c r="AV1937" s="53">
        <f t="shared" si="343"/>
        <v>0</v>
      </c>
      <c r="AW1937" s="53">
        <f t="shared" si="343"/>
        <v>0</v>
      </c>
      <c r="AX1937" s="53">
        <f t="shared" si="342"/>
        <v>154066768.31999999</v>
      </c>
      <c r="AY1937" s="41" t="s">
        <v>557</v>
      </c>
    </row>
    <row r="1938" spans="1:51" x14ac:dyDescent="0.2">
      <c r="A1938" s="41" t="s">
        <v>246</v>
      </c>
      <c r="B1938" s="41">
        <v>1955</v>
      </c>
      <c r="C1938" s="41" t="s">
        <v>101</v>
      </c>
      <c r="D1938" s="41" t="s">
        <v>137</v>
      </c>
      <c r="E1938" s="110">
        <v>97</v>
      </c>
      <c r="F1938" s="41" t="s">
        <v>556</v>
      </c>
      <c r="G1938" s="93">
        <v>1613898.7280000001</v>
      </c>
      <c r="H1938" s="122">
        <v>0.58231658758702476</v>
      </c>
      <c r="I1938" s="106">
        <v>8.943256320603532E-2</v>
      </c>
      <c r="J1938" s="106">
        <v>0.60459958426833826</v>
      </c>
      <c r="R1938" s="76">
        <f t="shared" si="339"/>
        <v>33080.959999999999</v>
      </c>
      <c r="S1938" s="93">
        <v>8270.24</v>
      </c>
      <c r="T1938" s="93">
        <v>144.33510000000001</v>
      </c>
      <c r="U1938" s="93">
        <v>975.76250000000005</v>
      </c>
      <c r="AM1938" s="53">
        <v>1854455.0160000001</v>
      </c>
      <c r="AO1938" s="53">
        <f t="shared" si="343"/>
        <v>939799.99999999988</v>
      </c>
      <c r="AP1938" s="53">
        <f t="shared" si="343"/>
        <v>144335.1</v>
      </c>
      <c r="AQ1938" s="53">
        <f t="shared" si="343"/>
        <v>975762.5</v>
      </c>
      <c r="AR1938" s="53">
        <f t="shared" si="343"/>
        <v>0</v>
      </c>
      <c r="AS1938" s="53">
        <f t="shared" si="343"/>
        <v>0</v>
      </c>
      <c r="AT1938" s="53">
        <f t="shared" si="343"/>
        <v>0</v>
      </c>
      <c r="AU1938" s="53">
        <f t="shared" si="343"/>
        <v>0</v>
      </c>
      <c r="AV1938" s="53">
        <f t="shared" si="343"/>
        <v>0</v>
      </c>
      <c r="AW1938" s="53">
        <f t="shared" si="343"/>
        <v>0</v>
      </c>
      <c r="AX1938" s="53">
        <f t="shared" si="342"/>
        <v>156548176.616</v>
      </c>
      <c r="AY1938" s="41" t="s">
        <v>557</v>
      </c>
    </row>
    <row r="1939" spans="1:51" x14ac:dyDescent="0.2">
      <c r="A1939" s="41" t="s">
        <v>246</v>
      </c>
      <c r="B1939" s="41">
        <v>1956</v>
      </c>
      <c r="C1939" s="41" t="s">
        <v>101</v>
      </c>
      <c r="D1939" s="41" t="s">
        <v>137</v>
      </c>
      <c r="E1939" s="110">
        <v>97</v>
      </c>
      <c r="F1939" s="41" t="s">
        <v>556</v>
      </c>
      <c r="G1939" s="93">
        <v>1626342.696</v>
      </c>
      <c r="H1939" s="122">
        <v>0.56728343601653353</v>
      </c>
      <c r="I1939" s="106">
        <v>9.4274718592273862E-2</v>
      </c>
      <c r="J1939" s="106">
        <v>0.69671502985616762</v>
      </c>
      <c r="R1939" s="76">
        <f t="shared" si="339"/>
        <v>32475.423999999999</v>
      </c>
      <c r="S1939" s="93">
        <v>8118.8559999999998</v>
      </c>
      <c r="T1939" s="93">
        <v>153.32300000000001</v>
      </c>
      <c r="U1939" s="93">
        <v>1133.0974000000001</v>
      </c>
      <c r="AM1939" s="53">
        <v>2596129.9360000002</v>
      </c>
      <c r="AO1939" s="53">
        <f t="shared" si="343"/>
        <v>922597.27272727259</v>
      </c>
      <c r="AP1939" s="53">
        <f t="shared" si="343"/>
        <v>153323</v>
      </c>
      <c r="AQ1939" s="53">
        <f t="shared" si="343"/>
        <v>1133097.4000000001</v>
      </c>
      <c r="AR1939" s="53">
        <f t="shared" si="343"/>
        <v>0</v>
      </c>
      <c r="AS1939" s="53">
        <f t="shared" si="343"/>
        <v>0</v>
      </c>
      <c r="AT1939" s="53">
        <f t="shared" si="343"/>
        <v>0</v>
      </c>
      <c r="AU1939" s="53">
        <f t="shared" si="343"/>
        <v>0</v>
      </c>
      <c r="AV1939" s="53">
        <f t="shared" si="343"/>
        <v>0</v>
      </c>
      <c r="AW1939" s="53">
        <f t="shared" si="343"/>
        <v>0</v>
      </c>
      <c r="AX1939" s="53">
        <f t="shared" si="342"/>
        <v>157755241.51199999</v>
      </c>
      <c r="AY1939" s="41" t="s">
        <v>557</v>
      </c>
    </row>
    <row r="1940" spans="1:51" x14ac:dyDescent="0.2">
      <c r="A1940" s="41" t="s">
        <v>246</v>
      </c>
      <c r="B1940" s="41">
        <v>1957</v>
      </c>
      <c r="C1940" s="41" t="s">
        <v>101</v>
      </c>
      <c r="D1940" s="41" t="s">
        <v>137</v>
      </c>
      <c r="E1940" s="110">
        <v>97</v>
      </c>
      <c r="F1940" s="41" t="s">
        <v>556</v>
      </c>
      <c r="G1940" s="93">
        <v>1936222.696</v>
      </c>
      <c r="H1940" s="122">
        <v>0.59980562934547521</v>
      </c>
      <c r="I1940" s="106">
        <v>9.9119848350336659E-2</v>
      </c>
      <c r="J1940" s="106">
        <v>0.58863151555579118</v>
      </c>
      <c r="R1940" s="76">
        <f t="shared" si="339"/>
        <v>40879.775999999998</v>
      </c>
      <c r="S1940" s="93">
        <v>10219.944</v>
      </c>
      <c r="T1940" s="93">
        <v>191.91810000000001</v>
      </c>
      <c r="U1940" s="93">
        <v>1139.7217000000001</v>
      </c>
      <c r="AM1940" s="53">
        <v>2206568.1039999998</v>
      </c>
      <c r="AO1940" s="53">
        <f t="shared" si="343"/>
        <v>1161357.2727272727</v>
      </c>
      <c r="AP1940" s="53">
        <f t="shared" si="343"/>
        <v>191918.1</v>
      </c>
      <c r="AQ1940" s="53">
        <f t="shared" si="343"/>
        <v>1139721.7</v>
      </c>
      <c r="AR1940" s="53">
        <f t="shared" si="343"/>
        <v>0</v>
      </c>
      <c r="AS1940" s="53">
        <f t="shared" si="343"/>
        <v>0</v>
      </c>
      <c r="AT1940" s="53">
        <f t="shared" si="343"/>
        <v>0</v>
      </c>
      <c r="AU1940" s="53">
        <f t="shared" si="343"/>
        <v>0</v>
      </c>
      <c r="AV1940" s="53">
        <f t="shared" si="343"/>
        <v>0</v>
      </c>
      <c r="AW1940" s="53">
        <f t="shared" si="343"/>
        <v>0</v>
      </c>
      <c r="AX1940" s="53">
        <f t="shared" si="342"/>
        <v>187813601.51199999</v>
      </c>
      <c r="AY1940" s="41" t="s">
        <v>557</v>
      </c>
    </row>
    <row r="1941" spans="1:51" x14ac:dyDescent="0.2">
      <c r="A1941" s="41" t="s">
        <v>246</v>
      </c>
      <c r="B1941" s="41">
        <v>1958</v>
      </c>
      <c r="C1941" s="41" t="s">
        <v>101</v>
      </c>
      <c r="D1941" s="41" t="s">
        <v>137</v>
      </c>
      <c r="E1941" s="110">
        <v>97</v>
      </c>
      <c r="F1941" s="41" t="s">
        <v>556</v>
      </c>
      <c r="G1941" s="93">
        <v>1983204.568</v>
      </c>
      <c r="H1941" s="122">
        <v>0.60277007371050184</v>
      </c>
      <c r="I1941" s="106">
        <v>9.432536764911284E-2</v>
      </c>
      <c r="J1941" s="106">
        <v>0.53955992098138406</v>
      </c>
      <c r="R1941" s="76">
        <f t="shared" ref="R1941:R1997" si="344">S1941*4</f>
        <v>42078.656000000003</v>
      </c>
      <c r="S1941" s="93">
        <v>10519.664000000001</v>
      </c>
      <c r="T1941" s="93">
        <v>187.06649999999999</v>
      </c>
      <c r="U1941" s="93">
        <v>1070.0576999999998</v>
      </c>
      <c r="AM1941" s="53">
        <v>1997529.152</v>
      </c>
      <c r="AO1941" s="53">
        <f t="shared" si="343"/>
        <v>1195416.363636364</v>
      </c>
      <c r="AP1941" s="53">
        <f t="shared" si="343"/>
        <v>187066.5</v>
      </c>
      <c r="AQ1941" s="53">
        <f t="shared" si="343"/>
        <v>1070057.7</v>
      </c>
      <c r="AR1941" s="53">
        <f t="shared" si="343"/>
        <v>0</v>
      </c>
      <c r="AS1941" s="53">
        <f t="shared" si="343"/>
        <v>0</v>
      </c>
      <c r="AT1941" s="53">
        <f t="shared" si="343"/>
        <v>0</v>
      </c>
      <c r="AU1941" s="53">
        <f t="shared" si="343"/>
        <v>0</v>
      </c>
      <c r="AV1941" s="53">
        <f t="shared" si="343"/>
        <v>0</v>
      </c>
      <c r="AW1941" s="53">
        <f t="shared" si="343"/>
        <v>0</v>
      </c>
      <c r="AX1941" s="53">
        <f t="shared" si="342"/>
        <v>192370843.09599999</v>
      </c>
      <c r="AY1941" s="41" t="s">
        <v>557</v>
      </c>
    </row>
    <row r="1942" spans="1:51" x14ac:dyDescent="0.2">
      <c r="A1942" s="41" t="s">
        <v>246</v>
      </c>
      <c r="B1942" s="41">
        <v>1959</v>
      </c>
      <c r="C1942" s="41" t="s">
        <v>101</v>
      </c>
      <c r="D1942" s="41" t="s">
        <v>137</v>
      </c>
      <c r="E1942" s="110">
        <v>97</v>
      </c>
      <c r="F1942" s="41" t="s">
        <v>556</v>
      </c>
      <c r="G1942" s="93">
        <v>2000199.2</v>
      </c>
      <c r="H1942" s="122">
        <v>0.64463397627414498</v>
      </c>
      <c r="I1942" s="106">
        <v>0.10751754125289122</v>
      </c>
      <c r="J1942" s="106">
        <v>0.48694640013854623</v>
      </c>
      <c r="R1942" s="76">
        <f t="shared" si="344"/>
        <v>45386.752</v>
      </c>
      <c r="S1942" s="93">
        <v>11346.688</v>
      </c>
      <c r="T1942" s="93">
        <v>215.0565</v>
      </c>
      <c r="U1942" s="93">
        <v>973.98980000000006</v>
      </c>
      <c r="AM1942" s="53">
        <v>2086280.8160000001</v>
      </c>
      <c r="AO1942" s="53">
        <f t="shared" si="343"/>
        <v>1289396.3636363638</v>
      </c>
      <c r="AP1942" s="53">
        <f t="shared" si="343"/>
        <v>215056.5</v>
      </c>
      <c r="AQ1942" s="53">
        <f t="shared" si="343"/>
        <v>973989.8</v>
      </c>
      <c r="AR1942" s="53">
        <f t="shared" si="343"/>
        <v>0</v>
      </c>
      <c r="AS1942" s="53">
        <f t="shared" si="343"/>
        <v>0</v>
      </c>
      <c r="AT1942" s="53">
        <f t="shared" si="343"/>
        <v>0</v>
      </c>
      <c r="AU1942" s="53">
        <f t="shared" si="343"/>
        <v>0</v>
      </c>
      <c r="AV1942" s="53">
        <f t="shared" si="343"/>
        <v>0</v>
      </c>
      <c r="AW1942" s="53">
        <f t="shared" si="343"/>
        <v>0</v>
      </c>
      <c r="AX1942" s="53">
        <f t="shared" si="342"/>
        <v>194019322.40000001</v>
      </c>
      <c r="AY1942" s="41" t="s">
        <v>557</v>
      </c>
    </row>
    <row r="1943" spans="1:51" x14ac:dyDescent="0.2">
      <c r="A1943" s="41" t="s">
        <v>246</v>
      </c>
      <c r="B1943" s="41">
        <v>1960</v>
      </c>
      <c r="C1943" s="41" t="s">
        <v>101</v>
      </c>
      <c r="D1943" s="41" t="s">
        <v>137</v>
      </c>
      <c r="E1943" s="103">
        <v>99.544253345318509</v>
      </c>
      <c r="F1943" s="41" t="s">
        <v>556</v>
      </c>
      <c r="G1943" s="93">
        <v>2017396.0160000001</v>
      </c>
      <c r="H1943" s="122">
        <v>0.61424411793010913</v>
      </c>
      <c r="I1943" s="106">
        <v>0.11080957740921801</v>
      </c>
      <c r="J1943" s="106">
        <v>0.72596614070045828</v>
      </c>
      <c r="R1943" s="76">
        <f t="shared" si="344"/>
        <v>43618.912000000004</v>
      </c>
      <c r="S1943" s="93">
        <v>10904.728000000001</v>
      </c>
      <c r="T1943" s="93">
        <v>223.54680000000002</v>
      </c>
      <c r="U1943" s="93">
        <v>1464.5611999999999</v>
      </c>
      <c r="AM1943" s="53">
        <v>2339845.9679999999</v>
      </c>
      <c r="AO1943" s="53">
        <f t="shared" si="343"/>
        <v>1239173.6363636365</v>
      </c>
      <c r="AP1943" s="53">
        <f t="shared" si="343"/>
        <v>223546.80000000002</v>
      </c>
      <c r="AQ1943" s="53">
        <f t="shared" si="343"/>
        <v>1464561.2</v>
      </c>
      <c r="AR1943" s="53">
        <f t="shared" si="343"/>
        <v>0</v>
      </c>
      <c r="AS1943" s="53">
        <f t="shared" si="343"/>
        <v>0</v>
      </c>
      <c r="AT1943" s="53">
        <f t="shared" si="343"/>
        <v>0</v>
      </c>
      <c r="AU1943" s="53">
        <f t="shared" si="343"/>
        <v>0</v>
      </c>
      <c r="AV1943" s="53">
        <f t="shared" si="343"/>
        <v>0</v>
      </c>
      <c r="AW1943" s="53">
        <f t="shared" si="343"/>
        <v>0</v>
      </c>
      <c r="AX1943" s="53">
        <f t="shared" si="342"/>
        <v>200820180.11454025</v>
      </c>
      <c r="AY1943" s="41" t="s">
        <v>557</v>
      </c>
    </row>
    <row r="1944" spans="1:51" x14ac:dyDescent="0.2">
      <c r="A1944" s="41" t="s">
        <v>246</v>
      </c>
      <c r="B1944" s="41">
        <v>1961</v>
      </c>
      <c r="C1944" s="41" t="s">
        <v>101</v>
      </c>
      <c r="D1944" s="41" t="s">
        <v>137</v>
      </c>
      <c r="E1944" s="103">
        <v>99.322957592963419</v>
      </c>
      <c r="F1944" s="41" t="s">
        <v>556</v>
      </c>
      <c r="G1944" s="93">
        <v>2014070.648</v>
      </c>
      <c r="H1944" s="122">
        <v>0.6683976062790028</v>
      </c>
      <c r="I1944" s="106">
        <v>0.11182636528845338</v>
      </c>
      <c r="J1944" s="106">
        <v>0.66867286971156936</v>
      </c>
      <c r="R1944" s="76">
        <f t="shared" si="344"/>
        <v>47386.239999999998</v>
      </c>
      <c r="S1944" s="93">
        <v>11846.56</v>
      </c>
      <c r="T1944" s="93">
        <v>225.22620000000001</v>
      </c>
      <c r="U1944" s="93">
        <v>1346.7544</v>
      </c>
      <c r="AM1944" s="53">
        <v>2702551.872</v>
      </c>
      <c r="AO1944" s="53">
        <f t="shared" si="343"/>
        <v>1346200</v>
      </c>
      <c r="AP1944" s="53">
        <f t="shared" si="343"/>
        <v>225226.2</v>
      </c>
      <c r="AQ1944" s="53">
        <f t="shared" si="343"/>
        <v>1346754.4000000001</v>
      </c>
      <c r="AR1944" s="53">
        <f t="shared" si="343"/>
        <v>0</v>
      </c>
      <c r="AS1944" s="53">
        <f t="shared" si="343"/>
        <v>0</v>
      </c>
      <c r="AT1944" s="53">
        <f t="shared" si="343"/>
        <v>0</v>
      </c>
      <c r="AU1944" s="53">
        <f t="shared" si="343"/>
        <v>0</v>
      </c>
      <c r="AV1944" s="53">
        <f t="shared" si="343"/>
        <v>0</v>
      </c>
      <c r="AW1944" s="53">
        <f t="shared" si="343"/>
        <v>0</v>
      </c>
      <c r="AX1944" s="53">
        <f t="shared" si="342"/>
        <v>200043453.56053635</v>
      </c>
      <c r="AY1944" s="41" t="s">
        <v>557</v>
      </c>
    </row>
    <row r="1945" spans="1:51" x14ac:dyDescent="0.2">
      <c r="A1945" s="41" t="s">
        <v>246</v>
      </c>
      <c r="B1945" s="41">
        <v>1962</v>
      </c>
      <c r="C1945" s="41" t="s">
        <v>101</v>
      </c>
      <c r="D1945" s="41" t="s">
        <v>137</v>
      </c>
      <c r="E1945" s="103">
        <v>98.836896231041706</v>
      </c>
      <c r="F1945" s="41" t="s">
        <v>556</v>
      </c>
      <c r="G1945" s="93">
        <v>2063327.344</v>
      </c>
      <c r="H1945" s="122">
        <v>0.7135447353604033</v>
      </c>
      <c r="I1945" s="106">
        <v>0.11233714353373103</v>
      </c>
      <c r="J1945" s="106">
        <v>0.83411045029023767</v>
      </c>
      <c r="R1945" s="76">
        <f t="shared" si="344"/>
        <v>51824.128000000004</v>
      </c>
      <c r="S1945" s="93">
        <v>12956.032000000001</v>
      </c>
      <c r="T1945" s="93">
        <v>231.78830000000002</v>
      </c>
      <c r="U1945" s="93">
        <v>1721.0429000000001</v>
      </c>
      <c r="AM1945" s="53">
        <v>2388872.0320000001</v>
      </c>
      <c r="AO1945" s="53">
        <f t="shared" si="343"/>
        <v>1472276.3636363638</v>
      </c>
      <c r="AP1945" s="53">
        <f t="shared" si="343"/>
        <v>231788.30000000002</v>
      </c>
      <c r="AQ1945" s="53">
        <f t="shared" si="343"/>
        <v>1721042.9000000001</v>
      </c>
      <c r="AR1945" s="53">
        <f t="shared" si="343"/>
        <v>0</v>
      </c>
      <c r="AS1945" s="53">
        <f t="shared" si="343"/>
        <v>0</v>
      </c>
      <c r="AT1945" s="53">
        <f t="shared" si="343"/>
        <v>0</v>
      </c>
      <c r="AU1945" s="53">
        <f t="shared" si="343"/>
        <v>0</v>
      </c>
      <c r="AV1945" s="53">
        <f t="shared" si="343"/>
        <v>0</v>
      </c>
      <c r="AW1945" s="53">
        <f t="shared" si="343"/>
        <v>0</v>
      </c>
      <c r="AX1945" s="53">
        <f t="shared" si="342"/>
        <v>203932870.58959889</v>
      </c>
      <c r="AY1945" s="41" t="s">
        <v>557</v>
      </c>
    </row>
    <row r="1946" spans="1:51" x14ac:dyDescent="0.2">
      <c r="A1946" s="41" t="s">
        <v>246</v>
      </c>
      <c r="B1946" s="41">
        <v>1963</v>
      </c>
      <c r="C1946" s="41" t="s">
        <v>101</v>
      </c>
      <c r="D1946" s="41" t="s">
        <v>137</v>
      </c>
      <c r="E1946" s="103">
        <v>98.944823778785505</v>
      </c>
      <c r="F1946" s="41" t="s">
        <v>556</v>
      </c>
      <c r="G1946" s="93">
        <v>2187714.1919999998</v>
      </c>
      <c r="H1946" s="122">
        <v>0.78733610173351365</v>
      </c>
      <c r="I1946" s="106">
        <v>0.14649331305338995</v>
      </c>
      <c r="J1946" s="106">
        <v>0.8473724798143103</v>
      </c>
      <c r="R1946" s="76">
        <f t="shared" si="344"/>
        <v>60630.815999999999</v>
      </c>
      <c r="S1946" s="93">
        <v>15157.704</v>
      </c>
      <c r="T1946" s="93">
        <v>320.4855</v>
      </c>
      <c r="U1946" s="93">
        <v>1853.8088</v>
      </c>
      <c r="AM1946" s="53">
        <v>2241394.5520000001</v>
      </c>
      <c r="AO1946" s="53">
        <f t="shared" si="343"/>
        <v>1722466.3636363635</v>
      </c>
      <c r="AP1946" s="53">
        <f t="shared" si="343"/>
        <v>320485.5</v>
      </c>
      <c r="AQ1946" s="53">
        <f t="shared" si="343"/>
        <v>1853808.8</v>
      </c>
      <c r="AR1946" s="53">
        <f t="shared" si="343"/>
        <v>0</v>
      </c>
      <c r="AS1946" s="53">
        <f t="shared" si="343"/>
        <v>0</v>
      </c>
      <c r="AT1946" s="53">
        <f t="shared" si="343"/>
        <v>0</v>
      </c>
      <c r="AU1946" s="53">
        <f t="shared" si="343"/>
        <v>0</v>
      </c>
      <c r="AV1946" s="53">
        <f t="shared" si="343"/>
        <v>0</v>
      </c>
      <c r="AW1946" s="53">
        <f t="shared" si="343"/>
        <v>0</v>
      </c>
      <c r="AX1946" s="53">
        <f t="shared" si="342"/>
        <v>216462995.20578811</v>
      </c>
      <c r="AY1946" s="41" t="s">
        <v>557</v>
      </c>
    </row>
    <row r="1947" spans="1:51" x14ac:dyDescent="0.2">
      <c r="A1947" s="41" t="s">
        <v>246</v>
      </c>
      <c r="B1947" s="41">
        <v>1964</v>
      </c>
      <c r="C1947" s="41" t="s">
        <v>101</v>
      </c>
      <c r="D1947" s="41" t="s">
        <v>137</v>
      </c>
      <c r="E1947" s="103">
        <v>97.886323588000906</v>
      </c>
      <c r="F1947" s="41" t="s">
        <v>556</v>
      </c>
      <c r="G1947" s="93">
        <v>2194717.48</v>
      </c>
      <c r="H1947" s="122">
        <v>0.69218517778922017</v>
      </c>
      <c r="I1947" s="106">
        <v>0.11111001858881628</v>
      </c>
      <c r="J1947" s="106">
        <v>0.745504154821786</v>
      </c>
      <c r="R1947" s="76">
        <f t="shared" si="344"/>
        <v>53474.112000000001</v>
      </c>
      <c r="S1947" s="93">
        <v>13368.528</v>
      </c>
      <c r="T1947" s="93">
        <v>243.85509999999999</v>
      </c>
      <c r="U1947" s="93">
        <v>1636.171</v>
      </c>
      <c r="AM1947" s="53">
        <v>2148896.8960000002</v>
      </c>
      <c r="AO1947" s="53">
        <f t="shared" si="343"/>
        <v>1519150.9090909092</v>
      </c>
      <c r="AP1947" s="53">
        <f t="shared" si="343"/>
        <v>243855.1</v>
      </c>
      <c r="AQ1947" s="53">
        <f t="shared" si="343"/>
        <v>1636171</v>
      </c>
      <c r="AR1947" s="53">
        <f t="shared" si="343"/>
        <v>0</v>
      </c>
      <c r="AS1947" s="53">
        <f t="shared" si="343"/>
        <v>0</v>
      </c>
      <c r="AT1947" s="53">
        <f t="shared" si="343"/>
        <v>0</v>
      </c>
      <c r="AU1947" s="53">
        <f t="shared" si="343"/>
        <v>0</v>
      </c>
      <c r="AV1947" s="53">
        <f t="shared" si="343"/>
        <v>0</v>
      </c>
      <c r="AW1947" s="53">
        <f t="shared" si="343"/>
        <v>0</v>
      </c>
      <c r="AX1947" s="53">
        <f t="shared" si="342"/>
        <v>214832825.43152189</v>
      </c>
      <c r="AY1947" s="41" t="s">
        <v>557</v>
      </c>
    </row>
    <row r="1948" spans="1:51" x14ac:dyDescent="0.2">
      <c r="A1948" s="41" t="s">
        <v>246</v>
      </c>
      <c r="B1948" s="41">
        <v>1965</v>
      </c>
      <c r="C1948" s="41" t="s">
        <v>101</v>
      </c>
      <c r="D1948" s="41" t="s">
        <v>137</v>
      </c>
      <c r="E1948" s="103">
        <v>94.347459286186108</v>
      </c>
      <c r="F1948" s="41" t="s">
        <v>556</v>
      </c>
      <c r="G1948" s="93">
        <v>2157284.9920000001</v>
      </c>
      <c r="H1948" s="122">
        <v>0.71586276534018534</v>
      </c>
      <c r="I1948" s="106">
        <v>0.11792507755971075</v>
      </c>
      <c r="J1948" s="106">
        <v>0.71902581520392839</v>
      </c>
      <c r="R1948" s="76">
        <f t="shared" si="344"/>
        <v>54360.063999999998</v>
      </c>
      <c r="S1948" s="93">
        <v>13590.016</v>
      </c>
      <c r="T1948" s="93">
        <v>254.398</v>
      </c>
      <c r="U1948" s="93">
        <v>1551.1436000000001</v>
      </c>
      <c r="AM1948" s="53">
        <v>2333035.7200000002</v>
      </c>
      <c r="AO1948" s="53">
        <f t="shared" si="343"/>
        <v>1544319.9999999998</v>
      </c>
      <c r="AP1948" s="53">
        <f t="shared" si="343"/>
        <v>254398</v>
      </c>
      <c r="AQ1948" s="53">
        <f t="shared" si="343"/>
        <v>1551143.6</v>
      </c>
      <c r="AR1948" s="53">
        <f t="shared" si="343"/>
        <v>0</v>
      </c>
      <c r="AS1948" s="53">
        <f t="shared" si="343"/>
        <v>0</v>
      </c>
      <c r="AT1948" s="53">
        <f t="shared" si="343"/>
        <v>0</v>
      </c>
      <c r="AU1948" s="53">
        <f t="shared" si="343"/>
        <v>0</v>
      </c>
      <c r="AV1948" s="53">
        <f t="shared" si="343"/>
        <v>0</v>
      </c>
      <c r="AW1948" s="53">
        <f t="shared" si="343"/>
        <v>0</v>
      </c>
      <c r="AX1948" s="53">
        <f t="shared" si="342"/>
        <v>203534357.95142034</v>
      </c>
      <c r="AY1948" s="41" t="s">
        <v>557</v>
      </c>
    </row>
    <row r="1949" spans="1:51" x14ac:dyDescent="0.2">
      <c r="A1949" s="41" t="s">
        <v>246</v>
      </c>
      <c r="B1949" s="41">
        <v>1966</v>
      </c>
      <c r="C1949" s="41" t="s">
        <v>101</v>
      </c>
      <c r="D1949" s="41" t="s">
        <v>137</v>
      </c>
      <c r="E1949" s="103">
        <v>95.26250397670151</v>
      </c>
      <c r="F1949" s="41" t="s">
        <v>556</v>
      </c>
      <c r="G1949" s="93">
        <v>2182119.08</v>
      </c>
      <c r="H1949" s="122">
        <v>0.78469886420513935</v>
      </c>
      <c r="I1949" s="106">
        <v>0.1240796629668808</v>
      </c>
      <c r="J1949" s="106">
        <v>0.85262367991393029</v>
      </c>
      <c r="R1949" s="76">
        <f t="shared" si="344"/>
        <v>60273.184000000001</v>
      </c>
      <c r="S1949" s="93">
        <v>15068.296</v>
      </c>
      <c r="T1949" s="93">
        <v>270.75660000000005</v>
      </c>
      <c r="U1949" s="93">
        <v>1860.5264000000002</v>
      </c>
      <c r="AM1949" s="53">
        <v>2283284.2319999998</v>
      </c>
      <c r="AO1949" s="53">
        <f t="shared" si="343"/>
        <v>1712306.3636363638</v>
      </c>
      <c r="AP1949" s="53">
        <f t="shared" si="343"/>
        <v>270756.60000000003</v>
      </c>
      <c r="AQ1949" s="53">
        <f t="shared" si="343"/>
        <v>1860526.4000000001</v>
      </c>
      <c r="AR1949" s="53">
        <f t="shared" si="343"/>
        <v>0</v>
      </c>
      <c r="AS1949" s="53">
        <f t="shared" si="343"/>
        <v>0</v>
      </c>
      <c r="AT1949" s="53">
        <f t="shared" si="343"/>
        <v>0</v>
      </c>
      <c r="AU1949" s="53">
        <f t="shared" si="343"/>
        <v>0</v>
      </c>
      <c r="AV1949" s="53">
        <f t="shared" si="343"/>
        <v>0</v>
      </c>
      <c r="AW1949" s="53">
        <f t="shared" si="343"/>
        <v>0</v>
      </c>
      <c r="AX1949" s="53">
        <f t="shared" si="342"/>
        <v>207874127.53613624</v>
      </c>
      <c r="AY1949" s="41" t="s">
        <v>557</v>
      </c>
    </row>
    <row r="1950" spans="1:51" x14ac:dyDescent="0.2">
      <c r="A1950" s="41" t="s">
        <v>246</v>
      </c>
      <c r="B1950" s="41">
        <v>1967</v>
      </c>
      <c r="C1950" s="41" t="s">
        <v>101</v>
      </c>
      <c r="D1950" s="41" t="s">
        <v>137</v>
      </c>
      <c r="E1950" s="103">
        <v>96.758383534343722</v>
      </c>
      <c r="F1950" s="41" t="s">
        <v>556</v>
      </c>
      <c r="G1950" s="93">
        <v>2215624.7280000001</v>
      </c>
      <c r="H1950" s="122">
        <v>0.80519214911183112</v>
      </c>
      <c r="I1950" s="106">
        <v>0.13190261703921549</v>
      </c>
      <c r="J1950" s="106">
        <v>1.0581405643167203</v>
      </c>
      <c r="R1950" s="76">
        <f t="shared" si="344"/>
        <v>62796.928</v>
      </c>
      <c r="S1950" s="93">
        <v>15699.232</v>
      </c>
      <c r="T1950" s="93">
        <v>292.24670000000003</v>
      </c>
      <c r="U1950" s="93">
        <v>2344.4423999999999</v>
      </c>
      <c r="AM1950" s="53">
        <v>2025439.6880000001</v>
      </c>
      <c r="AO1950" s="53">
        <f t="shared" si="343"/>
        <v>1784003.6363636365</v>
      </c>
      <c r="AP1950" s="53">
        <f t="shared" si="343"/>
        <v>292246.7</v>
      </c>
      <c r="AQ1950" s="53">
        <f t="shared" si="343"/>
        <v>2344442.4</v>
      </c>
      <c r="AR1950" s="53">
        <f t="shared" si="343"/>
        <v>0</v>
      </c>
      <c r="AS1950" s="53">
        <f t="shared" si="343"/>
        <v>0</v>
      </c>
      <c r="AT1950" s="53">
        <f t="shared" si="343"/>
        <v>0</v>
      </c>
      <c r="AU1950" s="53">
        <f t="shared" si="343"/>
        <v>0</v>
      </c>
      <c r="AV1950" s="53">
        <f t="shared" si="343"/>
        <v>0</v>
      </c>
      <c r="AW1950" s="53">
        <f t="shared" si="343"/>
        <v>0</v>
      </c>
      <c r="AX1950" s="53">
        <f t="shared" si="342"/>
        <v>214380267.19999999</v>
      </c>
      <c r="AY1950" s="41" t="s">
        <v>557</v>
      </c>
    </row>
    <row r="1951" spans="1:51" x14ac:dyDescent="0.2">
      <c r="A1951" s="41" t="s">
        <v>246</v>
      </c>
      <c r="B1951" s="41">
        <v>1968</v>
      </c>
      <c r="C1951" s="41" t="s">
        <v>101</v>
      </c>
      <c r="D1951" s="41" t="s">
        <v>137</v>
      </c>
      <c r="E1951" s="103">
        <v>95.431168071171399</v>
      </c>
      <c r="F1951" s="41" t="s">
        <v>556</v>
      </c>
      <c r="G1951" s="93">
        <v>2297062.2080000001</v>
      </c>
      <c r="H1951" s="122">
        <v>0.73467713892626585</v>
      </c>
      <c r="I1951" s="106">
        <v>0.11489223020641852</v>
      </c>
      <c r="J1951" s="106">
        <v>1.0740785301361764</v>
      </c>
      <c r="R1951" s="76">
        <f t="shared" si="344"/>
        <v>59403.487999999998</v>
      </c>
      <c r="S1951" s="93">
        <v>14850.871999999999</v>
      </c>
      <c r="T1951" s="93">
        <v>263.91460000000001</v>
      </c>
      <c r="U1951" s="93">
        <v>2467.2252000000003</v>
      </c>
      <c r="AM1951" s="53">
        <v>1447559.2080000001</v>
      </c>
      <c r="AO1951" s="53">
        <f t="shared" si="343"/>
        <v>1687599.0909090911</v>
      </c>
      <c r="AP1951" s="53">
        <f t="shared" si="343"/>
        <v>263914.60000000003</v>
      </c>
      <c r="AQ1951" s="53">
        <f t="shared" si="343"/>
        <v>2467225.2000000002</v>
      </c>
      <c r="AR1951" s="53">
        <f t="shared" si="343"/>
        <v>0</v>
      </c>
      <c r="AS1951" s="53">
        <f t="shared" si="343"/>
        <v>0</v>
      </c>
      <c r="AT1951" s="53">
        <f t="shared" si="343"/>
        <v>0</v>
      </c>
      <c r="AU1951" s="53">
        <f t="shared" si="343"/>
        <v>0</v>
      </c>
      <c r="AV1951" s="53">
        <f t="shared" si="343"/>
        <v>0</v>
      </c>
      <c r="AW1951" s="53">
        <f t="shared" si="343"/>
        <v>0</v>
      </c>
      <c r="AX1951" s="53">
        <f t="shared" si="342"/>
        <v>219211329.6415841</v>
      </c>
      <c r="AY1951" s="41" t="s">
        <v>557</v>
      </c>
    </row>
    <row r="1952" spans="1:51" x14ac:dyDescent="0.2">
      <c r="A1952" s="41" t="s">
        <v>246</v>
      </c>
      <c r="B1952" s="41">
        <v>1969</v>
      </c>
      <c r="C1952" s="41" t="s">
        <v>101</v>
      </c>
      <c r="D1952" s="41" t="s">
        <v>137</v>
      </c>
      <c r="E1952" s="103">
        <v>85.924305663712417</v>
      </c>
      <c r="F1952" s="41" t="s">
        <v>556</v>
      </c>
      <c r="G1952" s="93">
        <v>2204925.2319999998</v>
      </c>
      <c r="H1952" s="122">
        <v>0.84365837415553524</v>
      </c>
      <c r="I1952" s="106">
        <v>0.1465064190439633</v>
      </c>
      <c r="J1952" s="106">
        <v>1.0723869298076953</v>
      </c>
      <c r="R1952" s="76">
        <f t="shared" si="344"/>
        <v>65479.167999999998</v>
      </c>
      <c r="S1952" s="93">
        <v>16369.791999999999</v>
      </c>
      <c r="T1952" s="93">
        <v>323.03570000000002</v>
      </c>
      <c r="U1952" s="93">
        <v>2364.5329999999999</v>
      </c>
      <c r="AM1952" s="53">
        <v>1486498.4240000001</v>
      </c>
      <c r="AO1952" s="53">
        <f t="shared" si="343"/>
        <v>1860203.6363636362</v>
      </c>
      <c r="AP1952" s="53">
        <f t="shared" si="343"/>
        <v>323035.7</v>
      </c>
      <c r="AQ1952" s="53">
        <f t="shared" si="343"/>
        <v>2364533</v>
      </c>
      <c r="AR1952" s="53">
        <f t="shared" si="343"/>
        <v>0</v>
      </c>
      <c r="AS1952" s="53">
        <f t="shared" si="343"/>
        <v>0</v>
      </c>
      <c r="AT1952" s="53">
        <f t="shared" si="343"/>
        <v>0</v>
      </c>
      <c r="AU1952" s="53">
        <f t="shared" si="343"/>
        <v>0</v>
      </c>
      <c r="AV1952" s="53">
        <f t="shared" si="343"/>
        <v>0</v>
      </c>
      <c r="AW1952" s="53">
        <f t="shared" si="343"/>
        <v>0</v>
      </c>
      <c r="AX1952" s="53">
        <f t="shared" si="342"/>
        <v>189456669.59999999</v>
      </c>
      <c r="AY1952" s="41" t="s">
        <v>557</v>
      </c>
    </row>
    <row r="1953" spans="1:51" x14ac:dyDescent="0.2">
      <c r="A1953" s="41" t="s">
        <v>246</v>
      </c>
      <c r="B1953" s="41">
        <v>1970</v>
      </c>
      <c r="C1953" s="41" t="s">
        <v>101</v>
      </c>
      <c r="D1953" s="41" t="s">
        <v>137</v>
      </c>
      <c r="E1953" s="103">
        <v>74.385190505020219</v>
      </c>
      <c r="F1953" s="41" t="s">
        <v>556</v>
      </c>
      <c r="G1953" s="93">
        <v>2240852.0079999999</v>
      </c>
      <c r="H1953" s="122">
        <v>1.0820263455304939</v>
      </c>
      <c r="I1953" s="106">
        <v>0.19166415205764897</v>
      </c>
      <c r="J1953" s="106">
        <v>1.5682596563512108</v>
      </c>
      <c r="R1953" s="76">
        <f t="shared" si="344"/>
        <v>85348.063999999998</v>
      </c>
      <c r="S1953" s="93">
        <v>21337.016</v>
      </c>
      <c r="T1953" s="93">
        <v>429.49099999999999</v>
      </c>
      <c r="U1953" s="93">
        <v>3514.2378000000003</v>
      </c>
      <c r="AM1953" s="53">
        <v>593021.92799999996</v>
      </c>
      <c r="AO1953" s="53">
        <f t="shared" si="343"/>
        <v>2424660.9090909092</v>
      </c>
      <c r="AP1953" s="53">
        <f t="shared" si="343"/>
        <v>429491</v>
      </c>
      <c r="AQ1953" s="53">
        <f t="shared" si="343"/>
        <v>3514237.8000000003</v>
      </c>
      <c r="AR1953" s="53">
        <f t="shared" si="343"/>
        <v>0</v>
      </c>
      <c r="AS1953" s="53">
        <f t="shared" si="343"/>
        <v>0</v>
      </c>
      <c r="AT1953" s="53">
        <f t="shared" si="343"/>
        <v>0</v>
      </c>
      <c r="AU1953" s="53">
        <f t="shared" si="343"/>
        <v>0</v>
      </c>
      <c r="AV1953" s="53">
        <f t="shared" si="343"/>
        <v>0</v>
      </c>
      <c r="AW1953" s="53">
        <f t="shared" si="343"/>
        <v>0</v>
      </c>
      <c r="AX1953" s="53">
        <f t="shared" si="342"/>
        <v>166686203.5086371</v>
      </c>
      <c r="AY1953" s="41" t="s">
        <v>557</v>
      </c>
    </row>
    <row r="1954" spans="1:51" x14ac:dyDescent="0.2">
      <c r="A1954" s="41" t="s">
        <v>246</v>
      </c>
      <c r="B1954" s="41">
        <v>1971</v>
      </c>
      <c r="C1954" s="41" t="s">
        <v>101</v>
      </c>
      <c r="D1954" s="41" t="s">
        <v>137</v>
      </c>
      <c r="E1954" s="103">
        <v>62.412463894388893</v>
      </c>
      <c r="F1954" s="41" t="s">
        <v>556</v>
      </c>
      <c r="G1954" s="93">
        <v>2462889.6639999999</v>
      </c>
      <c r="H1954" s="122">
        <v>1.0427939185327484</v>
      </c>
      <c r="I1954" s="106">
        <v>0.17077354546078441</v>
      </c>
      <c r="J1954" s="88">
        <v>1.4909980149236601</v>
      </c>
      <c r="R1954" s="76">
        <f t="shared" si="344"/>
        <v>90403.68</v>
      </c>
      <c r="S1954" s="93">
        <v>22600.92</v>
      </c>
      <c r="T1954" s="93">
        <v>420.59640000000002</v>
      </c>
      <c r="U1954" s="93">
        <v>3672.1636000000003</v>
      </c>
      <c r="AM1954" s="53">
        <v>332825.34399999998</v>
      </c>
      <c r="AO1954" s="53">
        <f t="shared" si="343"/>
        <v>2568286.3636363638</v>
      </c>
      <c r="AP1954" s="53">
        <f t="shared" si="343"/>
        <v>420596.4</v>
      </c>
      <c r="AQ1954" s="53">
        <f t="shared" si="343"/>
        <v>3672163.6</v>
      </c>
      <c r="AR1954" s="53">
        <f t="shared" si="343"/>
        <v>0</v>
      </c>
      <c r="AS1954" s="53">
        <f t="shared" si="343"/>
        <v>0</v>
      </c>
      <c r="AT1954" s="53">
        <f t="shared" si="343"/>
        <v>0</v>
      </c>
      <c r="AU1954" s="53">
        <f t="shared" si="343"/>
        <v>0</v>
      </c>
      <c r="AV1954" s="53">
        <f t="shared" si="343"/>
        <v>0</v>
      </c>
      <c r="AW1954" s="53">
        <f t="shared" si="343"/>
        <v>0</v>
      </c>
      <c r="AX1954" s="53">
        <f t="shared" si="342"/>
        <v>153715012.23026359</v>
      </c>
      <c r="AY1954" s="41" t="s">
        <v>557</v>
      </c>
    </row>
    <row r="1955" spans="1:51" x14ac:dyDescent="0.2">
      <c r="A1955" s="41" t="s">
        <v>246</v>
      </c>
      <c r="B1955" s="41">
        <v>1972</v>
      </c>
      <c r="C1955" s="41" t="s">
        <v>101</v>
      </c>
      <c r="D1955" s="41" t="s">
        <v>137</v>
      </c>
      <c r="E1955" s="103">
        <v>34.804551366992477</v>
      </c>
      <c r="F1955" s="41" t="s">
        <v>556</v>
      </c>
      <c r="G1955" s="93">
        <v>2411940</v>
      </c>
      <c r="H1955" s="62">
        <v>1.1299999999999999</v>
      </c>
      <c r="I1955" s="106">
        <v>0.19640735258754366</v>
      </c>
      <c r="J1955" s="106">
        <v>1.6650767017421659</v>
      </c>
      <c r="R1955" s="76">
        <f t="shared" si="344"/>
        <v>97153.983999999997</v>
      </c>
      <c r="S1955" s="53">
        <v>24288.495999999999</v>
      </c>
      <c r="T1955" s="53">
        <v>481.428</v>
      </c>
      <c r="U1955" s="53">
        <v>4081.0042000000003</v>
      </c>
      <c r="AM1955" s="53">
        <v>85121.495999999999</v>
      </c>
      <c r="AO1955" s="53">
        <f t="shared" si="343"/>
        <v>2725492.1999999997</v>
      </c>
      <c r="AP1955" s="53">
        <f t="shared" si="343"/>
        <v>473722.75000000006</v>
      </c>
      <c r="AQ1955" s="53">
        <f t="shared" si="343"/>
        <v>4016065.0999999996</v>
      </c>
      <c r="AR1955" s="53">
        <f t="shared" si="343"/>
        <v>0</v>
      </c>
      <c r="AS1955" s="53">
        <f t="shared" si="343"/>
        <v>0</v>
      </c>
      <c r="AT1955" s="53">
        <f t="shared" si="343"/>
        <v>0</v>
      </c>
      <c r="AU1955" s="53">
        <f t="shared" si="343"/>
        <v>0</v>
      </c>
      <c r="AV1955" s="53">
        <f t="shared" si="343"/>
        <v>0</v>
      </c>
      <c r="AW1955" s="53">
        <f t="shared" si="343"/>
        <v>0</v>
      </c>
      <c r="AX1955" s="53">
        <f t="shared" si="342"/>
        <v>83946489.624103829</v>
      </c>
      <c r="AY1955" s="41" t="s">
        <v>557</v>
      </c>
    </row>
    <row r="1956" spans="1:51" x14ac:dyDescent="0.2">
      <c r="A1956" s="41" t="s">
        <v>246</v>
      </c>
      <c r="B1956" s="41">
        <v>1973</v>
      </c>
      <c r="C1956" s="41" t="s">
        <v>101</v>
      </c>
      <c r="D1956" s="41" t="s">
        <v>137</v>
      </c>
      <c r="E1956" s="103">
        <v>14.364257020093197</v>
      </c>
      <c r="F1956" s="41" t="s">
        <v>556</v>
      </c>
      <c r="G1956" s="93">
        <v>2203873</v>
      </c>
      <c r="H1956" s="62">
        <v>1.17</v>
      </c>
      <c r="I1956" s="62">
        <v>0.36699999999999999</v>
      </c>
      <c r="J1956" s="62">
        <v>3.2</v>
      </c>
      <c r="R1956" s="76">
        <f t="shared" si="344"/>
        <v>91336</v>
      </c>
      <c r="S1956" s="53">
        <v>22834</v>
      </c>
      <c r="T1956" s="53">
        <v>441</v>
      </c>
      <c r="U1956" s="53">
        <v>3944</v>
      </c>
      <c r="AM1956" s="53">
        <v>567188</v>
      </c>
      <c r="AO1956" s="53">
        <f t="shared" si="343"/>
        <v>2578531.4099999997</v>
      </c>
      <c r="AP1956" s="53">
        <f t="shared" si="343"/>
        <v>808821.39099999995</v>
      </c>
      <c r="AQ1956" s="53">
        <f t="shared" si="343"/>
        <v>7052393.6000000006</v>
      </c>
      <c r="AR1956" s="53">
        <f t="shared" si="343"/>
        <v>0</v>
      </c>
      <c r="AS1956" s="53">
        <f t="shared" si="343"/>
        <v>0</v>
      </c>
      <c r="AT1956" s="53">
        <f t="shared" si="343"/>
        <v>0</v>
      </c>
      <c r="AU1956" s="53">
        <f t="shared" si="343"/>
        <v>0</v>
      </c>
      <c r="AV1956" s="53">
        <f t="shared" si="343"/>
        <v>0</v>
      </c>
      <c r="AW1956" s="53">
        <f t="shared" si="343"/>
        <v>0</v>
      </c>
      <c r="AX1956" s="53">
        <f t="shared" si="342"/>
        <v>31656998.211643852</v>
      </c>
      <c r="AY1956" s="41" t="s">
        <v>557</v>
      </c>
    </row>
    <row r="1957" spans="1:51" x14ac:dyDescent="0.2">
      <c r="A1957" s="41" t="s">
        <v>246</v>
      </c>
      <c r="B1957" s="41">
        <v>1974</v>
      </c>
      <c r="C1957" s="41" t="s">
        <v>101</v>
      </c>
      <c r="D1957" s="41" t="s">
        <v>137</v>
      </c>
      <c r="E1957" s="103">
        <v>14.51447999972553</v>
      </c>
      <c r="F1957" s="41" t="s">
        <v>556</v>
      </c>
      <c r="G1957" s="93">
        <v>2331054</v>
      </c>
      <c r="H1957" s="62">
        <v>1.23</v>
      </c>
      <c r="I1957" s="62">
        <v>0.38</v>
      </c>
      <c r="J1957" s="62">
        <v>3.9</v>
      </c>
      <c r="R1957" s="76">
        <f t="shared" si="344"/>
        <v>101428</v>
      </c>
      <c r="S1957" s="53">
        <v>25357</v>
      </c>
      <c r="T1957" s="53">
        <v>492.76400000000001</v>
      </c>
      <c r="U1957" s="53">
        <v>5217.3999999999996</v>
      </c>
      <c r="AM1957" s="53">
        <v>601530</v>
      </c>
      <c r="AO1957" s="53">
        <f t="shared" si="343"/>
        <v>2867196.42</v>
      </c>
      <c r="AP1957" s="53">
        <f t="shared" si="343"/>
        <v>885800.52</v>
      </c>
      <c r="AQ1957" s="53">
        <f t="shared" si="343"/>
        <v>9091110.5999999996</v>
      </c>
      <c r="AR1957" s="53">
        <f t="shared" si="343"/>
        <v>0</v>
      </c>
      <c r="AS1957" s="53">
        <f t="shared" si="343"/>
        <v>0</v>
      </c>
      <c r="AT1957" s="53">
        <f t="shared" si="343"/>
        <v>0</v>
      </c>
      <c r="AU1957" s="53">
        <f t="shared" si="343"/>
        <v>0</v>
      </c>
      <c r="AV1957" s="53">
        <f t="shared" si="343"/>
        <v>0</v>
      </c>
      <c r="AW1957" s="53">
        <f t="shared" si="343"/>
        <v>0</v>
      </c>
      <c r="AX1957" s="53">
        <f t="shared" si="342"/>
        <v>33834036.6612802</v>
      </c>
      <c r="AY1957" s="41" t="s">
        <v>557</v>
      </c>
    </row>
    <row r="1958" spans="1:51" x14ac:dyDescent="0.2">
      <c r="A1958" s="41" t="s">
        <v>246</v>
      </c>
      <c r="B1958" s="41">
        <v>1975</v>
      </c>
      <c r="C1958" s="41" t="s">
        <v>101</v>
      </c>
      <c r="D1958" s="41" t="s">
        <v>137</v>
      </c>
      <c r="E1958" s="62">
        <v>8</v>
      </c>
      <c r="F1958" s="41" t="s">
        <v>556</v>
      </c>
      <c r="G1958" s="93">
        <v>2156431</v>
      </c>
      <c r="H1958" s="62">
        <v>1.19</v>
      </c>
      <c r="I1958" s="88">
        <v>0.4</v>
      </c>
      <c r="J1958" s="62">
        <v>3.6</v>
      </c>
      <c r="R1958" s="76">
        <f t="shared" si="344"/>
        <v>91820</v>
      </c>
      <c r="S1958" s="53">
        <v>22955</v>
      </c>
      <c r="T1958" s="53">
        <v>447.55599999999998</v>
      </c>
      <c r="U1958" s="53">
        <v>4402</v>
      </c>
      <c r="AM1958" s="53">
        <v>24300</v>
      </c>
      <c r="AO1958" s="53">
        <f t="shared" si="343"/>
        <v>2566152.8899999997</v>
      </c>
      <c r="AP1958" s="53">
        <f t="shared" si="343"/>
        <v>862572.4</v>
      </c>
      <c r="AQ1958" s="53">
        <f t="shared" si="343"/>
        <v>7763151.6000000006</v>
      </c>
      <c r="AR1958" s="53">
        <f t="shared" si="343"/>
        <v>0</v>
      </c>
      <c r="AS1958" s="53">
        <f t="shared" si="343"/>
        <v>0</v>
      </c>
      <c r="AT1958" s="53">
        <f t="shared" si="343"/>
        <v>0</v>
      </c>
      <c r="AU1958" s="53">
        <f t="shared" si="343"/>
        <v>0</v>
      </c>
      <c r="AV1958" s="53">
        <f t="shared" si="343"/>
        <v>0</v>
      </c>
      <c r="AW1958" s="53">
        <f t="shared" si="343"/>
        <v>0</v>
      </c>
      <c r="AX1958" s="53">
        <f t="shared" si="342"/>
        <v>17251448</v>
      </c>
      <c r="AY1958" s="41" t="s">
        <v>557</v>
      </c>
    </row>
    <row r="1959" spans="1:51" x14ac:dyDescent="0.2">
      <c r="A1959" s="41" t="s">
        <v>246</v>
      </c>
      <c r="B1959" s="41">
        <v>1976</v>
      </c>
      <c r="C1959" s="41" t="s">
        <v>101</v>
      </c>
      <c r="D1959" s="41" t="s">
        <v>137</v>
      </c>
      <c r="E1959" s="62">
        <v>11</v>
      </c>
      <c r="F1959" s="41" t="s">
        <v>556</v>
      </c>
      <c r="G1959" s="93">
        <v>2304034</v>
      </c>
      <c r="H1959" s="62">
        <v>1.03</v>
      </c>
      <c r="I1959" s="62">
        <v>0.31</v>
      </c>
      <c r="J1959" s="62">
        <v>2.9</v>
      </c>
      <c r="R1959" s="76">
        <f t="shared" si="344"/>
        <v>84984</v>
      </c>
      <c r="S1959" s="53">
        <v>21246</v>
      </c>
      <c r="T1959" s="53">
        <v>417.38799999999998</v>
      </c>
      <c r="U1959" s="53">
        <v>3916.7</v>
      </c>
      <c r="AO1959" s="53">
        <f t="shared" si="343"/>
        <v>2373155.02</v>
      </c>
      <c r="AP1959" s="53">
        <f t="shared" si="343"/>
        <v>714250.54</v>
      </c>
      <c r="AQ1959" s="53">
        <f t="shared" si="343"/>
        <v>6681698.5999999996</v>
      </c>
      <c r="AR1959" s="53">
        <f t="shared" si="343"/>
        <v>0</v>
      </c>
      <c r="AS1959" s="53">
        <f t="shared" si="343"/>
        <v>0</v>
      </c>
      <c r="AT1959" s="53">
        <f t="shared" si="343"/>
        <v>0</v>
      </c>
      <c r="AU1959" s="53">
        <f t="shared" si="343"/>
        <v>0</v>
      </c>
      <c r="AV1959" s="53">
        <f t="shared" si="343"/>
        <v>0</v>
      </c>
      <c r="AW1959" s="53">
        <f t="shared" si="343"/>
        <v>0</v>
      </c>
      <c r="AX1959" s="53">
        <f t="shared" si="342"/>
        <v>25344374</v>
      </c>
      <c r="AY1959" s="41" t="s">
        <v>557</v>
      </c>
    </row>
    <row r="1960" spans="1:51" x14ac:dyDescent="0.2">
      <c r="A1960" s="41" t="s">
        <v>246</v>
      </c>
      <c r="B1960" s="41">
        <v>1977</v>
      </c>
      <c r="C1960" s="41" t="s">
        <v>101</v>
      </c>
      <c r="D1960" s="41" t="s">
        <v>137</v>
      </c>
      <c r="E1960" s="88">
        <v>4.3460482128655649</v>
      </c>
      <c r="F1960" s="41" t="s">
        <v>556</v>
      </c>
      <c r="G1960" s="93">
        <v>1552905</v>
      </c>
      <c r="H1960" s="88">
        <v>1.26</v>
      </c>
      <c r="I1960" s="62">
        <v>0.36</v>
      </c>
      <c r="J1960" s="62">
        <v>2.68</v>
      </c>
      <c r="R1960" s="76">
        <f t="shared" si="344"/>
        <v>70760</v>
      </c>
      <c r="S1960" s="53">
        <v>17690</v>
      </c>
      <c r="T1960" s="53">
        <v>379.89499999999998</v>
      </c>
      <c r="U1960" s="53">
        <v>2621.6</v>
      </c>
      <c r="AO1960" s="53">
        <f t="shared" si="343"/>
        <v>1956660.3</v>
      </c>
      <c r="AP1960" s="53">
        <f t="shared" si="343"/>
        <v>559045.79999999993</v>
      </c>
      <c r="AQ1960" s="53">
        <f t="shared" si="343"/>
        <v>4161785.4000000004</v>
      </c>
      <c r="AR1960" s="53">
        <f t="shared" si="343"/>
        <v>0</v>
      </c>
      <c r="AS1960" s="53">
        <f t="shared" si="343"/>
        <v>0</v>
      </c>
      <c r="AT1960" s="53">
        <f t="shared" si="343"/>
        <v>0</v>
      </c>
      <c r="AU1960" s="53">
        <f t="shared" si="343"/>
        <v>0</v>
      </c>
      <c r="AV1960" s="53">
        <f t="shared" si="343"/>
        <v>0</v>
      </c>
      <c r="AW1960" s="53">
        <f t="shared" si="343"/>
        <v>0</v>
      </c>
      <c r="AX1960" s="53">
        <f t="shared" si="342"/>
        <v>6749000</v>
      </c>
      <c r="AY1960" s="41" t="s">
        <v>557</v>
      </c>
    </row>
    <row r="1961" spans="1:51" x14ac:dyDescent="0.2">
      <c r="A1961" s="41" t="s">
        <v>246</v>
      </c>
      <c r="B1961" s="41">
        <v>1978</v>
      </c>
      <c r="C1961" s="41" t="s">
        <v>101</v>
      </c>
      <c r="D1961" s="41" t="s">
        <v>137</v>
      </c>
      <c r="E1961" s="88">
        <v>1.2507268956037976</v>
      </c>
      <c r="F1961" s="41" t="s">
        <v>556</v>
      </c>
      <c r="G1961" s="93">
        <v>1607865</v>
      </c>
      <c r="H1961" s="62">
        <v>1.29</v>
      </c>
      <c r="I1961" s="62">
        <v>0.36</v>
      </c>
      <c r="J1961" s="62">
        <v>2.17</v>
      </c>
      <c r="R1961" s="76">
        <f t="shared" si="344"/>
        <v>77816</v>
      </c>
      <c r="S1961" s="53">
        <v>19454</v>
      </c>
      <c r="T1961" s="53">
        <v>432.65899999999999</v>
      </c>
      <c r="U1961" s="53">
        <v>2644.9</v>
      </c>
      <c r="AO1961" s="53">
        <f t="shared" si="343"/>
        <v>2074145.85</v>
      </c>
      <c r="AP1961" s="53">
        <f t="shared" si="343"/>
        <v>578831.4</v>
      </c>
      <c r="AQ1961" s="53">
        <f t="shared" si="343"/>
        <v>3489067.05</v>
      </c>
      <c r="AR1961" s="53">
        <f t="shared" si="343"/>
        <v>0</v>
      </c>
      <c r="AS1961" s="53">
        <f t="shared" si="343"/>
        <v>0</v>
      </c>
      <c r="AT1961" s="53">
        <f t="shared" si="343"/>
        <v>0</v>
      </c>
      <c r="AU1961" s="53">
        <f t="shared" si="343"/>
        <v>0</v>
      </c>
      <c r="AV1961" s="53">
        <f t="shared" si="343"/>
        <v>0</v>
      </c>
      <c r="AW1961" s="53">
        <f t="shared" si="343"/>
        <v>0</v>
      </c>
      <c r="AX1961" s="53">
        <f t="shared" si="342"/>
        <v>2011000</v>
      </c>
      <c r="AY1961" s="41" t="s">
        <v>557</v>
      </c>
    </row>
    <row r="1962" spans="1:51" x14ac:dyDescent="0.2">
      <c r="A1962" s="41" t="s">
        <v>246</v>
      </c>
      <c r="B1962" s="41">
        <v>1979</v>
      </c>
      <c r="C1962" s="41" t="s">
        <v>101</v>
      </c>
      <c r="D1962" s="41" t="s">
        <v>137</v>
      </c>
      <c r="E1962" s="62">
        <v>0</v>
      </c>
      <c r="F1962" s="41" t="s">
        <v>556</v>
      </c>
      <c r="G1962" s="93">
        <v>1482209</v>
      </c>
      <c r="H1962" s="62">
        <v>1.3480000000000001</v>
      </c>
      <c r="I1962" s="88">
        <v>0.4</v>
      </c>
      <c r="J1962" s="62">
        <v>2.57</v>
      </c>
      <c r="R1962" s="76">
        <f t="shared" si="344"/>
        <v>73020</v>
      </c>
      <c r="S1962" s="53">
        <v>18255</v>
      </c>
      <c r="T1962" s="53">
        <v>424.779</v>
      </c>
      <c r="U1962" s="53">
        <v>2673.3</v>
      </c>
      <c r="AO1962" s="53">
        <f t="shared" si="343"/>
        <v>1998017.7320000001</v>
      </c>
      <c r="AP1962" s="53">
        <f t="shared" si="343"/>
        <v>592883.6</v>
      </c>
      <c r="AQ1962" s="53">
        <f t="shared" si="343"/>
        <v>3809277.13</v>
      </c>
      <c r="AR1962" s="53">
        <f t="shared" si="343"/>
        <v>0</v>
      </c>
      <c r="AS1962" s="53">
        <f t="shared" si="343"/>
        <v>0</v>
      </c>
      <c r="AT1962" s="53">
        <f t="shared" si="343"/>
        <v>0</v>
      </c>
      <c r="AU1962" s="53">
        <f t="shared" si="343"/>
        <v>0</v>
      </c>
      <c r="AV1962" s="53">
        <f t="shared" si="343"/>
        <v>0</v>
      </c>
      <c r="AW1962" s="53">
        <f t="shared" si="343"/>
        <v>0</v>
      </c>
      <c r="AX1962" s="53">
        <f t="shared" si="342"/>
        <v>0</v>
      </c>
      <c r="AY1962" s="41" t="s">
        <v>557</v>
      </c>
    </row>
    <row r="1963" spans="1:51" x14ac:dyDescent="0.2">
      <c r="A1963" s="41" t="s">
        <v>246</v>
      </c>
      <c r="B1963" s="41">
        <v>1980</v>
      </c>
      <c r="C1963" s="41" t="s">
        <v>101</v>
      </c>
      <c r="D1963" s="41" t="s">
        <v>137</v>
      </c>
      <c r="E1963" s="62">
        <v>0</v>
      </c>
      <c r="F1963" s="41" t="s">
        <v>556</v>
      </c>
      <c r="G1963" s="93">
        <v>1605366</v>
      </c>
      <c r="H1963" s="62">
        <v>1.325</v>
      </c>
      <c r="I1963" s="106">
        <v>0.27502762609897058</v>
      </c>
      <c r="J1963" s="62">
        <v>3.37</v>
      </c>
      <c r="R1963" s="76">
        <f t="shared" si="344"/>
        <v>79340</v>
      </c>
      <c r="S1963" s="53">
        <v>19835</v>
      </c>
      <c r="T1963" s="53">
        <v>441.52</v>
      </c>
      <c r="U1963" s="53">
        <v>2576</v>
      </c>
      <c r="AO1963" s="53">
        <f t="shared" si="343"/>
        <v>2127109.9499999997</v>
      </c>
      <c r="AP1963" s="53">
        <f t="shared" si="343"/>
        <v>441520</v>
      </c>
      <c r="AQ1963" s="53">
        <f t="shared" si="343"/>
        <v>5410083.4199999999</v>
      </c>
      <c r="AR1963" s="53">
        <f t="shared" si="343"/>
        <v>0</v>
      </c>
      <c r="AS1963" s="53">
        <f t="shared" si="343"/>
        <v>0</v>
      </c>
      <c r="AT1963" s="53">
        <f t="shared" si="343"/>
        <v>0</v>
      </c>
      <c r="AU1963" s="53">
        <f t="shared" si="343"/>
        <v>0</v>
      </c>
      <c r="AV1963" s="53">
        <f t="shared" si="343"/>
        <v>0</v>
      </c>
      <c r="AW1963" s="53">
        <f t="shared" si="343"/>
        <v>0</v>
      </c>
      <c r="AX1963" s="53">
        <f t="shared" si="342"/>
        <v>0</v>
      </c>
      <c r="AY1963" s="41" t="s">
        <v>557</v>
      </c>
    </row>
    <row r="1964" spans="1:51" x14ac:dyDescent="0.2">
      <c r="A1964" s="41" t="s">
        <v>246</v>
      </c>
      <c r="B1964" s="41">
        <v>1981</v>
      </c>
      <c r="C1964" s="41" t="s">
        <v>101</v>
      </c>
      <c r="D1964" s="41" t="s">
        <v>137</v>
      </c>
      <c r="E1964" s="62">
        <v>0</v>
      </c>
      <c r="F1964" s="41" t="s">
        <v>556</v>
      </c>
      <c r="G1964" s="93">
        <v>1571306</v>
      </c>
      <c r="H1964" s="62">
        <v>1.2250000000000001</v>
      </c>
      <c r="I1964" s="88">
        <v>0.4</v>
      </c>
      <c r="J1964" s="62">
        <v>2.87</v>
      </c>
      <c r="R1964" s="76">
        <f t="shared" si="344"/>
        <v>71536</v>
      </c>
      <c r="S1964" s="53">
        <v>17884</v>
      </c>
      <c r="T1964" s="53">
        <v>466.572</v>
      </c>
      <c r="U1964" s="53">
        <v>3874.9</v>
      </c>
      <c r="AO1964" s="53">
        <f t="shared" si="343"/>
        <v>1924849.85</v>
      </c>
      <c r="AP1964" s="53">
        <f t="shared" si="343"/>
        <v>628522.4</v>
      </c>
      <c r="AQ1964" s="53">
        <f t="shared" si="343"/>
        <v>4509648.22</v>
      </c>
      <c r="AR1964" s="53">
        <f t="shared" ref="AR1964:AW1995" si="345">$G1964*K1964</f>
        <v>0</v>
      </c>
      <c r="AS1964" s="53">
        <f t="shared" si="345"/>
        <v>0</v>
      </c>
      <c r="AT1964" s="53">
        <f t="shared" si="345"/>
        <v>0</v>
      </c>
      <c r="AU1964" s="53">
        <f t="shared" si="345"/>
        <v>0</v>
      </c>
      <c r="AV1964" s="53">
        <f t="shared" si="345"/>
        <v>0</v>
      </c>
      <c r="AW1964" s="53">
        <f t="shared" si="345"/>
        <v>0</v>
      </c>
      <c r="AX1964" s="53">
        <f t="shared" si="342"/>
        <v>0</v>
      </c>
      <c r="AY1964" s="41" t="s">
        <v>557</v>
      </c>
    </row>
    <row r="1965" spans="1:51" x14ac:dyDescent="0.2">
      <c r="A1965" s="41" t="s">
        <v>246</v>
      </c>
      <c r="B1965" s="41">
        <v>1982</v>
      </c>
      <c r="C1965" s="41" t="s">
        <v>101</v>
      </c>
      <c r="D1965" s="41" t="s">
        <v>137</v>
      </c>
      <c r="E1965" s="62">
        <v>0</v>
      </c>
      <c r="F1965" s="41" t="s">
        <v>556</v>
      </c>
      <c r="G1965" s="93">
        <v>1437266</v>
      </c>
      <c r="H1965" s="62">
        <v>1.21</v>
      </c>
      <c r="I1965" s="62">
        <v>0.37</v>
      </c>
      <c r="J1965" s="88">
        <v>2.5</v>
      </c>
      <c r="R1965" s="76">
        <f t="shared" si="344"/>
        <v>65868</v>
      </c>
      <c r="S1965" s="53">
        <v>16467</v>
      </c>
      <c r="T1965" s="91">
        <v>431.17980000000006</v>
      </c>
      <c r="U1965" s="91">
        <v>2694.8737500000002</v>
      </c>
      <c r="AO1965" s="53">
        <f t="shared" ref="AO1965:AW1996" si="346">$G1965*H1965</f>
        <v>1739091.8599999999</v>
      </c>
      <c r="AP1965" s="53">
        <f t="shared" si="346"/>
        <v>531788.42000000004</v>
      </c>
      <c r="AQ1965" s="53">
        <f t="shared" si="346"/>
        <v>3593165</v>
      </c>
      <c r="AR1965" s="53">
        <f t="shared" si="345"/>
        <v>0</v>
      </c>
      <c r="AS1965" s="53">
        <f t="shared" si="345"/>
        <v>0</v>
      </c>
      <c r="AT1965" s="53">
        <f t="shared" si="345"/>
        <v>0</v>
      </c>
      <c r="AU1965" s="53">
        <f t="shared" si="345"/>
        <v>0</v>
      </c>
      <c r="AV1965" s="53">
        <f t="shared" si="345"/>
        <v>0</v>
      </c>
      <c r="AW1965" s="53">
        <f t="shared" si="345"/>
        <v>0</v>
      </c>
      <c r="AX1965" s="53">
        <f t="shared" si="342"/>
        <v>0</v>
      </c>
      <c r="AY1965" s="41" t="s">
        <v>557</v>
      </c>
    </row>
    <row r="1966" spans="1:51" x14ac:dyDescent="0.2">
      <c r="A1966" s="41" t="s">
        <v>246</v>
      </c>
      <c r="B1966" s="41">
        <v>1983</v>
      </c>
      <c r="C1966" s="41" t="s">
        <v>101</v>
      </c>
      <c r="D1966" s="41" t="s">
        <v>137</v>
      </c>
      <c r="E1966" s="88">
        <v>1.9871370822118855</v>
      </c>
      <c r="F1966" s="41" t="s">
        <v>556</v>
      </c>
      <c r="G1966" s="93">
        <v>1785789</v>
      </c>
      <c r="H1966" s="62">
        <v>1.44</v>
      </c>
      <c r="I1966" s="62">
        <v>0.42</v>
      </c>
      <c r="J1966" s="62">
        <v>3.43</v>
      </c>
      <c r="R1966" s="76">
        <f t="shared" si="344"/>
        <v>95388</v>
      </c>
      <c r="S1966" s="53">
        <v>23847</v>
      </c>
      <c r="T1966" s="53">
        <v>405</v>
      </c>
      <c r="U1966" s="53">
        <v>2040.2780800000037</v>
      </c>
      <c r="AO1966" s="53">
        <f t="shared" si="346"/>
        <v>2571536.1599999997</v>
      </c>
      <c r="AP1966" s="53">
        <f t="shared" si="346"/>
        <v>750031.38</v>
      </c>
      <c r="AQ1966" s="53">
        <f t="shared" si="346"/>
        <v>6125256.2700000005</v>
      </c>
      <c r="AR1966" s="53">
        <f t="shared" si="345"/>
        <v>0</v>
      </c>
      <c r="AS1966" s="53">
        <f t="shared" si="345"/>
        <v>0</v>
      </c>
      <c r="AT1966" s="53">
        <f t="shared" si="345"/>
        <v>0</v>
      </c>
      <c r="AU1966" s="53">
        <f t="shared" si="345"/>
        <v>0</v>
      </c>
      <c r="AV1966" s="53">
        <f t="shared" si="345"/>
        <v>0</v>
      </c>
      <c r="AW1966" s="53">
        <f t="shared" si="345"/>
        <v>0</v>
      </c>
      <c r="AX1966" s="53">
        <f t="shared" si="342"/>
        <v>3548607.5429060808</v>
      </c>
      <c r="AY1966" s="41" t="s">
        <v>557</v>
      </c>
    </row>
    <row r="1967" spans="1:51" x14ac:dyDescent="0.2">
      <c r="A1967" s="41" t="s">
        <v>246</v>
      </c>
      <c r="B1967" s="41">
        <v>1984</v>
      </c>
      <c r="C1967" s="41" t="s">
        <v>101</v>
      </c>
      <c r="D1967" s="41" t="s">
        <v>137</v>
      </c>
      <c r="E1967" s="62">
        <v>0</v>
      </c>
      <c r="F1967" s="41" t="s">
        <v>556</v>
      </c>
      <c r="G1967" s="93">
        <v>1778311</v>
      </c>
      <c r="H1967" s="62">
        <v>1.36</v>
      </c>
      <c r="I1967" s="62">
        <v>0.41</v>
      </c>
      <c r="J1967" s="62">
        <v>3.95</v>
      </c>
      <c r="R1967" s="76">
        <f t="shared" si="344"/>
        <v>87676</v>
      </c>
      <c r="S1967" s="53">
        <v>21919</v>
      </c>
      <c r="T1967" s="53">
        <v>570</v>
      </c>
      <c r="U1967" s="53">
        <v>4813</v>
      </c>
      <c r="AO1967" s="53">
        <f t="shared" si="346"/>
        <v>2418502.96</v>
      </c>
      <c r="AP1967" s="53">
        <f t="shared" si="346"/>
        <v>729107.51</v>
      </c>
      <c r="AQ1967" s="53">
        <f t="shared" si="346"/>
        <v>7024328.4500000002</v>
      </c>
      <c r="AR1967" s="53">
        <f t="shared" si="345"/>
        <v>0</v>
      </c>
      <c r="AS1967" s="53">
        <f t="shared" si="345"/>
        <v>0</v>
      </c>
      <c r="AT1967" s="53">
        <f t="shared" si="345"/>
        <v>0</v>
      </c>
      <c r="AU1967" s="53">
        <f t="shared" si="345"/>
        <v>0</v>
      </c>
      <c r="AV1967" s="53">
        <f t="shared" si="345"/>
        <v>0</v>
      </c>
      <c r="AW1967" s="53">
        <f t="shared" si="345"/>
        <v>0</v>
      </c>
      <c r="AX1967" s="53">
        <f t="shared" si="342"/>
        <v>0</v>
      </c>
      <c r="AY1967" s="41" t="s">
        <v>557</v>
      </c>
    </row>
    <row r="1968" spans="1:51" x14ac:dyDescent="0.2">
      <c r="A1968" s="41" t="s">
        <v>246</v>
      </c>
      <c r="B1968" s="41">
        <v>1985</v>
      </c>
      <c r="C1968" s="41" t="s">
        <v>101</v>
      </c>
      <c r="D1968" s="41" t="s">
        <v>137</v>
      </c>
      <c r="E1968" s="62">
        <v>0</v>
      </c>
      <c r="F1968" s="41" t="s">
        <v>556</v>
      </c>
      <c r="G1968" s="93">
        <v>1744913</v>
      </c>
      <c r="H1968" s="88">
        <v>1.4</v>
      </c>
      <c r="I1968" s="62">
        <v>0.44</v>
      </c>
      <c r="J1968" s="62">
        <v>3.23</v>
      </c>
      <c r="R1968" s="76">
        <f t="shared" si="344"/>
        <v>89712</v>
      </c>
      <c r="S1968" s="53">
        <v>22428</v>
      </c>
      <c r="T1968" s="53">
        <v>505</v>
      </c>
      <c r="U1968" s="53">
        <v>14761</v>
      </c>
      <c r="AO1968" s="53">
        <f t="shared" si="346"/>
        <v>2442878.1999999997</v>
      </c>
      <c r="AP1968" s="53">
        <f t="shared" si="346"/>
        <v>767761.72</v>
      </c>
      <c r="AQ1968" s="53">
        <f t="shared" si="346"/>
        <v>5636068.9900000002</v>
      </c>
      <c r="AR1968" s="53">
        <f t="shared" si="345"/>
        <v>0</v>
      </c>
      <c r="AS1968" s="53">
        <f t="shared" si="345"/>
        <v>0</v>
      </c>
      <c r="AT1968" s="53">
        <f t="shared" si="345"/>
        <v>0</v>
      </c>
      <c r="AU1968" s="53">
        <f t="shared" si="345"/>
        <v>0</v>
      </c>
      <c r="AV1968" s="53">
        <f t="shared" si="345"/>
        <v>0</v>
      </c>
      <c r="AW1968" s="53">
        <f t="shared" si="345"/>
        <v>0</v>
      </c>
      <c r="AX1968" s="53">
        <f t="shared" si="342"/>
        <v>0</v>
      </c>
      <c r="AY1968" s="41" t="s">
        <v>557</v>
      </c>
    </row>
    <row r="1969" spans="1:51" x14ac:dyDescent="0.2">
      <c r="A1969" s="41" t="s">
        <v>246</v>
      </c>
      <c r="B1969" s="41">
        <v>1986</v>
      </c>
      <c r="C1969" s="41" t="s">
        <v>101</v>
      </c>
      <c r="D1969" s="41" t="s">
        <v>137</v>
      </c>
      <c r="E1969" s="62">
        <v>0</v>
      </c>
      <c r="F1969" s="41" t="s">
        <v>556</v>
      </c>
      <c r="G1969" s="93">
        <v>1619730</v>
      </c>
      <c r="H1969" s="62">
        <v>1.57</v>
      </c>
      <c r="I1969" s="88">
        <v>0.49</v>
      </c>
      <c r="J1969" s="88">
        <v>3.26</v>
      </c>
      <c r="R1969" s="76">
        <f t="shared" si="344"/>
        <v>94476</v>
      </c>
      <c r="S1969" s="53">
        <v>23619</v>
      </c>
      <c r="T1969" s="53">
        <v>514</v>
      </c>
      <c r="U1969" s="53">
        <v>3252</v>
      </c>
      <c r="AO1969" s="53">
        <f t="shared" si="346"/>
        <v>2542976.1</v>
      </c>
      <c r="AP1969" s="53">
        <f t="shared" si="346"/>
        <v>793667.7</v>
      </c>
      <c r="AQ1969" s="53">
        <f t="shared" si="346"/>
        <v>5280319.8</v>
      </c>
      <c r="AR1969" s="53">
        <f t="shared" si="345"/>
        <v>0</v>
      </c>
      <c r="AS1969" s="53">
        <f t="shared" si="345"/>
        <v>0</v>
      </c>
      <c r="AT1969" s="53">
        <f t="shared" si="345"/>
        <v>0</v>
      </c>
      <c r="AU1969" s="53">
        <f t="shared" si="345"/>
        <v>0</v>
      </c>
      <c r="AV1969" s="53">
        <f t="shared" si="345"/>
        <v>0</v>
      </c>
      <c r="AW1969" s="53">
        <f t="shared" si="345"/>
        <v>0</v>
      </c>
      <c r="AX1969" s="53">
        <f t="shared" ref="AX1969:AX1996" si="347">$G1969*E1969</f>
        <v>0</v>
      </c>
      <c r="AY1969" s="41" t="s">
        <v>557</v>
      </c>
    </row>
    <row r="1970" spans="1:51" x14ac:dyDescent="0.2">
      <c r="A1970" s="41" t="s">
        <v>246</v>
      </c>
      <c r="B1970" s="41">
        <v>1987</v>
      </c>
      <c r="C1970" s="41" t="s">
        <v>101</v>
      </c>
      <c r="D1970" s="41" t="s">
        <v>137</v>
      </c>
      <c r="E1970" s="62">
        <v>0</v>
      </c>
      <c r="F1970" s="41" t="s">
        <v>556</v>
      </c>
      <c r="G1970" s="93">
        <v>1584210</v>
      </c>
      <c r="H1970" s="62">
        <v>1.57</v>
      </c>
      <c r="I1970" s="106">
        <v>0.34275758895600961</v>
      </c>
      <c r="J1970" s="106">
        <v>2.0287714381300459</v>
      </c>
      <c r="R1970" s="76">
        <f t="shared" si="344"/>
        <v>92468</v>
      </c>
      <c r="S1970" s="53">
        <v>23117</v>
      </c>
      <c r="T1970" s="53">
        <v>543</v>
      </c>
      <c r="U1970" s="53">
        <v>3214</v>
      </c>
      <c r="AO1970" s="53">
        <f t="shared" si="346"/>
        <v>2487209.7000000002</v>
      </c>
      <c r="AP1970" s="53">
        <f t="shared" si="346"/>
        <v>543000</v>
      </c>
      <c r="AQ1970" s="53">
        <f t="shared" si="346"/>
        <v>3214000</v>
      </c>
      <c r="AR1970" s="53">
        <f t="shared" si="345"/>
        <v>0</v>
      </c>
      <c r="AS1970" s="53">
        <f t="shared" si="345"/>
        <v>0</v>
      </c>
      <c r="AT1970" s="53">
        <f t="shared" si="345"/>
        <v>0</v>
      </c>
      <c r="AU1970" s="53">
        <f t="shared" si="345"/>
        <v>0</v>
      </c>
      <c r="AV1970" s="53">
        <f t="shared" si="345"/>
        <v>0</v>
      </c>
      <c r="AW1970" s="53">
        <f t="shared" si="345"/>
        <v>0</v>
      </c>
      <c r="AX1970" s="53">
        <f t="shared" si="347"/>
        <v>0</v>
      </c>
      <c r="AY1970" s="41" t="s">
        <v>557</v>
      </c>
    </row>
    <row r="1971" spans="1:51" x14ac:dyDescent="0.2">
      <c r="A1971" s="41" t="s">
        <v>246</v>
      </c>
      <c r="B1971" s="41">
        <v>1988</v>
      </c>
      <c r="C1971" s="41" t="s">
        <v>101</v>
      </c>
      <c r="D1971" s="41" t="s">
        <v>137</v>
      </c>
      <c r="E1971" s="62">
        <v>0</v>
      </c>
      <c r="F1971" s="41" t="s">
        <v>556</v>
      </c>
      <c r="G1971" s="93">
        <v>1502558</v>
      </c>
      <c r="H1971" s="62">
        <v>1.55</v>
      </c>
      <c r="I1971" s="106">
        <v>0.34040616069396323</v>
      </c>
      <c r="J1971" s="106">
        <v>1.8378345461539587</v>
      </c>
      <c r="R1971" s="76">
        <f t="shared" si="344"/>
        <v>86552</v>
      </c>
      <c r="S1971" s="53">
        <v>21638</v>
      </c>
      <c r="T1971" s="53">
        <v>511.48</v>
      </c>
      <c r="U1971" s="53">
        <v>2761.453</v>
      </c>
      <c r="AO1971" s="53">
        <f t="shared" si="346"/>
        <v>2328964.9</v>
      </c>
      <c r="AP1971" s="53">
        <f t="shared" si="346"/>
        <v>511480</v>
      </c>
      <c r="AQ1971" s="53">
        <f t="shared" si="346"/>
        <v>2761453</v>
      </c>
      <c r="AR1971" s="53">
        <f t="shared" si="345"/>
        <v>0</v>
      </c>
      <c r="AS1971" s="53">
        <f t="shared" si="345"/>
        <v>0</v>
      </c>
      <c r="AT1971" s="53">
        <f t="shared" si="345"/>
        <v>0</v>
      </c>
      <c r="AU1971" s="53">
        <f t="shared" si="345"/>
        <v>0</v>
      </c>
      <c r="AV1971" s="53">
        <f t="shared" si="345"/>
        <v>0</v>
      </c>
      <c r="AW1971" s="53">
        <f t="shared" si="345"/>
        <v>0</v>
      </c>
      <c r="AX1971" s="53">
        <f t="shared" si="347"/>
        <v>0</v>
      </c>
      <c r="AY1971" s="41" t="s">
        <v>557</v>
      </c>
    </row>
    <row r="1972" spans="1:51" x14ac:dyDescent="0.2">
      <c r="A1972" s="41" t="s">
        <v>246</v>
      </c>
      <c r="B1972" s="41">
        <v>1989</v>
      </c>
      <c r="C1972" s="41" t="s">
        <v>101</v>
      </c>
      <c r="D1972" s="41" t="s">
        <v>137</v>
      </c>
      <c r="E1972" s="62">
        <v>0</v>
      </c>
      <c r="F1972" s="41" t="s">
        <v>556</v>
      </c>
      <c r="G1972" s="93">
        <v>1633906</v>
      </c>
      <c r="H1972" s="62">
        <v>1.24</v>
      </c>
      <c r="I1972" s="106">
        <v>0.26602448366062675</v>
      </c>
      <c r="J1972" s="106">
        <v>1.7673348405599834</v>
      </c>
      <c r="R1972" s="76">
        <f t="shared" si="344"/>
        <v>74712</v>
      </c>
      <c r="S1972" s="53">
        <v>18678</v>
      </c>
      <c r="T1972" s="53">
        <v>434.65899999999999</v>
      </c>
      <c r="U1972" s="53">
        <v>2887.6590000000001</v>
      </c>
      <c r="AO1972" s="53">
        <f t="shared" si="346"/>
        <v>2026043.44</v>
      </c>
      <c r="AP1972" s="53">
        <f t="shared" si="346"/>
        <v>434659</v>
      </c>
      <c r="AQ1972" s="53">
        <f t="shared" si="346"/>
        <v>2887659</v>
      </c>
      <c r="AR1972" s="53">
        <f t="shared" si="345"/>
        <v>0</v>
      </c>
      <c r="AS1972" s="53">
        <f t="shared" si="345"/>
        <v>0</v>
      </c>
      <c r="AT1972" s="53">
        <f t="shared" si="345"/>
        <v>0</v>
      </c>
      <c r="AU1972" s="53">
        <f t="shared" si="345"/>
        <v>0</v>
      </c>
      <c r="AV1972" s="53">
        <f t="shared" si="345"/>
        <v>0</v>
      </c>
      <c r="AW1972" s="53">
        <f t="shared" si="345"/>
        <v>0</v>
      </c>
      <c r="AX1972" s="53">
        <f t="shared" si="347"/>
        <v>0</v>
      </c>
      <c r="AY1972" s="41" t="s">
        <v>557</v>
      </c>
    </row>
    <row r="1973" spans="1:51" x14ac:dyDescent="0.2">
      <c r="A1973" s="41" t="s">
        <v>246</v>
      </c>
      <c r="B1973" s="41">
        <v>1990</v>
      </c>
      <c r="C1973" s="41" t="s">
        <v>101</v>
      </c>
      <c r="D1973" s="41" t="s">
        <v>137</v>
      </c>
      <c r="E1973" s="62">
        <v>0</v>
      </c>
      <c r="F1973" s="41" t="s">
        <v>556</v>
      </c>
      <c r="G1973" s="93">
        <v>1347360</v>
      </c>
      <c r="H1973" s="62">
        <v>1.28</v>
      </c>
      <c r="I1973" s="106">
        <v>0.26731534259589124</v>
      </c>
      <c r="J1973" s="106">
        <v>1.499691990262439</v>
      </c>
      <c r="R1973" s="76">
        <f t="shared" si="344"/>
        <v>62848</v>
      </c>
      <c r="S1973" s="53">
        <v>15712</v>
      </c>
      <c r="T1973" s="53">
        <v>360.17</v>
      </c>
      <c r="U1973" s="53">
        <v>2020.625</v>
      </c>
      <c r="AM1973" s="53">
        <v>41495</v>
      </c>
      <c r="AO1973" s="53">
        <f t="shared" si="346"/>
        <v>1724620.8</v>
      </c>
      <c r="AP1973" s="53">
        <f t="shared" si="346"/>
        <v>360170</v>
      </c>
      <c r="AQ1973" s="53">
        <f t="shared" si="346"/>
        <v>2020624.9999999998</v>
      </c>
      <c r="AR1973" s="53">
        <f t="shared" si="345"/>
        <v>0</v>
      </c>
      <c r="AS1973" s="53">
        <f t="shared" si="345"/>
        <v>0</v>
      </c>
      <c r="AT1973" s="53">
        <f t="shared" si="345"/>
        <v>0</v>
      </c>
      <c r="AU1973" s="53">
        <f t="shared" si="345"/>
        <v>0</v>
      </c>
      <c r="AV1973" s="53">
        <f t="shared" si="345"/>
        <v>0</v>
      </c>
      <c r="AW1973" s="53">
        <f t="shared" si="345"/>
        <v>0</v>
      </c>
      <c r="AX1973" s="53">
        <f t="shared" si="347"/>
        <v>0</v>
      </c>
      <c r="AY1973" s="41" t="s">
        <v>557</v>
      </c>
    </row>
    <row r="1974" spans="1:51" x14ac:dyDescent="0.2">
      <c r="A1974" s="41" t="s">
        <v>246</v>
      </c>
      <c r="B1974" s="41">
        <v>1991</v>
      </c>
      <c r="C1974" s="41" t="s">
        <v>101</v>
      </c>
      <c r="D1974" s="41" t="s">
        <v>137</v>
      </c>
      <c r="E1974" s="62">
        <v>0</v>
      </c>
      <c r="F1974" s="41" t="s">
        <v>556</v>
      </c>
      <c r="G1974" s="93">
        <v>1391006</v>
      </c>
      <c r="H1974" s="62">
        <v>1.56</v>
      </c>
      <c r="I1974" s="106">
        <v>0.32084692661282554</v>
      </c>
      <c r="J1974" s="106">
        <v>1.8383098275636482</v>
      </c>
      <c r="R1974" s="76">
        <f t="shared" si="344"/>
        <v>79880</v>
      </c>
      <c r="S1974" s="53">
        <v>19970</v>
      </c>
      <c r="T1974" s="53">
        <v>446.3</v>
      </c>
      <c r="U1974" s="53">
        <v>2557.1</v>
      </c>
      <c r="AM1974" s="53">
        <v>4462</v>
      </c>
      <c r="AO1974" s="53">
        <f t="shared" si="346"/>
        <v>2169969.36</v>
      </c>
      <c r="AP1974" s="53">
        <f t="shared" si="346"/>
        <v>446300</v>
      </c>
      <c r="AQ1974" s="53">
        <f t="shared" si="346"/>
        <v>2557100</v>
      </c>
      <c r="AR1974" s="53">
        <f t="shared" si="345"/>
        <v>0</v>
      </c>
      <c r="AS1974" s="53">
        <f t="shared" si="345"/>
        <v>0</v>
      </c>
      <c r="AT1974" s="53">
        <f t="shared" si="345"/>
        <v>0</v>
      </c>
      <c r="AU1974" s="53">
        <f t="shared" si="345"/>
        <v>0</v>
      </c>
      <c r="AV1974" s="53">
        <f t="shared" si="345"/>
        <v>0</v>
      </c>
      <c r="AW1974" s="53">
        <f t="shared" si="345"/>
        <v>0</v>
      </c>
      <c r="AX1974" s="53">
        <f t="shared" si="347"/>
        <v>0</v>
      </c>
      <c r="AY1974" s="41" t="s">
        <v>557</v>
      </c>
    </row>
    <row r="1975" spans="1:51" x14ac:dyDescent="0.2">
      <c r="A1975" s="41" t="s">
        <v>246</v>
      </c>
      <c r="B1975" s="41">
        <v>1992</v>
      </c>
      <c r="C1975" s="41" t="s">
        <v>101</v>
      </c>
      <c r="D1975" s="41" t="s">
        <v>137</v>
      </c>
      <c r="E1975" s="62">
        <v>0</v>
      </c>
      <c r="F1975" s="41" t="s">
        <v>556</v>
      </c>
      <c r="G1975" s="93">
        <v>1679769</v>
      </c>
      <c r="H1975" s="62">
        <v>1.52</v>
      </c>
      <c r="I1975" s="106">
        <v>0.33695109268000539</v>
      </c>
      <c r="J1975" s="106">
        <v>2.0598070329908458</v>
      </c>
      <c r="R1975" s="76">
        <f t="shared" si="344"/>
        <v>94160</v>
      </c>
      <c r="S1975" s="53">
        <v>23540</v>
      </c>
      <c r="T1975" s="53">
        <v>566</v>
      </c>
      <c r="U1975" s="53">
        <v>3460</v>
      </c>
      <c r="AO1975" s="53">
        <f t="shared" si="346"/>
        <v>2553248.88</v>
      </c>
      <c r="AP1975" s="53">
        <f t="shared" si="346"/>
        <v>566000</v>
      </c>
      <c r="AQ1975" s="53">
        <f t="shared" si="346"/>
        <v>3460000</v>
      </c>
      <c r="AR1975" s="53">
        <f t="shared" si="345"/>
        <v>0</v>
      </c>
      <c r="AS1975" s="53">
        <f t="shared" si="345"/>
        <v>0</v>
      </c>
      <c r="AT1975" s="53">
        <f t="shared" si="345"/>
        <v>0</v>
      </c>
      <c r="AU1975" s="53">
        <f t="shared" si="345"/>
        <v>0</v>
      </c>
      <c r="AV1975" s="53">
        <f t="shared" si="345"/>
        <v>0</v>
      </c>
      <c r="AW1975" s="53">
        <f t="shared" si="345"/>
        <v>0</v>
      </c>
      <c r="AX1975" s="53">
        <f t="shared" si="347"/>
        <v>0</v>
      </c>
      <c r="AY1975" s="41" t="s">
        <v>557</v>
      </c>
    </row>
    <row r="1976" spans="1:51" x14ac:dyDescent="0.2">
      <c r="A1976" s="41" t="s">
        <v>246</v>
      </c>
      <c r="B1976" s="41">
        <v>1993</v>
      </c>
      <c r="C1976" s="41" t="s">
        <v>101</v>
      </c>
      <c r="D1976" s="41" t="s">
        <v>137</v>
      </c>
      <c r="E1976" s="62">
        <v>0</v>
      </c>
      <c r="F1976" s="41" t="s">
        <v>556</v>
      </c>
      <c r="G1976" s="93">
        <v>1729272</v>
      </c>
      <c r="H1976" s="62">
        <v>1.59</v>
      </c>
      <c r="I1976" s="106">
        <v>0.2868259013041326</v>
      </c>
      <c r="J1976" s="106">
        <v>1.8834515333620159</v>
      </c>
      <c r="R1976" s="76">
        <f t="shared" si="344"/>
        <v>102112</v>
      </c>
      <c r="S1976" s="53">
        <v>25528</v>
      </c>
      <c r="T1976" s="53">
        <v>496</v>
      </c>
      <c r="U1976" s="53">
        <v>3257</v>
      </c>
      <c r="AO1976" s="53">
        <f t="shared" si="346"/>
        <v>2749542.48</v>
      </c>
      <c r="AP1976" s="53">
        <f t="shared" si="346"/>
        <v>496000</v>
      </c>
      <c r="AQ1976" s="53">
        <f t="shared" si="346"/>
        <v>3257000</v>
      </c>
      <c r="AR1976" s="53">
        <f t="shared" si="345"/>
        <v>0</v>
      </c>
      <c r="AS1976" s="53">
        <f t="shared" si="345"/>
        <v>0</v>
      </c>
      <c r="AT1976" s="53">
        <f t="shared" si="345"/>
        <v>0</v>
      </c>
      <c r="AU1976" s="53">
        <f t="shared" si="345"/>
        <v>0</v>
      </c>
      <c r="AV1976" s="53">
        <f t="shared" si="345"/>
        <v>0</v>
      </c>
      <c r="AW1976" s="53">
        <f t="shared" si="345"/>
        <v>0</v>
      </c>
      <c r="AX1976" s="53">
        <f t="shared" si="347"/>
        <v>0</v>
      </c>
      <c r="AY1976" s="41" t="s">
        <v>557</v>
      </c>
    </row>
    <row r="1977" spans="1:51" x14ac:dyDescent="0.2">
      <c r="A1977" s="41" t="s">
        <v>246</v>
      </c>
      <c r="B1977" s="41">
        <v>1994</v>
      </c>
      <c r="C1977" s="41" t="s">
        <v>101</v>
      </c>
      <c r="D1977" s="41" t="s">
        <v>137</v>
      </c>
      <c r="E1977" s="62">
        <v>0</v>
      </c>
      <c r="F1977" s="41" t="s">
        <v>556</v>
      </c>
      <c r="G1977" s="93">
        <v>1700054</v>
      </c>
      <c r="H1977" s="88">
        <v>1.91</v>
      </c>
      <c r="I1977" s="106">
        <v>0.37351754708968066</v>
      </c>
      <c r="J1977" s="106">
        <v>2.6152110462373548</v>
      </c>
      <c r="R1977" s="76">
        <f t="shared" si="344"/>
        <v>121664</v>
      </c>
      <c r="S1977" s="53">
        <v>30416</v>
      </c>
      <c r="T1977" s="53">
        <v>635</v>
      </c>
      <c r="U1977" s="53">
        <v>4446</v>
      </c>
      <c r="AO1977" s="53">
        <f t="shared" si="346"/>
        <v>3247103.1399999997</v>
      </c>
      <c r="AP1977" s="53">
        <f t="shared" si="346"/>
        <v>635000</v>
      </c>
      <c r="AQ1977" s="53">
        <f t="shared" si="346"/>
        <v>4446000</v>
      </c>
      <c r="AR1977" s="53">
        <f t="shared" si="345"/>
        <v>0</v>
      </c>
      <c r="AS1977" s="53">
        <f t="shared" si="345"/>
        <v>0</v>
      </c>
      <c r="AT1977" s="53">
        <f t="shared" si="345"/>
        <v>0</v>
      </c>
      <c r="AU1977" s="53">
        <f t="shared" si="345"/>
        <v>0</v>
      </c>
      <c r="AV1977" s="53">
        <f t="shared" si="345"/>
        <v>0</v>
      </c>
      <c r="AW1977" s="53">
        <f t="shared" si="345"/>
        <v>0</v>
      </c>
      <c r="AX1977" s="53">
        <f t="shared" si="347"/>
        <v>0</v>
      </c>
      <c r="AY1977" s="41" t="s">
        <v>557</v>
      </c>
    </row>
    <row r="1978" spans="1:51" x14ac:dyDescent="0.2">
      <c r="A1978" s="41" t="s">
        <v>246</v>
      </c>
      <c r="B1978" s="41">
        <v>1995</v>
      </c>
      <c r="C1978" s="41" t="s">
        <v>101</v>
      </c>
      <c r="D1978" s="41" t="s">
        <v>137</v>
      </c>
      <c r="E1978" s="62">
        <v>0</v>
      </c>
      <c r="F1978" s="41" t="s">
        <v>556</v>
      </c>
      <c r="G1978" s="93">
        <v>795232</v>
      </c>
      <c r="H1978" s="122">
        <v>1.674303171224824</v>
      </c>
      <c r="I1978" s="106">
        <v>0.35587099110699771</v>
      </c>
      <c r="J1978" s="106">
        <v>2.1125910426139791</v>
      </c>
      <c r="R1978" s="76">
        <f t="shared" si="344"/>
        <v>49264</v>
      </c>
      <c r="S1978" s="93">
        <v>12316</v>
      </c>
      <c r="T1978" s="93">
        <v>283</v>
      </c>
      <c r="U1978" s="93">
        <v>1680</v>
      </c>
      <c r="AM1978" s="53"/>
      <c r="AO1978" s="53">
        <f t="shared" si="346"/>
        <v>1331459.4594594592</v>
      </c>
      <c r="AP1978" s="53">
        <f t="shared" si="346"/>
        <v>283000</v>
      </c>
      <c r="AQ1978" s="53">
        <f t="shared" si="346"/>
        <v>1679999.9999999998</v>
      </c>
      <c r="AR1978" s="53">
        <f t="shared" si="345"/>
        <v>0</v>
      </c>
      <c r="AS1978" s="53">
        <f t="shared" si="345"/>
        <v>0</v>
      </c>
      <c r="AT1978" s="53">
        <f t="shared" si="345"/>
        <v>0</v>
      </c>
      <c r="AU1978" s="53">
        <f t="shared" si="345"/>
        <v>0</v>
      </c>
      <c r="AV1978" s="53">
        <f t="shared" si="345"/>
        <v>0</v>
      </c>
      <c r="AW1978" s="53">
        <f t="shared" si="345"/>
        <v>0</v>
      </c>
      <c r="AX1978" s="53">
        <f t="shared" si="347"/>
        <v>0</v>
      </c>
      <c r="AY1978" s="41" t="s">
        <v>557</v>
      </c>
    </row>
    <row r="1979" spans="1:51" x14ac:dyDescent="0.2">
      <c r="A1979" s="41" t="s">
        <v>246</v>
      </c>
      <c r="B1979" s="41">
        <v>1996</v>
      </c>
      <c r="C1979" s="41" t="s">
        <v>101</v>
      </c>
      <c r="D1979" s="41" t="s">
        <v>137</v>
      </c>
      <c r="E1979" s="62">
        <v>0</v>
      </c>
      <c r="F1979" s="41" t="s">
        <v>556</v>
      </c>
      <c r="G1979" s="93">
        <v>910533</v>
      </c>
      <c r="H1979" s="62">
        <v>1.1200000000000001</v>
      </c>
      <c r="I1979" s="106">
        <v>0.22191320907644205</v>
      </c>
      <c r="J1979" s="129">
        <v>2</v>
      </c>
      <c r="R1979" s="76">
        <f t="shared" si="344"/>
        <v>38284.92</v>
      </c>
      <c r="S1979" s="93">
        <v>9571.23</v>
      </c>
      <c r="T1979" s="93">
        <v>202.05930000000001</v>
      </c>
      <c r="U1979" s="91">
        <v>1365.7995000000001</v>
      </c>
      <c r="AM1979" s="53">
        <v>96587</v>
      </c>
      <c r="AO1979" s="53">
        <f t="shared" si="346"/>
        <v>1019796.9600000001</v>
      </c>
      <c r="AP1979" s="53">
        <f t="shared" si="346"/>
        <v>202059.30000000002</v>
      </c>
      <c r="AQ1979" s="53">
        <f t="shared" si="346"/>
        <v>1821066</v>
      </c>
      <c r="AR1979" s="53">
        <f t="shared" si="345"/>
        <v>0</v>
      </c>
      <c r="AS1979" s="53">
        <f t="shared" si="345"/>
        <v>0</v>
      </c>
      <c r="AT1979" s="53">
        <f t="shared" si="345"/>
        <v>0</v>
      </c>
      <c r="AU1979" s="53">
        <f t="shared" si="345"/>
        <v>0</v>
      </c>
      <c r="AV1979" s="53">
        <f t="shared" si="345"/>
        <v>0</v>
      </c>
      <c r="AW1979" s="53">
        <f t="shared" si="345"/>
        <v>0</v>
      </c>
      <c r="AX1979" s="53">
        <f t="shared" si="347"/>
        <v>0</v>
      </c>
      <c r="AY1979" s="41" t="s">
        <v>557</v>
      </c>
    </row>
    <row r="1980" spans="1:51" x14ac:dyDescent="0.2">
      <c r="A1980" s="41" t="s">
        <v>246</v>
      </c>
      <c r="B1980" s="41">
        <v>1997</v>
      </c>
      <c r="C1980" s="41" t="s">
        <v>101</v>
      </c>
      <c r="D1980" s="41" t="s">
        <v>137</v>
      </c>
      <c r="E1980" s="62">
        <v>0</v>
      </c>
      <c r="F1980" s="41" t="s">
        <v>556</v>
      </c>
      <c r="G1980" s="93">
        <v>1802673</v>
      </c>
      <c r="H1980" s="88">
        <v>1.3</v>
      </c>
      <c r="I1980" s="106">
        <v>0.25360672734322864</v>
      </c>
      <c r="J1980" s="106">
        <v>1.8477061563578085</v>
      </c>
      <c r="R1980" s="76">
        <f t="shared" si="344"/>
        <v>86800</v>
      </c>
      <c r="S1980" s="93">
        <v>21700</v>
      </c>
      <c r="T1980" s="93">
        <v>457.17</v>
      </c>
      <c r="U1980" s="93">
        <v>3330.81</v>
      </c>
      <c r="AM1980" s="53">
        <v>31120</v>
      </c>
      <c r="AO1980" s="53">
        <f t="shared" si="346"/>
        <v>2343474.9</v>
      </c>
      <c r="AP1980" s="53">
        <f t="shared" si="346"/>
        <v>457170</v>
      </c>
      <c r="AQ1980" s="53">
        <f t="shared" si="346"/>
        <v>3330810</v>
      </c>
      <c r="AR1980" s="53">
        <f t="shared" si="345"/>
        <v>0</v>
      </c>
      <c r="AS1980" s="53">
        <f t="shared" si="345"/>
        <v>0</v>
      </c>
      <c r="AT1980" s="53">
        <f t="shared" si="345"/>
        <v>0</v>
      </c>
      <c r="AU1980" s="53">
        <f t="shared" si="345"/>
        <v>0</v>
      </c>
      <c r="AV1980" s="53">
        <f t="shared" si="345"/>
        <v>0</v>
      </c>
      <c r="AW1980" s="53">
        <f t="shared" si="345"/>
        <v>0</v>
      </c>
      <c r="AX1980" s="53">
        <f t="shared" si="347"/>
        <v>0</v>
      </c>
      <c r="AY1980" s="41" t="s">
        <v>557</v>
      </c>
    </row>
    <row r="1981" spans="1:51" x14ac:dyDescent="0.2">
      <c r="A1981" s="41" t="s">
        <v>246</v>
      </c>
      <c r="B1981" s="41">
        <v>1998</v>
      </c>
      <c r="C1981" s="41" t="s">
        <v>101</v>
      </c>
      <c r="D1981" s="41" t="s">
        <v>137</v>
      </c>
      <c r="E1981" s="62">
        <v>0</v>
      </c>
      <c r="F1981" s="41" t="s">
        <v>556</v>
      </c>
      <c r="G1981" s="93">
        <v>2080838</v>
      </c>
      <c r="H1981" s="62">
        <v>1.28</v>
      </c>
      <c r="I1981" s="106">
        <v>0.20975078309796344</v>
      </c>
      <c r="J1981" s="129">
        <v>2</v>
      </c>
      <c r="R1981" s="76">
        <f t="shared" si="344"/>
        <v>98000</v>
      </c>
      <c r="S1981" s="93">
        <v>24500</v>
      </c>
      <c r="T1981" s="93">
        <v>436.45740000000001</v>
      </c>
      <c r="U1981" s="91">
        <v>3121.2570000000001</v>
      </c>
      <c r="AM1981" s="53">
        <v>65525</v>
      </c>
      <c r="AO1981" s="53">
        <f t="shared" si="346"/>
        <v>2663472.64</v>
      </c>
      <c r="AP1981" s="53">
        <f t="shared" si="346"/>
        <v>436457.4</v>
      </c>
      <c r="AQ1981" s="53">
        <f t="shared" si="346"/>
        <v>4161676</v>
      </c>
      <c r="AR1981" s="53">
        <f t="shared" si="345"/>
        <v>0</v>
      </c>
      <c r="AS1981" s="53">
        <f t="shared" si="345"/>
        <v>0</v>
      </c>
      <c r="AT1981" s="53">
        <f t="shared" si="345"/>
        <v>0</v>
      </c>
      <c r="AU1981" s="53">
        <f t="shared" si="345"/>
        <v>0</v>
      </c>
      <c r="AV1981" s="53">
        <f t="shared" si="345"/>
        <v>0</v>
      </c>
      <c r="AW1981" s="53">
        <f t="shared" si="345"/>
        <v>0</v>
      </c>
      <c r="AX1981" s="53">
        <f t="shared" si="347"/>
        <v>0</v>
      </c>
      <c r="AY1981" s="41" t="s">
        <v>557</v>
      </c>
    </row>
    <row r="1982" spans="1:51" x14ac:dyDescent="0.2">
      <c r="A1982" s="41" t="s">
        <v>246</v>
      </c>
      <c r="B1982" s="41">
        <v>1999</v>
      </c>
      <c r="C1982" s="41" t="s">
        <v>101</v>
      </c>
      <c r="D1982" s="41" t="s">
        <v>137</v>
      </c>
      <c r="E1982" s="62">
        <v>0</v>
      </c>
      <c r="F1982" s="41" t="s">
        <v>556</v>
      </c>
      <c r="G1982" s="93">
        <v>2100000</v>
      </c>
      <c r="H1982" s="62">
        <v>1.35</v>
      </c>
      <c r="I1982" s="106">
        <v>0.24672666666666668</v>
      </c>
      <c r="J1982" s="129">
        <v>2</v>
      </c>
      <c r="R1982" s="76">
        <f t="shared" si="344"/>
        <v>106020</v>
      </c>
      <c r="S1982" s="93">
        <v>26505</v>
      </c>
      <c r="T1982" s="93">
        <v>518.12599999999998</v>
      </c>
      <c r="U1982" s="91">
        <v>3150</v>
      </c>
      <c r="AM1982" s="53"/>
      <c r="AO1982" s="53">
        <f t="shared" si="346"/>
        <v>2835000</v>
      </c>
      <c r="AP1982" s="53">
        <f t="shared" si="346"/>
        <v>518126</v>
      </c>
      <c r="AQ1982" s="53">
        <f t="shared" si="346"/>
        <v>4200000</v>
      </c>
      <c r="AR1982" s="53">
        <f t="shared" si="345"/>
        <v>0</v>
      </c>
      <c r="AS1982" s="53">
        <f t="shared" si="345"/>
        <v>0</v>
      </c>
      <c r="AT1982" s="53">
        <f t="shared" si="345"/>
        <v>0</v>
      </c>
      <c r="AU1982" s="53">
        <f t="shared" si="345"/>
        <v>0</v>
      </c>
      <c r="AV1982" s="53">
        <f t="shared" si="345"/>
        <v>0</v>
      </c>
      <c r="AW1982" s="53">
        <f t="shared" si="345"/>
        <v>0</v>
      </c>
      <c r="AX1982" s="53">
        <f t="shared" si="347"/>
        <v>0</v>
      </c>
      <c r="AY1982" s="41" t="s">
        <v>557</v>
      </c>
    </row>
    <row r="1983" spans="1:51" x14ac:dyDescent="0.2">
      <c r="A1983" s="41" t="s">
        <v>246</v>
      </c>
      <c r="B1983" s="41">
        <v>2000</v>
      </c>
      <c r="C1983" s="41" t="s">
        <v>101</v>
      </c>
      <c r="D1983" s="41" t="s">
        <v>137</v>
      </c>
      <c r="E1983" s="62">
        <v>0</v>
      </c>
      <c r="F1983" s="41" t="s">
        <v>556</v>
      </c>
      <c r="G1983" s="93">
        <v>2471302</v>
      </c>
      <c r="H1983" s="41">
        <v>1.24</v>
      </c>
      <c r="I1983" s="106">
        <v>0.255653388375844</v>
      </c>
      <c r="J1983" s="106">
        <v>1.767512258720302</v>
      </c>
      <c r="R1983" s="76">
        <f t="shared" si="344"/>
        <v>115626.28479999999</v>
      </c>
      <c r="S1983" s="93">
        <v>28906.571199999998</v>
      </c>
      <c r="T1983" s="93">
        <v>631.79673000000003</v>
      </c>
      <c r="U1983" s="93">
        <v>4368.0565800000004</v>
      </c>
      <c r="AM1983" s="53">
        <v>27226</v>
      </c>
      <c r="AO1983" s="53">
        <f t="shared" si="346"/>
        <v>3064414.48</v>
      </c>
      <c r="AP1983" s="53">
        <f t="shared" si="346"/>
        <v>631796.73</v>
      </c>
      <c r="AQ1983" s="53">
        <f t="shared" si="346"/>
        <v>4368056.58</v>
      </c>
      <c r="AR1983" s="53">
        <f t="shared" si="345"/>
        <v>0</v>
      </c>
      <c r="AS1983" s="53">
        <f t="shared" si="345"/>
        <v>0</v>
      </c>
      <c r="AT1983" s="53">
        <f t="shared" si="345"/>
        <v>0</v>
      </c>
      <c r="AU1983" s="53">
        <f t="shared" si="345"/>
        <v>0</v>
      </c>
      <c r="AV1983" s="53">
        <f t="shared" si="345"/>
        <v>0</v>
      </c>
      <c r="AW1983" s="53">
        <f t="shared" si="345"/>
        <v>0</v>
      </c>
      <c r="AX1983" s="53">
        <f t="shared" si="347"/>
        <v>0</v>
      </c>
      <c r="AY1983" s="41" t="s">
        <v>557</v>
      </c>
    </row>
    <row r="1984" spans="1:51" x14ac:dyDescent="0.2">
      <c r="A1984" s="41" t="s">
        <v>246</v>
      </c>
      <c r="B1984" s="41">
        <v>2001</v>
      </c>
      <c r="C1984" s="41" t="s">
        <v>101</v>
      </c>
      <c r="D1984" s="41" t="s">
        <v>137</v>
      </c>
      <c r="E1984" s="62">
        <v>0</v>
      </c>
      <c r="F1984" s="41" t="s">
        <v>556</v>
      </c>
      <c r="G1984" s="53">
        <v>2504694</v>
      </c>
      <c r="H1984" s="41">
        <v>1.1599999999999999</v>
      </c>
      <c r="I1984" s="129">
        <v>0.3</v>
      </c>
      <c r="J1984" s="129">
        <v>2</v>
      </c>
      <c r="R1984" s="76">
        <f t="shared" si="344"/>
        <v>106656.48000000001</v>
      </c>
      <c r="S1984" s="93">
        <v>26664.120000000003</v>
      </c>
      <c r="T1984" s="91">
        <v>563.55615</v>
      </c>
      <c r="U1984" s="91">
        <v>3757.0410000000002</v>
      </c>
      <c r="AM1984" s="53">
        <v>116510</v>
      </c>
      <c r="AO1984" s="53">
        <f t="shared" si="346"/>
        <v>2905445.0399999996</v>
      </c>
      <c r="AP1984" s="53">
        <f t="shared" si="346"/>
        <v>751408.2</v>
      </c>
      <c r="AQ1984" s="53">
        <f t="shared" si="346"/>
        <v>5009388</v>
      </c>
      <c r="AR1984" s="53">
        <f t="shared" si="345"/>
        <v>0</v>
      </c>
      <c r="AS1984" s="53">
        <f t="shared" si="345"/>
        <v>0</v>
      </c>
      <c r="AT1984" s="53">
        <f t="shared" si="345"/>
        <v>0</v>
      </c>
      <c r="AU1984" s="53">
        <f t="shared" si="345"/>
        <v>0</v>
      </c>
      <c r="AV1984" s="53">
        <f t="shared" si="345"/>
        <v>0</v>
      </c>
      <c r="AW1984" s="53">
        <f t="shared" si="345"/>
        <v>0</v>
      </c>
      <c r="AX1984" s="53">
        <f t="shared" si="347"/>
        <v>0</v>
      </c>
      <c r="AY1984" s="41" t="s">
        <v>557</v>
      </c>
    </row>
    <row r="1985" spans="1:51" x14ac:dyDescent="0.2">
      <c r="A1985" s="41" t="s">
        <v>246</v>
      </c>
      <c r="B1985" s="41">
        <v>2002</v>
      </c>
      <c r="C1985" s="41" t="s">
        <v>101</v>
      </c>
      <c r="D1985" s="41" t="s">
        <v>137</v>
      </c>
      <c r="E1985" s="62">
        <v>0</v>
      </c>
      <c r="F1985" s="41" t="s">
        <v>556</v>
      </c>
      <c r="G1985" s="53">
        <v>2720483</v>
      </c>
      <c r="H1985" s="46">
        <v>1.26</v>
      </c>
      <c r="I1985" s="129">
        <v>0.3</v>
      </c>
      <c r="J1985" s="129">
        <v>2</v>
      </c>
      <c r="R1985" s="76">
        <f t="shared" si="344"/>
        <v>126644</v>
      </c>
      <c r="S1985" s="93">
        <v>31661</v>
      </c>
      <c r="T1985" s="91">
        <v>612.10867499999995</v>
      </c>
      <c r="U1985" s="91">
        <v>4080.7244999999998</v>
      </c>
      <c r="AM1985" s="53">
        <v>93624</v>
      </c>
      <c r="AO1985" s="53">
        <f t="shared" si="346"/>
        <v>3427808.58</v>
      </c>
      <c r="AP1985" s="53">
        <f t="shared" si="346"/>
        <v>816144.9</v>
      </c>
      <c r="AQ1985" s="53">
        <f t="shared" si="346"/>
        <v>5440966</v>
      </c>
      <c r="AR1985" s="53">
        <f t="shared" si="345"/>
        <v>0</v>
      </c>
      <c r="AS1985" s="53">
        <f t="shared" si="345"/>
        <v>0</v>
      </c>
      <c r="AT1985" s="53">
        <f t="shared" si="345"/>
        <v>0</v>
      </c>
      <c r="AU1985" s="53">
        <f t="shared" si="345"/>
        <v>0</v>
      </c>
      <c r="AV1985" s="53">
        <f t="shared" si="345"/>
        <v>0</v>
      </c>
      <c r="AW1985" s="53">
        <f t="shared" si="345"/>
        <v>0</v>
      </c>
      <c r="AX1985" s="53">
        <f t="shared" si="347"/>
        <v>0</v>
      </c>
      <c r="AY1985" s="41" t="s">
        <v>557</v>
      </c>
    </row>
    <row r="1986" spans="1:51" x14ac:dyDescent="0.2">
      <c r="A1986" s="41" t="s">
        <v>246</v>
      </c>
      <c r="B1986" s="41">
        <v>2003</v>
      </c>
      <c r="C1986" s="41" t="s">
        <v>101</v>
      </c>
      <c r="D1986" s="41" t="s">
        <v>137</v>
      </c>
      <c r="E1986" s="62">
        <v>0</v>
      </c>
      <c r="F1986" s="41" t="s">
        <v>556</v>
      </c>
      <c r="G1986" s="53">
        <v>2608000</v>
      </c>
      <c r="H1986" s="41">
        <v>1.25</v>
      </c>
      <c r="I1986" s="62">
        <v>0.3</v>
      </c>
      <c r="J1986" s="129">
        <v>2</v>
      </c>
      <c r="R1986" s="76">
        <f t="shared" si="344"/>
        <v>120916</v>
      </c>
      <c r="S1986" s="93">
        <v>30229</v>
      </c>
      <c r="T1986" s="93">
        <v>561.23059999999998</v>
      </c>
      <c r="U1986" s="91">
        <v>3912</v>
      </c>
      <c r="AM1986" s="53">
        <v>28504</v>
      </c>
      <c r="AO1986" s="53">
        <f t="shared" si="346"/>
        <v>3260000</v>
      </c>
      <c r="AP1986" s="53">
        <f t="shared" si="346"/>
        <v>782400</v>
      </c>
      <c r="AQ1986" s="53">
        <f t="shared" si="346"/>
        <v>5216000</v>
      </c>
      <c r="AR1986" s="53">
        <f t="shared" si="345"/>
        <v>0</v>
      </c>
      <c r="AS1986" s="53">
        <f t="shared" si="345"/>
        <v>0</v>
      </c>
      <c r="AT1986" s="53">
        <f t="shared" si="345"/>
        <v>0</v>
      </c>
      <c r="AU1986" s="53">
        <f t="shared" si="345"/>
        <v>0</v>
      </c>
      <c r="AV1986" s="53">
        <f t="shared" si="345"/>
        <v>0</v>
      </c>
      <c r="AW1986" s="53">
        <f t="shared" si="345"/>
        <v>0</v>
      </c>
      <c r="AX1986" s="53">
        <f t="shared" si="347"/>
        <v>0</v>
      </c>
      <c r="AY1986" s="41" t="s">
        <v>557</v>
      </c>
    </row>
    <row r="1987" spans="1:51" x14ac:dyDescent="0.2">
      <c r="A1987" s="41" t="s">
        <v>246</v>
      </c>
      <c r="B1987" s="41">
        <v>2004</v>
      </c>
      <c r="C1987" s="41" t="s">
        <v>101</v>
      </c>
      <c r="D1987" s="41" t="s">
        <v>137</v>
      </c>
      <c r="E1987" s="62">
        <v>0</v>
      </c>
      <c r="F1987" s="41" t="s">
        <v>556</v>
      </c>
      <c r="G1987" s="53">
        <v>2465398</v>
      </c>
      <c r="H1987" s="41">
        <v>1.22</v>
      </c>
      <c r="I1987" s="62">
        <v>0.3</v>
      </c>
      <c r="J1987" s="129">
        <v>2</v>
      </c>
      <c r="R1987" s="76">
        <f t="shared" si="344"/>
        <v>109912</v>
      </c>
      <c r="S1987" s="93">
        <v>27478</v>
      </c>
      <c r="T1987" s="93">
        <v>479.93520000000001</v>
      </c>
      <c r="U1987" s="91">
        <v>3698.0970000000002</v>
      </c>
      <c r="AM1987" s="53">
        <v>53054</v>
      </c>
      <c r="AO1987" s="53">
        <f t="shared" si="346"/>
        <v>3007785.56</v>
      </c>
      <c r="AP1987" s="53">
        <f t="shared" si="346"/>
        <v>739619.4</v>
      </c>
      <c r="AQ1987" s="53">
        <f t="shared" si="346"/>
        <v>4930796</v>
      </c>
      <c r="AR1987" s="53">
        <f t="shared" si="345"/>
        <v>0</v>
      </c>
      <c r="AS1987" s="53">
        <f t="shared" si="345"/>
        <v>0</v>
      </c>
      <c r="AT1987" s="53">
        <f t="shared" si="345"/>
        <v>0</v>
      </c>
      <c r="AU1987" s="53">
        <f t="shared" si="345"/>
        <v>0</v>
      </c>
      <c r="AV1987" s="53">
        <f t="shared" si="345"/>
        <v>0</v>
      </c>
      <c r="AW1987" s="53">
        <f t="shared" si="345"/>
        <v>0</v>
      </c>
      <c r="AX1987" s="53">
        <f t="shared" si="347"/>
        <v>0</v>
      </c>
      <c r="AY1987" s="41" t="s">
        <v>557</v>
      </c>
    </row>
    <row r="1988" spans="1:51" x14ac:dyDescent="0.2">
      <c r="A1988" s="41" t="s">
        <v>246</v>
      </c>
      <c r="B1988" s="41">
        <v>2005</v>
      </c>
      <c r="C1988" s="41" t="s">
        <v>101</v>
      </c>
      <c r="D1988" s="41" t="s">
        <v>137</v>
      </c>
      <c r="E1988" s="62">
        <v>0</v>
      </c>
      <c r="F1988" s="41" t="s">
        <v>556</v>
      </c>
      <c r="G1988" s="91">
        <v>2500000</v>
      </c>
      <c r="H1988" s="132">
        <v>1.1970451218632117</v>
      </c>
      <c r="I1988" s="129">
        <v>0.3</v>
      </c>
      <c r="J1988" s="129">
        <v>2</v>
      </c>
      <c r="R1988" s="76">
        <f t="shared" si="344"/>
        <v>110788</v>
      </c>
      <c r="S1988" s="53">
        <v>27697</v>
      </c>
      <c r="T1988" s="53">
        <v>508.60940000000005</v>
      </c>
      <c r="U1988" s="53">
        <v>3779.1476000000002</v>
      </c>
      <c r="AM1988" s="53">
        <v>77500</v>
      </c>
      <c r="AO1988" s="53">
        <f t="shared" si="346"/>
        <v>2992612.8046580292</v>
      </c>
      <c r="AP1988" s="53">
        <f t="shared" si="346"/>
        <v>750000</v>
      </c>
      <c r="AQ1988" s="53">
        <f t="shared" si="346"/>
        <v>5000000</v>
      </c>
      <c r="AR1988" s="53">
        <f t="shared" si="345"/>
        <v>0</v>
      </c>
      <c r="AS1988" s="53">
        <f t="shared" si="345"/>
        <v>0</v>
      </c>
      <c r="AT1988" s="53">
        <f t="shared" si="345"/>
        <v>0</v>
      </c>
      <c r="AU1988" s="53">
        <f t="shared" si="345"/>
        <v>0</v>
      </c>
      <c r="AV1988" s="53">
        <f t="shared" si="345"/>
        <v>0</v>
      </c>
      <c r="AW1988" s="53">
        <f t="shared" si="345"/>
        <v>0</v>
      </c>
      <c r="AX1988" s="53">
        <f t="shared" si="347"/>
        <v>0</v>
      </c>
      <c r="AY1988" s="41" t="s">
        <v>557</v>
      </c>
    </row>
    <row r="1989" spans="1:51" x14ac:dyDescent="0.2">
      <c r="A1989" s="41" t="s">
        <v>246</v>
      </c>
      <c r="B1989" s="41">
        <v>2006</v>
      </c>
      <c r="C1989" s="41" t="s">
        <v>101</v>
      </c>
      <c r="D1989" s="41" t="s">
        <v>137</v>
      </c>
      <c r="E1989" s="62">
        <v>0</v>
      </c>
      <c r="F1989" s="41" t="s">
        <v>556</v>
      </c>
      <c r="G1989" s="91">
        <v>2600000</v>
      </c>
      <c r="H1989" s="132">
        <v>1.2684450778698197</v>
      </c>
      <c r="I1989" s="129">
        <v>0.3</v>
      </c>
      <c r="J1989" s="129">
        <v>2</v>
      </c>
      <c r="R1989" s="76">
        <f t="shared" si="344"/>
        <v>122092</v>
      </c>
      <c r="S1989" s="93">
        <v>30523</v>
      </c>
      <c r="T1989" s="53">
        <v>545.18299999999999</v>
      </c>
      <c r="U1989" s="53">
        <v>4366.5333000000001</v>
      </c>
      <c r="AM1989" s="53">
        <v>22455</v>
      </c>
      <c r="AO1989" s="53">
        <f t="shared" si="346"/>
        <v>3297957.2024615314</v>
      </c>
      <c r="AP1989" s="53">
        <f t="shared" si="346"/>
        <v>780000</v>
      </c>
      <c r="AQ1989" s="53">
        <f t="shared" si="346"/>
        <v>5200000</v>
      </c>
      <c r="AR1989" s="53">
        <f t="shared" si="345"/>
        <v>0</v>
      </c>
      <c r="AS1989" s="53">
        <f t="shared" si="345"/>
        <v>0</v>
      </c>
      <c r="AT1989" s="53">
        <f t="shared" si="345"/>
        <v>0</v>
      </c>
      <c r="AU1989" s="53">
        <f t="shared" si="345"/>
        <v>0</v>
      </c>
      <c r="AV1989" s="53">
        <f t="shared" si="345"/>
        <v>0</v>
      </c>
      <c r="AW1989" s="53">
        <f t="shared" si="345"/>
        <v>0</v>
      </c>
      <c r="AX1989" s="53">
        <f t="shared" si="347"/>
        <v>0</v>
      </c>
      <c r="AY1989" s="41" t="s">
        <v>557</v>
      </c>
    </row>
    <row r="1990" spans="1:51" x14ac:dyDescent="0.2">
      <c r="A1990" s="41" t="s">
        <v>246</v>
      </c>
      <c r="B1990" s="41">
        <v>2007</v>
      </c>
      <c r="C1990" s="41" t="s">
        <v>101</v>
      </c>
      <c r="D1990" s="41" t="s">
        <v>137</v>
      </c>
      <c r="E1990" s="62">
        <v>0</v>
      </c>
      <c r="F1990" s="41" t="s">
        <v>556</v>
      </c>
      <c r="G1990" s="53">
        <v>2463000</v>
      </c>
      <c r="H1990" s="132">
        <v>1.1844511423985888</v>
      </c>
      <c r="I1990" s="129">
        <v>0.3</v>
      </c>
      <c r="J1990" s="129">
        <v>2</v>
      </c>
      <c r="R1990" s="76">
        <f t="shared" si="344"/>
        <v>108000</v>
      </c>
      <c r="S1990" s="93">
        <v>27000</v>
      </c>
      <c r="T1990" s="53">
        <v>466.5</v>
      </c>
      <c r="U1990" s="53">
        <v>3937.3533000000002</v>
      </c>
      <c r="AM1990" s="53">
        <v>26500</v>
      </c>
      <c r="AO1990" s="53">
        <f t="shared" si="346"/>
        <v>2917303.1637277245</v>
      </c>
      <c r="AP1990" s="53">
        <f t="shared" si="346"/>
        <v>738900</v>
      </c>
      <c r="AQ1990" s="53">
        <f t="shared" si="346"/>
        <v>4926000</v>
      </c>
      <c r="AR1990" s="53">
        <f t="shared" si="345"/>
        <v>0</v>
      </c>
      <c r="AS1990" s="53">
        <f t="shared" si="345"/>
        <v>0</v>
      </c>
      <c r="AT1990" s="53">
        <f t="shared" si="345"/>
        <v>0</v>
      </c>
      <c r="AU1990" s="53">
        <f t="shared" si="345"/>
        <v>0</v>
      </c>
      <c r="AV1990" s="53">
        <f t="shared" si="345"/>
        <v>0</v>
      </c>
      <c r="AW1990" s="53">
        <f t="shared" si="345"/>
        <v>0</v>
      </c>
      <c r="AX1990" s="53">
        <f t="shared" si="347"/>
        <v>0</v>
      </c>
      <c r="AY1990" s="41" t="s">
        <v>557</v>
      </c>
    </row>
    <row r="1991" spans="1:51" x14ac:dyDescent="0.2">
      <c r="A1991" s="41" t="s">
        <v>246</v>
      </c>
      <c r="B1991" s="41">
        <v>2008</v>
      </c>
      <c r="C1991" s="41" t="s">
        <v>101</v>
      </c>
      <c r="D1991" s="41" t="s">
        <v>137</v>
      </c>
      <c r="E1991" s="62">
        <v>0</v>
      </c>
      <c r="F1991" s="41" t="s">
        <v>556</v>
      </c>
      <c r="G1991" s="53">
        <v>2512000</v>
      </c>
      <c r="H1991" s="132">
        <v>1.2043596453228398</v>
      </c>
      <c r="I1991" s="129">
        <v>0.3</v>
      </c>
      <c r="J1991" s="129">
        <v>2</v>
      </c>
      <c r="R1991" s="76">
        <f t="shared" si="344"/>
        <v>112000</v>
      </c>
      <c r="S1991" s="53">
        <v>28000</v>
      </c>
      <c r="T1991" s="53">
        <v>497.69330000000002</v>
      </c>
      <c r="U1991" s="53">
        <v>4198.5932999999995</v>
      </c>
      <c r="AM1991" s="53">
        <v>39600</v>
      </c>
      <c r="AO1991" s="53">
        <f t="shared" si="346"/>
        <v>3025351.4290509736</v>
      </c>
      <c r="AP1991" s="53">
        <f t="shared" si="346"/>
        <v>753600</v>
      </c>
      <c r="AQ1991" s="53">
        <f t="shared" si="346"/>
        <v>5024000</v>
      </c>
      <c r="AR1991" s="53">
        <f t="shared" si="345"/>
        <v>0</v>
      </c>
      <c r="AS1991" s="53">
        <f t="shared" si="345"/>
        <v>0</v>
      </c>
      <c r="AT1991" s="53">
        <f t="shared" si="345"/>
        <v>0</v>
      </c>
      <c r="AU1991" s="53">
        <f t="shared" si="345"/>
        <v>0</v>
      </c>
      <c r="AV1991" s="53">
        <f t="shared" si="345"/>
        <v>0</v>
      </c>
      <c r="AW1991" s="53">
        <f t="shared" si="345"/>
        <v>0</v>
      </c>
      <c r="AX1991" s="53">
        <f t="shared" si="347"/>
        <v>0</v>
      </c>
      <c r="AY1991" s="41" t="s">
        <v>557</v>
      </c>
    </row>
    <row r="1992" spans="1:51" x14ac:dyDescent="0.2">
      <c r="A1992" s="41" t="s">
        <v>246</v>
      </c>
      <c r="B1992" s="41">
        <v>2009</v>
      </c>
      <c r="C1992" s="41" t="s">
        <v>101</v>
      </c>
      <c r="D1992" s="41" t="s">
        <v>137</v>
      </c>
      <c r="E1992" s="62">
        <v>0</v>
      </c>
      <c r="F1992" s="41" t="s">
        <v>556</v>
      </c>
      <c r="G1992" s="53">
        <v>2398635</v>
      </c>
      <c r="H1992" s="41">
        <v>1.3</v>
      </c>
      <c r="I1992" s="88">
        <v>0.31028620810528734</v>
      </c>
      <c r="J1992" s="88">
        <v>2.8024274126524191</v>
      </c>
      <c r="R1992" s="76">
        <f t="shared" si="344"/>
        <v>112505.57604</v>
      </c>
      <c r="S1992" s="53">
        <v>28126.39401</v>
      </c>
      <c r="T1992" s="53">
        <v>487.49250000000001</v>
      </c>
      <c r="U1992" s="53">
        <v>4228.1382999999996</v>
      </c>
      <c r="AM1992" s="53">
        <v>41470</v>
      </c>
      <c r="AO1992" s="53">
        <f t="shared" si="346"/>
        <v>3118225.5</v>
      </c>
      <c r="AP1992" s="53">
        <f t="shared" si="346"/>
        <v>744263.35877862596</v>
      </c>
      <c r="AQ1992" s="53">
        <f t="shared" si="346"/>
        <v>6722000.4769475358</v>
      </c>
      <c r="AR1992" s="53">
        <f t="shared" si="345"/>
        <v>0</v>
      </c>
      <c r="AS1992" s="53">
        <f t="shared" si="345"/>
        <v>0</v>
      </c>
      <c r="AT1992" s="53">
        <f t="shared" si="345"/>
        <v>0</v>
      </c>
      <c r="AU1992" s="53">
        <f t="shared" si="345"/>
        <v>0</v>
      </c>
      <c r="AV1992" s="53">
        <f t="shared" si="345"/>
        <v>0</v>
      </c>
      <c r="AW1992" s="53">
        <f t="shared" si="345"/>
        <v>0</v>
      </c>
      <c r="AX1992" s="53">
        <f t="shared" si="347"/>
        <v>0</v>
      </c>
      <c r="AY1992" s="41" t="s">
        <v>557</v>
      </c>
    </row>
    <row r="1993" spans="1:51" x14ac:dyDescent="0.2">
      <c r="A1993" s="41" t="s">
        <v>246</v>
      </c>
      <c r="B1993" s="41">
        <v>2010</v>
      </c>
      <c r="C1993" s="41" t="s">
        <v>101</v>
      </c>
      <c r="D1993" s="41" t="s">
        <v>137</v>
      </c>
      <c r="E1993" s="62">
        <v>0</v>
      </c>
      <c r="F1993" s="41" t="s">
        <v>556</v>
      </c>
      <c r="G1993" s="53">
        <v>2120000</v>
      </c>
      <c r="H1993" s="41">
        <v>1.23</v>
      </c>
      <c r="I1993" s="88">
        <v>0.28921501882215639</v>
      </c>
      <c r="J1993" s="88">
        <v>2.7032713826557941</v>
      </c>
      <c r="R1993" s="76">
        <f t="shared" si="344"/>
        <v>95062.665600000008</v>
      </c>
      <c r="S1993" s="53">
        <v>23765.666400000002</v>
      </c>
      <c r="T1993" s="53">
        <v>404.42440000000005</v>
      </c>
      <c r="U1993" s="53">
        <v>3633.413</v>
      </c>
      <c r="AM1993" s="53">
        <v>55786</v>
      </c>
      <c r="AO1993" s="53">
        <f t="shared" si="346"/>
        <v>2607600</v>
      </c>
      <c r="AP1993" s="53">
        <f t="shared" si="346"/>
        <v>613135.83990297152</v>
      </c>
      <c r="AQ1993" s="53">
        <f t="shared" si="346"/>
        <v>5730935.3312302837</v>
      </c>
      <c r="AR1993" s="53">
        <f t="shared" si="345"/>
        <v>0</v>
      </c>
      <c r="AS1993" s="53">
        <f t="shared" si="345"/>
        <v>0</v>
      </c>
      <c r="AT1993" s="53">
        <f t="shared" si="345"/>
        <v>0</v>
      </c>
      <c r="AU1993" s="53">
        <f t="shared" si="345"/>
        <v>0</v>
      </c>
      <c r="AV1993" s="53">
        <f t="shared" si="345"/>
        <v>0</v>
      </c>
      <c r="AW1993" s="53">
        <f t="shared" si="345"/>
        <v>0</v>
      </c>
      <c r="AX1993" s="53">
        <f t="shared" si="347"/>
        <v>0</v>
      </c>
      <c r="AY1993" s="41" t="s">
        <v>557</v>
      </c>
    </row>
    <row r="1994" spans="1:51" x14ac:dyDescent="0.2">
      <c r="A1994" s="41" t="s">
        <v>246</v>
      </c>
      <c r="B1994" s="41">
        <v>2011</v>
      </c>
      <c r="C1994" s="41" t="s">
        <v>101</v>
      </c>
      <c r="D1994" s="41" t="s">
        <v>137</v>
      </c>
      <c r="E1994" s="62">
        <v>0</v>
      </c>
      <c r="F1994" s="41" t="s">
        <v>556</v>
      </c>
      <c r="G1994" s="53">
        <v>2000000</v>
      </c>
      <c r="H1994" s="41">
        <v>1.23</v>
      </c>
      <c r="I1994" s="88">
        <v>0.27987733236151602</v>
      </c>
      <c r="J1994" s="88">
        <v>2.8145989763779529</v>
      </c>
      <c r="R1994" s="76">
        <f t="shared" si="344"/>
        <v>91708.800000000003</v>
      </c>
      <c r="S1994" s="93">
        <v>22927.200000000001</v>
      </c>
      <c r="T1994" s="53">
        <v>383.99170000000004</v>
      </c>
      <c r="U1994" s="53">
        <v>3574.5407</v>
      </c>
      <c r="AM1994" s="53">
        <v>39215</v>
      </c>
      <c r="AO1994" s="53">
        <f t="shared" si="346"/>
        <v>2460000</v>
      </c>
      <c r="AP1994" s="53">
        <f t="shared" si="346"/>
        <v>559754.66472303204</v>
      </c>
      <c r="AQ1994" s="53">
        <f t="shared" si="346"/>
        <v>5629197.9527559057</v>
      </c>
      <c r="AR1994" s="53">
        <f t="shared" si="345"/>
        <v>0</v>
      </c>
      <c r="AS1994" s="53">
        <f t="shared" si="345"/>
        <v>0</v>
      </c>
      <c r="AT1994" s="53">
        <f t="shared" si="345"/>
        <v>0</v>
      </c>
      <c r="AU1994" s="53">
        <f t="shared" si="345"/>
        <v>0</v>
      </c>
      <c r="AV1994" s="53">
        <f t="shared" si="345"/>
        <v>0</v>
      </c>
      <c r="AW1994" s="53">
        <f t="shared" si="345"/>
        <v>0</v>
      </c>
      <c r="AX1994" s="53">
        <f t="shared" si="347"/>
        <v>0</v>
      </c>
      <c r="AY1994" s="41" t="s">
        <v>557</v>
      </c>
    </row>
    <row r="1995" spans="1:51" x14ac:dyDescent="0.2">
      <c r="A1995" s="41" t="s">
        <v>246</v>
      </c>
      <c r="B1995" s="41">
        <v>2012</v>
      </c>
      <c r="C1995" s="41" t="s">
        <v>101</v>
      </c>
      <c r="D1995" s="41" t="s">
        <v>137</v>
      </c>
      <c r="E1995" s="62">
        <v>0</v>
      </c>
      <c r="F1995" s="41" t="s">
        <v>556</v>
      </c>
      <c r="G1995" s="53">
        <v>2060000</v>
      </c>
      <c r="H1995" s="41">
        <v>1.18</v>
      </c>
      <c r="I1995" s="56">
        <v>0.27589115940104397</v>
      </c>
      <c r="J1995" s="88">
        <v>2.8600176749243866</v>
      </c>
      <c r="R1995" s="76">
        <f t="shared" si="344"/>
        <v>90114.617599999998</v>
      </c>
      <c r="S1995" s="93">
        <v>22528.654399999999</v>
      </c>
      <c r="T1995" s="53">
        <v>378.11379999999997</v>
      </c>
      <c r="U1995" s="53">
        <v>3440.1264999999999</v>
      </c>
      <c r="AO1995" s="53">
        <f t="shared" si="346"/>
        <v>2430800</v>
      </c>
      <c r="AP1995" s="53">
        <f t="shared" si="346"/>
        <v>568335.78836615058</v>
      </c>
      <c r="AQ1995" s="53">
        <f t="shared" si="346"/>
        <v>5891636.4103442365</v>
      </c>
      <c r="AR1995" s="53">
        <f t="shared" si="345"/>
        <v>0</v>
      </c>
      <c r="AS1995" s="53">
        <f t="shared" si="345"/>
        <v>0</v>
      </c>
      <c r="AT1995" s="53">
        <f t="shared" si="345"/>
        <v>0</v>
      </c>
      <c r="AU1995" s="53">
        <f t="shared" si="345"/>
        <v>0</v>
      </c>
      <c r="AV1995" s="53">
        <f t="shared" si="345"/>
        <v>0</v>
      </c>
      <c r="AW1995" s="53">
        <f t="shared" si="345"/>
        <v>0</v>
      </c>
      <c r="AX1995" s="53">
        <f t="shared" si="347"/>
        <v>0</v>
      </c>
      <c r="AY1995" s="41" t="s">
        <v>557</v>
      </c>
    </row>
    <row r="1996" spans="1:51" x14ac:dyDescent="0.2">
      <c r="A1996" s="41" t="s">
        <v>246</v>
      </c>
      <c r="B1996" s="41">
        <v>2013</v>
      </c>
      <c r="C1996" s="41" t="s">
        <v>101</v>
      </c>
      <c r="D1996" s="41" t="s">
        <v>137</v>
      </c>
      <c r="E1996" s="62">
        <v>0</v>
      </c>
      <c r="F1996" s="41" t="s">
        <v>556</v>
      </c>
      <c r="G1996" s="117">
        <v>2519464</v>
      </c>
      <c r="H1996" s="132">
        <v>1.1170364676275066</v>
      </c>
      <c r="I1996" s="56">
        <v>0.23192348129079321</v>
      </c>
      <c r="J1996" s="56">
        <v>2.2895934957184441</v>
      </c>
      <c r="R1996" s="76">
        <f t="shared" si="344"/>
        <v>104188</v>
      </c>
      <c r="S1996" s="117">
        <v>26047</v>
      </c>
      <c r="T1996" s="117">
        <v>388.75</v>
      </c>
      <c r="U1996" s="117">
        <v>3576.5</v>
      </c>
      <c r="AO1996" s="53">
        <f t="shared" si="346"/>
        <v>2814333.1668746686</v>
      </c>
      <c r="AP1996" s="53">
        <f t="shared" si="346"/>
        <v>584322.86186682701</v>
      </c>
      <c r="AQ1996" s="53">
        <f t="shared" si="346"/>
        <v>5768548.3870967738</v>
      </c>
      <c r="AR1996" s="53">
        <f t="shared" si="346"/>
        <v>0</v>
      </c>
      <c r="AS1996" s="53">
        <f t="shared" si="346"/>
        <v>0</v>
      </c>
      <c r="AT1996" s="53">
        <f t="shared" si="346"/>
        <v>0</v>
      </c>
      <c r="AU1996" s="53">
        <f t="shared" si="346"/>
        <v>0</v>
      </c>
      <c r="AV1996" s="53">
        <f t="shared" si="346"/>
        <v>0</v>
      </c>
      <c r="AW1996" s="53">
        <f t="shared" si="346"/>
        <v>0</v>
      </c>
      <c r="AX1996" s="53">
        <f t="shared" si="347"/>
        <v>0</v>
      </c>
      <c r="AY1996" s="41" t="s">
        <v>557</v>
      </c>
    </row>
    <row r="1997" spans="1:51" x14ac:dyDescent="0.2">
      <c r="A1997" s="41" t="s">
        <v>246</v>
      </c>
      <c r="B1997" s="41">
        <v>2014</v>
      </c>
      <c r="C1997" s="41" t="s">
        <v>101</v>
      </c>
      <c r="D1997" s="41" t="s">
        <v>137</v>
      </c>
      <c r="E1997" s="62">
        <v>0</v>
      </c>
      <c r="F1997" s="41" t="s">
        <v>556</v>
      </c>
      <c r="G1997" s="117">
        <v>1739223</v>
      </c>
      <c r="H1997" s="132">
        <v>1.1082379919662055</v>
      </c>
      <c r="I1997" s="56">
        <v>0.25197582276690239</v>
      </c>
      <c r="J1997" s="56">
        <v>2.4875540918689443</v>
      </c>
      <c r="R1997" s="76">
        <f t="shared" si="344"/>
        <v>71356</v>
      </c>
      <c r="S1997" s="117">
        <v>17839</v>
      </c>
      <c r="T1997" s="117">
        <v>291.5625</v>
      </c>
      <c r="U1997" s="117">
        <v>2682.375</v>
      </c>
      <c r="AO1997" s="53">
        <f t="shared" ref="AO1997:AW1997" si="348">$G1997*H1997</f>
        <v>1927473.00510144</v>
      </c>
      <c r="AP1997" s="53">
        <f t="shared" si="348"/>
        <v>438242.14640012028</v>
      </c>
      <c r="AQ1997" s="53">
        <f t="shared" si="348"/>
        <v>4326411.2903225813</v>
      </c>
      <c r="AR1997" s="53">
        <f t="shared" si="348"/>
        <v>0</v>
      </c>
      <c r="AS1997" s="53">
        <f t="shared" si="348"/>
        <v>0</v>
      </c>
      <c r="AT1997" s="53">
        <f t="shared" si="348"/>
        <v>0</v>
      </c>
      <c r="AU1997" s="53">
        <f t="shared" si="348"/>
        <v>0</v>
      </c>
      <c r="AV1997" s="53">
        <f t="shared" si="348"/>
        <v>0</v>
      </c>
      <c r="AW1997" s="53">
        <f t="shared" si="348"/>
        <v>0</v>
      </c>
      <c r="AX1997" s="53">
        <f>$G1997*E1997</f>
        <v>0</v>
      </c>
      <c r="AY1997" s="41" t="s">
        <v>557</v>
      </c>
    </row>
    <row r="1998" spans="1:51" x14ac:dyDescent="0.2">
      <c r="A1998" s="41" t="s">
        <v>246</v>
      </c>
      <c r="B1998" s="60" t="s">
        <v>559</v>
      </c>
      <c r="C1998" s="60" t="s">
        <v>101</v>
      </c>
      <c r="D1998" s="60" t="s">
        <v>137</v>
      </c>
      <c r="E1998" s="78">
        <f>AX1998/G1998</f>
        <v>40.572257618081728</v>
      </c>
      <c r="F1998" s="60" t="s">
        <v>556</v>
      </c>
      <c r="G1998" s="79">
        <f>SUM(G1875:G1997)</f>
        <v>155649449.86062789</v>
      </c>
      <c r="H1998" s="80">
        <f>AO1998/$G1998</f>
        <v>1.1966515117304062</v>
      </c>
      <c r="I1998" s="80">
        <f>AP1998/$G1998</f>
        <v>0.31472453413825519</v>
      </c>
      <c r="J1998" s="80">
        <f>AQ1998/$G1998</f>
        <v>4.5623001776220917</v>
      </c>
      <c r="R1998" s="79">
        <f>SUM(R1875:R1997)</f>
        <v>6862128.3697888609</v>
      </c>
      <c r="S1998" s="79">
        <f>SUM(S1875:S1997)</f>
        <v>1715532.0924472152</v>
      </c>
      <c r="T1998" s="79">
        <f>SUM(T1875:T1997)</f>
        <v>42450.327101399984</v>
      </c>
      <c r="U1998" s="79">
        <f>SUM(U1875:U1997)</f>
        <v>675621.83216751122</v>
      </c>
      <c r="AM1998" s="79">
        <f>SUM(AM1875:AM1997)</f>
        <v>44514059.856000006</v>
      </c>
      <c r="AO1998" s="79">
        <f t="shared" ref="AO1998:AX1998" si="349">SUM(AO1875:AO1997)</f>
        <v>186258149.47572643</v>
      </c>
      <c r="AP1998" s="79">
        <f t="shared" si="349"/>
        <v>48986700.596261822</v>
      </c>
      <c r="AQ1998" s="79">
        <f t="shared" si="349"/>
        <v>710119512.74592352</v>
      </c>
      <c r="AR1998" s="79">
        <f t="shared" si="349"/>
        <v>0</v>
      </c>
      <c r="AS1998" s="79">
        <f t="shared" si="349"/>
        <v>0</v>
      </c>
      <c r="AT1998" s="79">
        <f t="shared" si="349"/>
        <v>0</v>
      </c>
      <c r="AU1998" s="79">
        <f t="shared" si="349"/>
        <v>0</v>
      </c>
      <c r="AV1998" s="79">
        <f t="shared" si="349"/>
        <v>0</v>
      </c>
      <c r="AW1998" s="79">
        <f t="shared" si="349"/>
        <v>0</v>
      </c>
      <c r="AX1998" s="79">
        <f t="shared" si="349"/>
        <v>6315049577.8580894</v>
      </c>
      <c r="AY1998" s="41" t="s">
        <v>557</v>
      </c>
    </row>
    <row r="1999" spans="1:51" x14ac:dyDescent="0.2">
      <c r="A1999" s="41" t="s">
        <v>246</v>
      </c>
      <c r="B1999" s="43" t="s">
        <v>560</v>
      </c>
      <c r="G1999" s="53">
        <f>STDEV(G1875:G1997)</f>
        <v>854077.33960866753</v>
      </c>
      <c r="H1999" s="46">
        <f>STDEV(H1875:H1997)</f>
        <v>2.7286613410362284</v>
      </c>
      <c r="I1999" s="46">
        <f>STDEV(I1875:I1997)</f>
        <v>2.8829637374917896</v>
      </c>
      <c r="J1999" s="46">
        <f>STDEV(J1875:J1997)</f>
        <v>3894.2237554457997</v>
      </c>
      <c r="R1999" s="53">
        <f>STDEV(R1875:R1997)</f>
        <v>31641.752608781138</v>
      </c>
      <c r="S1999" s="53">
        <f>STDEV(S1875:S1997)</f>
        <v>7910.4381521952846</v>
      </c>
      <c r="T1999" s="53">
        <f>STDEV(T1875:T1997)</f>
        <v>207.3937773284473</v>
      </c>
      <c r="U1999" s="53">
        <f>STDEV(U1875:U1997)</f>
        <v>5999.5768580782715</v>
      </c>
      <c r="AM1999" s="53">
        <f>STDEV(AM1875:AM1997)</f>
        <v>913964.78754887986</v>
      </c>
      <c r="AY1999" s="41" t="s">
        <v>557</v>
      </c>
    </row>
    <row r="2000" spans="1:51" x14ac:dyDescent="0.2">
      <c r="A2000" s="41" t="s">
        <v>246</v>
      </c>
      <c r="B2000" s="81" t="s">
        <v>249</v>
      </c>
      <c r="G2000" s="41">
        <f>COUNT(G1875:G1997)</f>
        <v>123</v>
      </c>
      <c r="H2000" s="41">
        <f>COUNT(H1875:H1997)</f>
        <v>121</v>
      </c>
      <c r="I2000" s="41">
        <f>COUNT(I1875:I1997)</f>
        <v>121</v>
      </c>
      <c r="J2000" s="41">
        <f>COUNT(J1875:J1997)</f>
        <v>123</v>
      </c>
      <c r="R2000" s="41">
        <f>COUNT(R1875:R1997)</f>
        <v>121</v>
      </c>
      <c r="S2000" s="41">
        <f>COUNT(S1875:S1997)</f>
        <v>121</v>
      </c>
      <c r="T2000" s="41">
        <f>COUNT(T1875:T1997)</f>
        <v>121</v>
      </c>
      <c r="U2000" s="41">
        <f>COUNT(U1875:U1997)</f>
        <v>123</v>
      </c>
      <c r="AM2000" s="41">
        <f>COUNT(AM1875:AM1997)</f>
        <v>51</v>
      </c>
      <c r="AY2000" s="41" t="s">
        <v>557</v>
      </c>
    </row>
    <row r="2001" spans="1:51" x14ac:dyDescent="0.2">
      <c r="A2001" s="82"/>
      <c r="B2001" s="82"/>
      <c r="C2001" s="82"/>
      <c r="D2001" s="82"/>
      <c r="E2001" s="82"/>
      <c r="F2001" s="82"/>
      <c r="G2001" s="82"/>
      <c r="H2001" s="82"/>
      <c r="I2001" s="82"/>
      <c r="J2001" s="82"/>
      <c r="K2001" s="82"/>
      <c r="L2001" s="82"/>
      <c r="M2001" s="82"/>
      <c r="N2001" s="82"/>
      <c r="O2001" s="82"/>
      <c r="P2001" s="82"/>
      <c r="Q2001" s="82"/>
      <c r="R2001" s="82"/>
      <c r="S2001" s="82"/>
      <c r="T2001" s="82"/>
      <c r="U2001" s="82"/>
      <c r="V2001" s="82"/>
      <c r="W2001" s="82"/>
      <c r="X2001" s="82"/>
      <c r="Y2001" s="82"/>
      <c r="Z2001" s="82"/>
      <c r="AA2001" s="82"/>
      <c r="AB2001" s="82"/>
      <c r="AC2001" s="82"/>
      <c r="AD2001" s="82"/>
      <c r="AE2001" s="82"/>
      <c r="AF2001" s="82"/>
      <c r="AG2001" s="82"/>
      <c r="AH2001" s="82"/>
      <c r="AI2001" s="82"/>
      <c r="AJ2001" s="82"/>
      <c r="AK2001" s="82"/>
      <c r="AL2001" s="82"/>
      <c r="AM2001" s="82"/>
      <c r="AN2001" s="82"/>
      <c r="AO2001" s="82"/>
      <c r="AP2001" s="82"/>
      <c r="AQ2001" s="82"/>
      <c r="AR2001" s="82"/>
      <c r="AS2001" s="82"/>
      <c r="AT2001" s="82"/>
      <c r="AU2001" s="82"/>
      <c r="AV2001" s="82"/>
      <c r="AW2001" s="82"/>
      <c r="AX2001" s="82"/>
      <c r="AY2001" s="41" t="s">
        <v>557</v>
      </c>
    </row>
    <row r="2002" spans="1:51" x14ac:dyDescent="0.2">
      <c r="A2002" s="41" t="s">
        <v>133</v>
      </c>
      <c r="B2002" s="41">
        <v>1997</v>
      </c>
      <c r="C2002" s="41" t="s">
        <v>87</v>
      </c>
      <c r="D2002" s="41" t="s">
        <v>88</v>
      </c>
      <c r="E2002" s="41">
        <v>100</v>
      </c>
      <c r="F2002" s="41" t="s">
        <v>556</v>
      </c>
      <c r="G2002" s="53">
        <v>2209818</v>
      </c>
      <c r="H2002" s="41">
        <v>0.26600000000000001</v>
      </c>
      <c r="I2002" s="41">
        <v>0.36599999999999999</v>
      </c>
      <c r="R2002" s="76">
        <f t="shared" ref="R2002:R2018" si="350">S2002*4</f>
        <v>14347.261678004535</v>
      </c>
      <c r="S2002" s="53">
        <v>3586.8154195011339</v>
      </c>
      <c r="T2002" s="53">
        <v>555.63260000000002</v>
      </c>
      <c r="AH2002" s="53">
        <f t="shared" ref="AH2002:AH2018" si="351">G2002-R2002</f>
        <v>2195470.7383219954</v>
      </c>
      <c r="AM2002" s="53">
        <v>2233751.0469314079</v>
      </c>
      <c r="AO2002" s="53">
        <f t="shared" ref="AO2002:AW2018" si="352">$G2002*H2002</f>
        <v>587811.58799999999</v>
      </c>
      <c r="AP2002" s="53">
        <f t="shared" si="352"/>
        <v>808793.38800000004</v>
      </c>
      <c r="AQ2002" s="53">
        <f t="shared" si="352"/>
        <v>0</v>
      </c>
      <c r="AR2002" s="53">
        <f t="shared" si="352"/>
        <v>0</v>
      </c>
      <c r="AS2002" s="53">
        <f t="shared" si="352"/>
        <v>0</v>
      </c>
      <c r="AT2002" s="53">
        <f t="shared" si="352"/>
        <v>0</v>
      </c>
      <c r="AU2002" s="53">
        <f t="shared" si="352"/>
        <v>0</v>
      </c>
      <c r="AV2002" s="53">
        <f t="shared" si="352"/>
        <v>0</v>
      </c>
      <c r="AW2002" s="53">
        <f t="shared" si="352"/>
        <v>0</v>
      </c>
      <c r="AX2002" s="53">
        <f t="shared" ref="AX2002:AX2018" si="353">$G2002*E2002</f>
        <v>220981800</v>
      </c>
      <c r="AY2002" s="41" t="s">
        <v>557</v>
      </c>
    </row>
    <row r="2003" spans="1:51" x14ac:dyDescent="0.2">
      <c r="A2003" s="41" t="s">
        <v>133</v>
      </c>
      <c r="B2003" s="41">
        <v>1998</v>
      </c>
      <c r="C2003" s="41" t="s">
        <v>87</v>
      </c>
      <c r="D2003" s="41" t="s">
        <v>88</v>
      </c>
      <c r="E2003" s="41">
        <v>100</v>
      </c>
      <c r="F2003" s="41" t="s">
        <v>556</v>
      </c>
      <c r="G2003" s="53">
        <v>5829701</v>
      </c>
      <c r="H2003" s="41">
        <v>0.36299999999999999</v>
      </c>
      <c r="I2003" s="41">
        <v>0.76600000000000001</v>
      </c>
      <c r="R2003" s="76">
        <f t="shared" si="350"/>
        <v>43393.082993197277</v>
      </c>
      <c r="S2003" s="53">
        <v>10848.270748299319</v>
      </c>
      <c r="T2003" s="53">
        <v>3163.7719000000002</v>
      </c>
      <c r="AH2003" s="53">
        <f t="shared" si="351"/>
        <v>5786307.9170068027</v>
      </c>
      <c r="AM2003" s="53">
        <v>5892838.5559566785</v>
      </c>
      <c r="AO2003" s="53">
        <f t="shared" si="352"/>
        <v>2116181.463</v>
      </c>
      <c r="AP2003" s="53">
        <f t="shared" si="352"/>
        <v>4465550.966</v>
      </c>
      <c r="AQ2003" s="53">
        <f t="shared" si="352"/>
        <v>0</v>
      </c>
      <c r="AR2003" s="53">
        <f t="shared" si="352"/>
        <v>0</v>
      </c>
      <c r="AS2003" s="53">
        <f t="shared" si="352"/>
        <v>0</v>
      </c>
      <c r="AT2003" s="53">
        <f t="shared" si="352"/>
        <v>0</v>
      </c>
      <c r="AU2003" s="53">
        <f t="shared" si="352"/>
        <v>0</v>
      </c>
      <c r="AV2003" s="53">
        <f t="shared" si="352"/>
        <v>0</v>
      </c>
      <c r="AW2003" s="53">
        <f t="shared" si="352"/>
        <v>0</v>
      </c>
      <c r="AX2003" s="53">
        <f t="shared" si="353"/>
        <v>582970100</v>
      </c>
      <c r="AY2003" s="41" t="s">
        <v>557</v>
      </c>
    </row>
    <row r="2004" spans="1:51" x14ac:dyDescent="0.2">
      <c r="A2004" s="41" t="s">
        <v>133</v>
      </c>
      <c r="B2004" s="41">
        <v>1999</v>
      </c>
      <c r="C2004" s="41" t="s">
        <v>87</v>
      </c>
      <c r="D2004" s="41" t="s">
        <v>88</v>
      </c>
      <c r="E2004" s="41">
        <v>100</v>
      </c>
      <c r="F2004" s="41" t="s">
        <v>556</v>
      </c>
      <c r="G2004" s="53">
        <v>7090465</v>
      </c>
      <c r="H2004" s="41">
        <v>0.34300000000000003</v>
      </c>
      <c r="I2004" s="41">
        <v>0.56599999999999995</v>
      </c>
      <c r="R2004" s="76">
        <f t="shared" si="350"/>
        <v>67303.227210884361</v>
      </c>
      <c r="S2004" s="53">
        <v>16825.80680272109</v>
      </c>
      <c r="T2004" s="53">
        <v>3097.0934999999999</v>
      </c>
      <c r="AH2004" s="53">
        <f t="shared" si="351"/>
        <v>7023161.772789116</v>
      </c>
      <c r="AM2004" s="53">
        <v>7167257.0397111904</v>
      </c>
      <c r="AO2004" s="53">
        <f t="shared" si="352"/>
        <v>2432029.4950000001</v>
      </c>
      <c r="AP2004" s="53">
        <f t="shared" si="352"/>
        <v>4013203.1899999995</v>
      </c>
      <c r="AQ2004" s="53">
        <f t="shared" si="352"/>
        <v>0</v>
      </c>
      <c r="AR2004" s="53">
        <f t="shared" si="352"/>
        <v>0</v>
      </c>
      <c r="AS2004" s="53">
        <f t="shared" si="352"/>
        <v>0</v>
      </c>
      <c r="AT2004" s="53">
        <f t="shared" si="352"/>
        <v>0</v>
      </c>
      <c r="AU2004" s="53">
        <f t="shared" si="352"/>
        <v>0</v>
      </c>
      <c r="AV2004" s="53">
        <f t="shared" si="352"/>
        <v>0</v>
      </c>
      <c r="AW2004" s="53">
        <f t="shared" si="352"/>
        <v>0</v>
      </c>
      <c r="AX2004" s="53">
        <f t="shared" si="353"/>
        <v>709046500</v>
      </c>
      <c r="AY2004" s="41" t="s">
        <v>557</v>
      </c>
    </row>
    <row r="2005" spans="1:51" x14ac:dyDescent="0.2">
      <c r="A2005" s="41" t="s">
        <v>133</v>
      </c>
      <c r="B2005" s="41">
        <v>2000</v>
      </c>
      <c r="C2005" s="41" t="s">
        <v>87</v>
      </c>
      <c r="D2005" s="41" t="s">
        <v>88</v>
      </c>
      <c r="E2005" s="41">
        <v>100</v>
      </c>
      <c r="F2005" s="41" t="s">
        <v>556</v>
      </c>
      <c r="G2005" s="53">
        <v>6949600</v>
      </c>
      <c r="H2005" s="41">
        <v>0.317</v>
      </c>
      <c r="I2005" s="41">
        <v>0.49299999999999999</v>
      </c>
      <c r="R2005" s="76">
        <f t="shared" si="350"/>
        <v>62006.064399092968</v>
      </c>
      <c r="S2005" s="53">
        <v>15501.516099773242</v>
      </c>
      <c r="T2005" s="53">
        <v>2587.3334</v>
      </c>
      <c r="AH2005" s="53">
        <f t="shared" si="351"/>
        <v>6887593.9356009066</v>
      </c>
      <c r="AM2005" s="53">
        <v>7024866.4259927794</v>
      </c>
      <c r="AO2005" s="53">
        <f t="shared" si="352"/>
        <v>2203023.2000000002</v>
      </c>
      <c r="AP2005" s="53">
        <f t="shared" si="352"/>
        <v>3426152.8</v>
      </c>
      <c r="AQ2005" s="53">
        <f t="shared" si="352"/>
        <v>0</v>
      </c>
      <c r="AR2005" s="53">
        <f t="shared" si="352"/>
        <v>0</v>
      </c>
      <c r="AS2005" s="53">
        <f t="shared" si="352"/>
        <v>0</v>
      </c>
      <c r="AT2005" s="53">
        <f t="shared" si="352"/>
        <v>0</v>
      </c>
      <c r="AU2005" s="53">
        <f t="shared" si="352"/>
        <v>0</v>
      </c>
      <c r="AV2005" s="53">
        <f t="shared" si="352"/>
        <v>0</v>
      </c>
      <c r="AW2005" s="53">
        <f t="shared" si="352"/>
        <v>0</v>
      </c>
      <c r="AX2005" s="53">
        <f t="shared" si="353"/>
        <v>694960000</v>
      </c>
      <c r="AY2005" s="41" t="s">
        <v>557</v>
      </c>
    </row>
    <row r="2006" spans="1:51" x14ac:dyDescent="0.2">
      <c r="A2006" s="41" t="s">
        <v>133</v>
      </c>
      <c r="B2006" s="41">
        <v>2001</v>
      </c>
      <c r="C2006" s="41" t="s">
        <v>87</v>
      </c>
      <c r="D2006" s="41" t="s">
        <v>88</v>
      </c>
      <c r="E2006" s="41">
        <v>100</v>
      </c>
      <c r="F2006" s="41" t="s">
        <v>556</v>
      </c>
      <c r="G2006" s="53">
        <v>5149703</v>
      </c>
      <c r="H2006" s="41">
        <v>0.32900000000000001</v>
      </c>
      <c r="I2006" s="41">
        <v>0.52400000000000002</v>
      </c>
      <c r="R2006" s="76">
        <f t="shared" si="350"/>
        <v>51671.791383219956</v>
      </c>
      <c r="S2006" s="53">
        <v>12917.947845804989</v>
      </c>
      <c r="T2006" s="53">
        <v>1998.4238</v>
      </c>
      <c r="AH2006" s="53">
        <f t="shared" si="351"/>
        <v>5098031.2086167801</v>
      </c>
      <c r="AM2006" s="53">
        <v>5205475.9566786997</v>
      </c>
      <c r="AO2006" s="53">
        <f t="shared" si="352"/>
        <v>1694252.287</v>
      </c>
      <c r="AP2006" s="53">
        <f t="shared" si="352"/>
        <v>2698444.372</v>
      </c>
      <c r="AQ2006" s="53">
        <f t="shared" si="352"/>
        <v>0</v>
      </c>
      <c r="AR2006" s="53">
        <f t="shared" si="352"/>
        <v>0</v>
      </c>
      <c r="AS2006" s="53">
        <f t="shared" si="352"/>
        <v>0</v>
      </c>
      <c r="AT2006" s="53">
        <f t="shared" si="352"/>
        <v>0</v>
      </c>
      <c r="AU2006" s="53">
        <f t="shared" si="352"/>
        <v>0</v>
      </c>
      <c r="AV2006" s="53">
        <f t="shared" si="352"/>
        <v>0</v>
      </c>
      <c r="AW2006" s="53">
        <f t="shared" si="352"/>
        <v>0</v>
      </c>
      <c r="AX2006" s="53">
        <f t="shared" si="353"/>
        <v>514970300</v>
      </c>
      <c r="AY2006" s="41" t="s">
        <v>557</v>
      </c>
    </row>
    <row r="2007" spans="1:51" x14ac:dyDescent="0.2">
      <c r="A2007" s="41" t="s">
        <v>133</v>
      </c>
      <c r="B2007" s="41">
        <v>2005</v>
      </c>
      <c r="C2007" s="41" t="s">
        <v>87</v>
      </c>
      <c r="D2007" s="41" t="s">
        <v>88</v>
      </c>
      <c r="E2007" s="41">
        <v>100</v>
      </c>
      <c r="F2007" s="41" t="s">
        <v>556</v>
      </c>
      <c r="G2007" s="53">
        <v>4814083</v>
      </c>
      <c r="H2007" s="41">
        <v>0.39100000000000001</v>
      </c>
      <c r="I2007" s="41">
        <v>0.29499999999999998</v>
      </c>
      <c r="J2007" s="56">
        <f>1000*U2007/G2007/0.75</f>
        <v>2.0186441876192549</v>
      </c>
      <c r="R2007" s="76">
        <f t="shared" si="350"/>
        <v>55018.178684807259</v>
      </c>
      <c r="S2007" s="53">
        <v>13754.544671201815</v>
      </c>
      <c r="T2007" s="53">
        <v>952.74850000000004</v>
      </c>
      <c r="U2007" s="53">
        <v>7288.4404999999997</v>
      </c>
      <c r="AH2007" s="53">
        <f t="shared" si="351"/>
        <v>4759064.8213151926</v>
      </c>
      <c r="AM2007" s="53">
        <v>16849290.5</v>
      </c>
      <c r="AO2007" s="53">
        <f t="shared" si="352"/>
        <v>1882306.453</v>
      </c>
      <c r="AP2007" s="53">
        <f t="shared" si="352"/>
        <v>1420154.4849999999</v>
      </c>
      <c r="AQ2007" s="53">
        <f t="shared" si="352"/>
        <v>9717920.666666666</v>
      </c>
      <c r="AR2007" s="53">
        <f t="shared" si="352"/>
        <v>0</v>
      </c>
      <c r="AS2007" s="53">
        <f t="shared" si="352"/>
        <v>0</v>
      </c>
      <c r="AT2007" s="53">
        <f t="shared" si="352"/>
        <v>0</v>
      </c>
      <c r="AU2007" s="53">
        <f t="shared" si="352"/>
        <v>0</v>
      </c>
      <c r="AV2007" s="53">
        <f t="shared" si="352"/>
        <v>0</v>
      </c>
      <c r="AW2007" s="53">
        <f t="shared" si="352"/>
        <v>0</v>
      </c>
      <c r="AX2007" s="53">
        <f t="shared" si="353"/>
        <v>481408300</v>
      </c>
      <c r="AY2007" s="41" t="s">
        <v>557</v>
      </c>
    </row>
    <row r="2008" spans="1:51" x14ac:dyDescent="0.2">
      <c r="A2008" s="41" t="s">
        <v>133</v>
      </c>
      <c r="B2008" s="41">
        <v>2006</v>
      </c>
      <c r="C2008" s="41" t="s">
        <v>87</v>
      </c>
      <c r="D2008" s="41" t="s">
        <v>88</v>
      </c>
      <c r="E2008" s="41">
        <v>100</v>
      </c>
      <c r="F2008" s="41" t="s">
        <v>556</v>
      </c>
      <c r="G2008" s="53">
        <v>6235221</v>
      </c>
      <c r="H2008" s="41">
        <v>0.47399999999999998</v>
      </c>
      <c r="I2008" s="41">
        <v>0.26500000000000001</v>
      </c>
      <c r="J2008" s="56">
        <f t="shared" ref="J2008:J2018" si="354">1000*U2008/G2008/0.75</f>
        <v>2.8102430370952369</v>
      </c>
      <c r="R2008" s="76">
        <f t="shared" si="350"/>
        <v>100767.69886621315</v>
      </c>
      <c r="S2008" s="53">
        <v>25191.924716553287</v>
      </c>
      <c r="T2008" s="53">
        <v>1186.9004000000002</v>
      </c>
      <c r="U2008" s="53">
        <v>13141.864800000001</v>
      </c>
      <c r="AH2008" s="53">
        <f t="shared" si="351"/>
        <v>6134453.3011337873</v>
      </c>
      <c r="AM2008" s="53">
        <v>27300000</v>
      </c>
      <c r="AO2008" s="53">
        <f t="shared" si="352"/>
        <v>2955494.7539999997</v>
      </c>
      <c r="AP2008" s="53">
        <f t="shared" si="352"/>
        <v>1652333.5650000002</v>
      </c>
      <c r="AQ2008" s="53">
        <f t="shared" si="352"/>
        <v>17522486.399999999</v>
      </c>
      <c r="AR2008" s="53">
        <f t="shared" si="352"/>
        <v>0</v>
      </c>
      <c r="AS2008" s="53">
        <f t="shared" si="352"/>
        <v>0</v>
      </c>
      <c r="AT2008" s="53">
        <f t="shared" si="352"/>
        <v>0</v>
      </c>
      <c r="AU2008" s="53">
        <f t="shared" si="352"/>
        <v>0</v>
      </c>
      <c r="AV2008" s="53">
        <f t="shared" si="352"/>
        <v>0</v>
      </c>
      <c r="AW2008" s="53">
        <f t="shared" si="352"/>
        <v>0</v>
      </c>
      <c r="AX2008" s="53">
        <f t="shared" si="353"/>
        <v>623522100</v>
      </c>
      <c r="AY2008" s="41" t="s">
        <v>557</v>
      </c>
    </row>
    <row r="2009" spans="1:51" x14ac:dyDescent="0.2">
      <c r="A2009" s="41" t="s">
        <v>133</v>
      </c>
      <c r="B2009" s="41">
        <v>2007</v>
      </c>
      <c r="C2009" s="41" t="s">
        <v>87</v>
      </c>
      <c r="D2009" s="41" t="s">
        <v>88</v>
      </c>
      <c r="E2009" s="41">
        <v>100</v>
      </c>
      <c r="F2009" s="41" t="s">
        <v>556</v>
      </c>
      <c r="G2009" s="53">
        <v>6444112</v>
      </c>
      <c r="H2009" s="41">
        <v>0.46100000000000002</v>
      </c>
      <c r="I2009" s="41">
        <v>0.24199999999999999</v>
      </c>
      <c r="J2009" s="56">
        <f t="shared" si="354"/>
        <v>2.3855852908825916</v>
      </c>
      <c r="R2009" s="76">
        <f t="shared" si="350"/>
        <v>93435.181859410426</v>
      </c>
      <c r="S2009" s="53">
        <v>23358.795464852607</v>
      </c>
      <c r="T2009" s="53">
        <v>1083.3063</v>
      </c>
      <c r="U2009" s="53">
        <v>11529.7341</v>
      </c>
      <c r="AH2009" s="53">
        <f t="shared" si="351"/>
        <v>6350676.8181405896</v>
      </c>
      <c r="AM2009" s="76">
        <v>25776448</v>
      </c>
      <c r="AO2009" s="53">
        <f t="shared" si="352"/>
        <v>2970735.6320000002</v>
      </c>
      <c r="AP2009" s="53">
        <f t="shared" si="352"/>
        <v>1559475.1040000001</v>
      </c>
      <c r="AQ2009" s="53">
        <f t="shared" si="352"/>
        <v>15372978.799999999</v>
      </c>
      <c r="AR2009" s="53">
        <f t="shared" si="352"/>
        <v>0</v>
      </c>
      <c r="AS2009" s="53">
        <f t="shared" si="352"/>
        <v>0</v>
      </c>
      <c r="AT2009" s="53">
        <f t="shared" si="352"/>
        <v>0</v>
      </c>
      <c r="AU2009" s="53">
        <f t="shared" si="352"/>
        <v>0</v>
      </c>
      <c r="AV2009" s="53">
        <f t="shared" si="352"/>
        <v>0</v>
      </c>
      <c r="AW2009" s="53">
        <f t="shared" si="352"/>
        <v>0</v>
      </c>
      <c r="AX2009" s="53">
        <f t="shared" si="353"/>
        <v>644411200</v>
      </c>
      <c r="AY2009" s="41" t="s">
        <v>557</v>
      </c>
    </row>
    <row r="2010" spans="1:51" x14ac:dyDescent="0.2">
      <c r="A2010" s="41" t="s">
        <v>133</v>
      </c>
      <c r="B2010" s="41">
        <v>2008</v>
      </c>
      <c r="C2010" s="41" t="s">
        <v>87</v>
      </c>
      <c r="D2010" s="41" t="s">
        <v>88</v>
      </c>
      <c r="E2010" s="41">
        <v>100</v>
      </c>
      <c r="F2010" s="41" t="s">
        <v>556</v>
      </c>
      <c r="G2010" s="53">
        <v>6848983</v>
      </c>
      <c r="H2010" s="41">
        <v>0.55200000000000005</v>
      </c>
      <c r="I2010" s="41">
        <v>0.30599999999999999</v>
      </c>
      <c r="J2010" s="56">
        <f t="shared" si="354"/>
        <v>3.1624693281713014</v>
      </c>
      <c r="R2010" s="76">
        <f t="shared" si="350"/>
        <v>109398.2022675737</v>
      </c>
      <c r="S2010" s="53">
        <v>27349.550566893424</v>
      </c>
      <c r="T2010" s="53">
        <v>1461.7311000000002</v>
      </c>
      <c r="U2010" s="53">
        <v>16244.773999999999</v>
      </c>
      <c r="AH2010" s="53">
        <f t="shared" si="351"/>
        <v>6739584.7977324259</v>
      </c>
      <c r="AM2010" s="76">
        <v>14588333.789999999</v>
      </c>
      <c r="AO2010" s="53">
        <f t="shared" si="352"/>
        <v>3780638.6160000004</v>
      </c>
      <c r="AP2010" s="53">
        <f t="shared" si="352"/>
        <v>2095788.798</v>
      </c>
      <c r="AQ2010" s="53">
        <f t="shared" si="352"/>
        <v>21659698.666666664</v>
      </c>
      <c r="AR2010" s="53">
        <f t="shared" si="352"/>
        <v>0</v>
      </c>
      <c r="AS2010" s="53">
        <f t="shared" si="352"/>
        <v>0</v>
      </c>
      <c r="AT2010" s="53">
        <f t="shared" si="352"/>
        <v>0</v>
      </c>
      <c r="AU2010" s="53">
        <f t="shared" si="352"/>
        <v>0</v>
      </c>
      <c r="AV2010" s="53">
        <f t="shared" si="352"/>
        <v>0</v>
      </c>
      <c r="AW2010" s="53">
        <f t="shared" si="352"/>
        <v>0</v>
      </c>
      <c r="AX2010" s="53">
        <f t="shared" si="353"/>
        <v>684898300</v>
      </c>
      <c r="AY2010" s="41" t="s">
        <v>557</v>
      </c>
    </row>
    <row r="2011" spans="1:51" x14ac:dyDescent="0.2">
      <c r="A2011" s="41" t="s">
        <v>133</v>
      </c>
      <c r="B2011" s="41">
        <v>2009</v>
      </c>
      <c r="C2011" s="41" t="s">
        <v>87</v>
      </c>
      <c r="D2011" s="41" t="s">
        <v>88</v>
      </c>
      <c r="E2011" s="41">
        <v>100</v>
      </c>
      <c r="F2011" s="41" t="s">
        <v>556</v>
      </c>
      <c r="G2011" s="53">
        <v>7045737</v>
      </c>
      <c r="H2011" s="41">
        <v>0.371</v>
      </c>
      <c r="I2011" s="41">
        <v>0.32200000000000001</v>
      </c>
      <c r="J2011" s="56">
        <f t="shared" si="354"/>
        <v>1.1946800739227139</v>
      </c>
      <c r="R2011" s="76">
        <f t="shared" si="350"/>
        <v>61424.943310657596</v>
      </c>
      <c r="S2011" s="53">
        <v>15356.235827664399</v>
      </c>
      <c r="T2011" s="53">
        <v>1536.7132000000001</v>
      </c>
      <c r="U2011" s="53">
        <v>6313.0511999999999</v>
      </c>
      <c r="AH2011" s="53">
        <f t="shared" si="351"/>
        <v>6984312.0566893425</v>
      </c>
      <c r="AM2011" s="76">
        <v>15007419.809999999</v>
      </c>
      <c r="AO2011" s="53">
        <f t="shared" si="352"/>
        <v>2613968.4270000001</v>
      </c>
      <c r="AP2011" s="53">
        <f t="shared" si="352"/>
        <v>2268727.3140000002</v>
      </c>
      <c r="AQ2011" s="53">
        <f t="shared" si="352"/>
        <v>8417401.6000000015</v>
      </c>
      <c r="AR2011" s="53">
        <f t="shared" si="352"/>
        <v>0</v>
      </c>
      <c r="AS2011" s="53">
        <f t="shared" si="352"/>
        <v>0</v>
      </c>
      <c r="AT2011" s="53">
        <f t="shared" si="352"/>
        <v>0</v>
      </c>
      <c r="AU2011" s="53">
        <f t="shared" si="352"/>
        <v>0</v>
      </c>
      <c r="AV2011" s="53">
        <f t="shared" si="352"/>
        <v>0</v>
      </c>
      <c r="AW2011" s="53">
        <f t="shared" si="352"/>
        <v>0</v>
      </c>
      <c r="AX2011" s="53">
        <f t="shared" si="353"/>
        <v>704573700</v>
      </c>
      <c r="AY2011" s="41" t="s">
        <v>557</v>
      </c>
    </row>
    <row r="2012" spans="1:51" x14ac:dyDescent="0.2">
      <c r="A2012" s="41" t="s">
        <v>133</v>
      </c>
      <c r="B2012" s="41">
        <v>2010</v>
      </c>
      <c r="C2012" s="41" t="s">
        <v>87</v>
      </c>
      <c r="D2012" s="41" t="s">
        <v>88</v>
      </c>
      <c r="E2012" s="41">
        <v>100</v>
      </c>
      <c r="F2012" s="41" t="s">
        <v>556</v>
      </c>
      <c r="G2012" s="53">
        <v>7894596</v>
      </c>
      <c r="H2012" s="41">
        <v>0.32200000000000001</v>
      </c>
      <c r="I2012" s="41">
        <v>0.28100000000000003</v>
      </c>
      <c r="J2012" s="56">
        <f t="shared" si="354"/>
        <v>1.0862879198209341</v>
      </c>
      <c r="R2012" s="76">
        <f t="shared" si="350"/>
        <v>63206.550566893427</v>
      </c>
      <c r="S2012" s="53">
        <v>15801.637641723357</v>
      </c>
      <c r="T2012" s="53">
        <v>1454.5781000000002</v>
      </c>
      <c r="U2012" s="53">
        <v>6431.8532000000005</v>
      </c>
      <c r="AH2012" s="53">
        <f t="shared" si="351"/>
        <v>7831389.4494331069</v>
      </c>
      <c r="AM2012" s="76">
        <v>16815489.48</v>
      </c>
      <c r="AO2012" s="53">
        <f t="shared" si="352"/>
        <v>2542059.912</v>
      </c>
      <c r="AP2012" s="53">
        <f t="shared" si="352"/>
        <v>2218381.4760000003</v>
      </c>
      <c r="AQ2012" s="53">
        <f t="shared" si="352"/>
        <v>8575804.2666666675</v>
      </c>
      <c r="AR2012" s="53">
        <f t="shared" si="352"/>
        <v>0</v>
      </c>
      <c r="AS2012" s="53">
        <f t="shared" si="352"/>
        <v>0</v>
      </c>
      <c r="AT2012" s="53">
        <f t="shared" si="352"/>
        <v>0</v>
      </c>
      <c r="AU2012" s="53">
        <f t="shared" si="352"/>
        <v>0</v>
      </c>
      <c r="AV2012" s="53">
        <f t="shared" si="352"/>
        <v>0</v>
      </c>
      <c r="AW2012" s="53">
        <f t="shared" si="352"/>
        <v>0</v>
      </c>
      <c r="AX2012" s="53">
        <f t="shared" si="353"/>
        <v>789459600</v>
      </c>
      <c r="AY2012" s="41" t="s">
        <v>557</v>
      </c>
    </row>
    <row r="2013" spans="1:51" x14ac:dyDescent="0.2">
      <c r="A2013" s="41" t="s">
        <v>133</v>
      </c>
      <c r="B2013" s="41">
        <v>2011</v>
      </c>
      <c r="C2013" s="41" t="s">
        <v>87</v>
      </c>
      <c r="D2013" s="41" t="s">
        <v>88</v>
      </c>
      <c r="E2013" s="41">
        <v>100</v>
      </c>
      <c r="F2013" s="41" t="s">
        <v>556</v>
      </c>
      <c r="G2013" s="53">
        <v>7716856</v>
      </c>
      <c r="H2013" s="41">
        <v>0.26500000000000001</v>
      </c>
      <c r="I2013" s="41">
        <v>0.27200000000000002</v>
      </c>
      <c r="J2013" s="56">
        <f t="shared" si="354"/>
        <v>0.51470782055973741</v>
      </c>
      <c r="R2013" s="76">
        <f t="shared" si="350"/>
        <v>47982.632199546482</v>
      </c>
      <c r="S2013" s="53">
        <v>11995.658049886621</v>
      </c>
      <c r="T2013" s="53">
        <v>1322.1854000000001</v>
      </c>
      <c r="U2013" s="53">
        <v>2978.9446000000003</v>
      </c>
      <c r="AH2013" s="53">
        <f t="shared" si="351"/>
        <v>7668873.3678004537</v>
      </c>
      <c r="AM2013" s="76">
        <v>23845085.039999999</v>
      </c>
      <c r="AO2013" s="53">
        <f t="shared" si="352"/>
        <v>2044966.84</v>
      </c>
      <c r="AP2013" s="53">
        <f t="shared" si="352"/>
        <v>2098984.8319999999</v>
      </c>
      <c r="AQ2013" s="53">
        <f t="shared" si="352"/>
        <v>3971926.1333333328</v>
      </c>
      <c r="AR2013" s="53">
        <f t="shared" si="352"/>
        <v>0</v>
      </c>
      <c r="AS2013" s="53">
        <f t="shared" si="352"/>
        <v>0</v>
      </c>
      <c r="AT2013" s="53">
        <f t="shared" si="352"/>
        <v>0</v>
      </c>
      <c r="AU2013" s="53">
        <f t="shared" si="352"/>
        <v>0</v>
      </c>
      <c r="AV2013" s="53">
        <f t="shared" si="352"/>
        <v>0</v>
      </c>
      <c r="AW2013" s="53">
        <f t="shared" si="352"/>
        <v>0</v>
      </c>
      <c r="AX2013" s="53">
        <f t="shared" si="353"/>
        <v>771685600</v>
      </c>
      <c r="AY2013" s="41" t="s">
        <v>557</v>
      </c>
    </row>
    <row r="2014" spans="1:51" x14ac:dyDescent="0.2">
      <c r="A2014" s="41" t="s">
        <v>133</v>
      </c>
      <c r="B2014" s="41">
        <v>2012</v>
      </c>
      <c r="C2014" s="41" t="s">
        <v>87</v>
      </c>
      <c r="D2014" s="41" t="s">
        <v>88</v>
      </c>
      <c r="E2014" s="41">
        <v>100</v>
      </c>
      <c r="F2014" s="41" t="s">
        <v>556</v>
      </c>
      <c r="G2014" s="53">
        <v>8121878</v>
      </c>
      <c r="H2014" s="42">
        <v>0.28000000000000003</v>
      </c>
      <c r="I2014" s="41">
        <v>0.30399999999999999</v>
      </c>
      <c r="J2014" s="56">
        <f t="shared" si="354"/>
        <v>0.5927596384317354</v>
      </c>
      <c r="R2014" s="76">
        <f t="shared" si="350"/>
        <v>61296.326530612248</v>
      </c>
      <c r="S2014" s="53">
        <v>15324.081632653062</v>
      </c>
      <c r="T2014" s="53">
        <v>1624.5396000000001</v>
      </c>
      <c r="U2014" s="53">
        <v>3610.7411000000002</v>
      </c>
      <c r="AH2014" s="53">
        <f t="shared" si="351"/>
        <v>8060581.6734693879</v>
      </c>
      <c r="AM2014" s="76">
        <v>25096603.02</v>
      </c>
      <c r="AO2014" s="53">
        <f t="shared" si="352"/>
        <v>2274125.8400000003</v>
      </c>
      <c r="AP2014" s="53">
        <f t="shared" si="352"/>
        <v>2469050.912</v>
      </c>
      <c r="AQ2014" s="53">
        <f t="shared" si="352"/>
        <v>4814321.4666666659</v>
      </c>
      <c r="AR2014" s="53">
        <f t="shared" si="352"/>
        <v>0</v>
      </c>
      <c r="AS2014" s="53">
        <f t="shared" si="352"/>
        <v>0</v>
      </c>
      <c r="AT2014" s="53">
        <f t="shared" si="352"/>
        <v>0</v>
      </c>
      <c r="AU2014" s="53">
        <f t="shared" si="352"/>
        <v>0</v>
      </c>
      <c r="AV2014" s="53">
        <f t="shared" si="352"/>
        <v>0</v>
      </c>
      <c r="AW2014" s="53">
        <f t="shared" si="352"/>
        <v>0</v>
      </c>
      <c r="AX2014" s="53">
        <f t="shared" si="353"/>
        <v>812187800</v>
      </c>
      <c r="AY2014" s="41" t="s">
        <v>557</v>
      </c>
    </row>
    <row r="2015" spans="1:51" x14ac:dyDescent="0.2">
      <c r="A2015" s="41" t="s">
        <v>133</v>
      </c>
      <c r="B2015" s="41">
        <v>2013</v>
      </c>
      <c r="C2015" s="41" t="s">
        <v>87</v>
      </c>
      <c r="D2015" s="41" t="s">
        <v>88</v>
      </c>
      <c r="E2015" s="41">
        <v>100</v>
      </c>
      <c r="F2015" s="41" t="s">
        <v>556</v>
      </c>
      <c r="G2015" s="53">
        <v>7956738</v>
      </c>
      <c r="H2015" s="41">
        <v>0.29499999999999998</v>
      </c>
      <c r="I2015" s="41">
        <v>0.26300000000000001</v>
      </c>
      <c r="J2015" s="56">
        <f t="shared" si="354"/>
        <v>0.64622276113653621</v>
      </c>
      <c r="R2015" s="76">
        <f t="shared" si="350"/>
        <v>69843.383219954645</v>
      </c>
      <c r="S2015" s="53">
        <v>17460.845804988661</v>
      </c>
      <c r="T2015" s="53">
        <v>1425.0953</v>
      </c>
      <c r="U2015" s="53">
        <v>3856.3689000000004</v>
      </c>
      <c r="AH2015" s="53">
        <f t="shared" si="351"/>
        <v>7886894.6167800454</v>
      </c>
      <c r="AM2015" s="76">
        <v>24586320.419999998</v>
      </c>
      <c r="AO2015" s="53">
        <f t="shared" si="352"/>
        <v>2347237.71</v>
      </c>
      <c r="AP2015" s="53">
        <f t="shared" si="352"/>
        <v>2092622.094</v>
      </c>
      <c r="AQ2015" s="53">
        <f t="shared" si="352"/>
        <v>5141825.2000000011</v>
      </c>
      <c r="AR2015" s="53">
        <f t="shared" si="352"/>
        <v>0</v>
      </c>
      <c r="AS2015" s="53">
        <f t="shared" si="352"/>
        <v>0</v>
      </c>
      <c r="AT2015" s="53">
        <f t="shared" si="352"/>
        <v>0</v>
      </c>
      <c r="AU2015" s="53">
        <f t="shared" si="352"/>
        <v>0</v>
      </c>
      <c r="AV2015" s="53">
        <f t="shared" si="352"/>
        <v>0</v>
      </c>
      <c r="AW2015" s="53">
        <f t="shared" si="352"/>
        <v>0</v>
      </c>
      <c r="AX2015" s="53">
        <f t="shared" si="353"/>
        <v>795673800</v>
      </c>
      <c r="AY2015" s="41" t="s">
        <v>557</v>
      </c>
    </row>
    <row r="2016" spans="1:51" x14ac:dyDescent="0.2">
      <c r="A2016" s="41" t="s">
        <v>133</v>
      </c>
      <c r="B2016" s="41">
        <v>2014</v>
      </c>
      <c r="C2016" s="41" t="s">
        <v>87</v>
      </c>
      <c r="D2016" s="41" t="s">
        <v>88</v>
      </c>
      <c r="E2016" s="41">
        <v>100</v>
      </c>
      <c r="F2016" s="41" t="s">
        <v>556</v>
      </c>
      <c r="G2016" s="53">
        <v>4548182</v>
      </c>
      <c r="H2016" s="41">
        <v>0.32100000000000001</v>
      </c>
      <c r="I2016" s="42">
        <v>0.26</v>
      </c>
      <c r="J2016" s="56">
        <f t="shared" si="354"/>
        <v>0.68169274375270528</v>
      </c>
      <c r="R2016" s="76">
        <f t="shared" si="350"/>
        <v>44425.80498866213</v>
      </c>
      <c r="S2016" s="53">
        <v>11106.451247165533</v>
      </c>
      <c r="T2016" s="53">
        <v>805.52110000000005</v>
      </c>
      <c r="U2016" s="53">
        <v>2325.3470000000002</v>
      </c>
      <c r="AH2016" s="53">
        <f t="shared" si="351"/>
        <v>4503756.1950113382</v>
      </c>
      <c r="AM2016" s="76">
        <v>14053882.379999999</v>
      </c>
      <c r="AO2016" s="53">
        <f t="shared" si="352"/>
        <v>1459966.422</v>
      </c>
      <c r="AP2016" s="53">
        <f t="shared" si="352"/>
        <v>1182527.32</v>
      </c>
      <c r="AQ2016" s="53">
        <f t="shared" si="352"/>
        <v>3100462.6666666665</v>
      </c>
      <c r="AR2016" s="53">
        <f t="shared" si="352"/>
        <v>0</v>
      </c>
      <c r="AS2016" s="53">
        <f t="shared" si="352"/>
        <v>0</v>
      </c>
      <c r="AT2016" s="53">
        <f t="shared" si="352"/>
        <v>0</v>
      </c>
      <c r="AU2016" s="53">
        <f t="shared" si="352"/>
        <v>0</v>
      </c>
      <c r="AV2016" s="53">
        <f t="shared" si="352"/>
        <v>0</v>
      </c>
      <c r="AW2016" s="53">
        <f t="shared" si="352"/>
        <v>0</v>
      </c>
      <c r="AX2016" s="53">
        <f t="shared" si="353"/>
        <v>454818200</v>
      </c>
      <c r="AY2016" s="41" t="s">
        <v>557</v>
      </c>
    </row>
    <row r="2017" spans="1:51" x14ac:dyDescent="0.2">
      <c r="A2017" s="41" t="s">
        <v>133</v>
      </c>
      <c r="B2017" s="41">
        <v>2015</v>
      </c>
      <c r="C2017" s="41" t="s">
        <v>87</v>
      </c>
      <c r="D2017" s="41" t="s">
        <v>88</v>
      </c>
      <c r="E2017" s="41">
        <v>100</v>
      </c>
      <c r="F2017" s="41" t="s">
        <v>556</v>
      </c>
      <c r="G2017" s="53">
        <v>1781799</v>
      </c>
      <c r="H2017" s="41">
        <v>0.29299999999999998</v>
      </c>
      <c r="I2017" s="41">
        <v>0.36799999999999999</v>
      </c>
      <c r="J2017" s="56">
        <f t="shared" si="354"/>
        <v>0.6030101038332607</v>
      </c>
      <c r="R2017" s="76">
        <f t="shared" si="350"/>
        <v>14525.765079365079</v>
      </c>
      <c r="S2017" s="53">
        <v>3631.4412698412698</v>
      </c>
      <c r="T2017" s="53">
        <v>472.40899999999999</v>
      </c>
      <c r="U2017" s="53">
        <v>805.83210000000008</v>
      </c>
      <c r="AH2017" s="53">
        <f t="shared" si="351"/>
        <v>1767273.2349206349</v>
      </c>
      <c r="AM2017" s="76">
        <v>5505758.9100000001</v>
      </c>
      <c r="AO2017" s="53">
        <f t="shared" si="352"/>
        <v>522067.10699999996</v>
      </c>
      <c r="AP2017" s="53">
        <f t="shared" si="352"/>
        <v>655702.03200000001</v>
      </c>
      <c r="AQ2017" s="53">
        <f t="shared" si="352"/>
        <v>1074442.8</v>
      </c>
      <c r="AR2017" s="53">
        <f t="shared" si="352"/>
        <v>0</v>
      </c>
      <c r="AS2017" s="53">
        <f t="shared" si="352"/>
        <v>0</v>
      </c>
      <c r="AT2017" s="53">
        <f t="shared" si="352"/>
        <v>0</v>
      </c>
      <c r="AU2017" s="53">
        <f t="shared" si="352"/>
        <v>0</v>
      </c>
      <c r="AV2017" s="53">
        <f t="shared" si="352"/>
        <v>0</v>
      </c>
      <c r="AW2017" s="53">
        <f t="shared" si="352"/>
        <v>0</v>
      </c>
      <c r="AX2017" s="53">
        <f t="shared" si="353"/>
        <v>178179900</v>
      </c>
      <c r="AY2017" s="41" t="s">
        <v>557</v>
      </c>
    </row>
    <row r="2018" spans="1:51" x14ac:dyDescent="0.2">
      <c r="A2018" s="41" t="s">
        <v>133</v>
      </c>
      <c r="B2018" s="41" t="s">
        <v>644</v>
      </c>
      <c r="C2018" s="41" t="s">
        <v>87</v>
      </c>
      <c r="D2018" s="41" t="s">
        <v>88</v>
      </c>
      <c r="E2018" s="41">
        <v>100</v>
      </c>
      <c r="F2018" s="41" t="s">
        <v>556</v>
      </c>
      <c r="G2018" s="53">
        <v>3282690</v>
      </c>
      <c r="H2018" s="41">
        <v>0.26800000000000002</v>
      </c>
      <c r="I2018" s="41">
        <v>0.30399999999999999</v>
      </c>
      <c r="J2018" s="56">
        <f t="shared" si="354"/>
        <v>0.65856497770629174</v>
      </c>
      <c r="R2018" s="76">
        <f t="shared" si="350"/>
        <v>24481.538601106779</v>
      </c>
      <c r="S2018" s="53">
        <f>13493000/2204.6</f>
        <v>6120.3846502766946</v>
      </c>
      <c r="T2018" s="53">
        <f>22389*31.1/1000</f>
        <v>696.29790000000003</v>
      </c>
      <c r="U2018" s="53">
        <f>52135*31.1/1000</f>
        <v>1621.3985</v>
      </c>
      <c r="AH2018" s="53">
        <f t="shared" si="351"/>
        <v>3258208.461398893</v>
      </c>
      <c r="AM2018" s="91">
        <f>3.09*G2018</f>
        <v>10143512.1</v>
      </c>
      <c r="AO2018" s="53">
        <f t="shared" si="352"/>
        <v>879760.92</v>
      </c>
      <c r="AP2018" s="53">
        <f t="shared" si="352"/>
        <v>997937.76</v>
      </c>
      <c r="AQ2018" s="53">
        <f t="shared" si="352"/>
        <v>2161864.666666667</v>
      </c>
      <c r="AR2018" s="53">
        <f t="shared" si="352"/>
        <v>0</v>
      </c>
      <c r="AS2018" s="53">
        <f t="shared" si="352"/>
        <v>0</v>
      </c>
      <c r="AT2018" s="53">
        <f t="shared" si="352"/>
        <v>0</v>
      </c>
      <c r="AU2018" s="53">
        <f t="shared" si="352"/>
        <v>0</v>
      </c>
      <c r="AV2018" s="53">
        <f t="shared" si="352"/>
        <v>0</v>
      </c>
      <c r="AW2018" s="53">
        <f t="shared" si="352"/>
        <v>0</v>
      </c>
      <c r="AX2018" s="53">
        <f t="shared" si="353"/>
        <v>328269000</v>
      </c>
      <c r="AY2018" s="41" t="s">
        <v>557</v>
      </c>
    </row>
    <row r="2019" spans="1:51" x14ac:dyDescent="0.2">
      <c r="A2019" s="41" t="s">
        <v>133</v>
      </c>
      <c r="B2019" s="60" t="s">
        <v>559</v>
      </c>
      <c r="C2019" s="60" t="s">
        <v>87</v>
      </c>
      <c r="D2019" s="60" t="s">
        <v>88</v>
      </c>
      <c r="E2019" s="107">
        <v>100</v>
      </c>
      <c r="F2019" s="60" t="s">
        <v>556</v>
      </c>
      <c r="G2019" s="79">
        <f>SUM(G2002:G2018)</f>
        <v>99920162</v>
      </c>
      <c r="H2019" s="80">
        <f>AO2019/$G2019</f>
        <v>0.35334837293398302</v>
      </c>
      <c r="I2019" s="80">
        <f>AP2019/$G2019</f>
        <v>0.36152693995832386</v>
      </c>
      <c r="J2019" s="80">
        <f>AQ2019/$G2019</f>
        <v>1.0161225852829716</v>
      </c>
      <c r="R2019" s="79">
        <f>SUM(R2002:R2018)</f>
        <v>984527.63383920211</v>
      </c>
      <c r="S2019" s="79">
        <f>SUM(S2002:S2018)</f>
        <v>246131.90845980053</v>
      </c>
      <c r="T2019" s="79">
        <f>SUM(T2002:T2018)</f>
        <v>25424.2811</v>
      </c>
      <c r="U2019" s="79">
        <f>SUM(U2002:U2018)</f>
        <v>76148.349999999991</v>
      </c>
      <c r="AH2019" s="79">
        <f>SUM(AH2002:AH2018)</f>
        <v>98935634.36616081</v>
      </c>
      <c r="AM2019" s="79">
        <f>SUM(AM2002:AM2018)</f>
        <v>247092332.47527072</v>
      </c>
      <c r="AO2019" s="79">
        <f t="shared" ref="AO2019:AX2019" si="355">SUM(AO2002:AO2018)</f>
        <v>35306626.666000001</v>
      </c>
      <c r="AP2019" s="79">
        <f t="shared" si="355"/>
        <v>36123830.407999992</v>
      </c>
      <c r="AQ2019" s="79">
        <f t="shared" si="355"/>
        <v>101531133.33333334</v>
      </c>
      <c r="AR2019" s="79">
        <f t="shared" si="355"/>
        <v>0</v>
      </c>
      <c r="AS2019" s="79">
        <f t="shared" si="355"/>
        <v>0</v>
      </c>
      <c r="AT2019" s="79">
        <f t="shared" si="355"/>
        <v>0</v>
      </c>
      <c r="AU2019" s="79">
        <f t="shared" si="355"/>
        <v>0</v>
      </c>
      <c r="AV2019" s="79">
        <f t="shared" si="355"/>
        <v>0</v>
      </c>
      <c r="AW2019" s="79">
        <f t="shared" si="355"/>
        <v>0</v>
      </c>
      <c r="AX2019" s="79">
        <f t="shared" si="355"/>
        <v>9992016200</v>
      </c>
      <c r="AY2019" s="41" t="s">
        <v>557</v>
      </c>
    </row>
    <row r="2020" spans="1:51" x14ac:dyDescent="0.2">
      <c r="A2020" s="41" t="s">
        <v>133</v>
      </c>
      <c r="B2020" s="43" t="s">
        <v>560</v>
      </c>
      <c r="G2020" s="53">
        <f>STDEV(G2002:G2018)</f>
        <v>1977691.751906723</v>
      </c>
      <c r="H2020" s="46">
        <f>STDEV(H2002:H2018)</f>
        <v>8.1426934046636923E-2</v>
      </c>
      <c r="I2020" s="46">
        <f>STDEV(I2002:I2018)</f>
        <v>0.14204053895237923</v>
      </c>
      <c r="J2020" s="46">
        <f>STDEV(J2002:J2018)</f>
        <v>0.9666100878904903</v>
      </c>
      <c r="R2020" s="53">
        <f>STDEV(R2002:R2018)</f>
        <v>26791.915989118548</v>
      </c>
      <c r="S2020" s="53">
        <f>STDEV(S2002:S2018)</f>
        <v>6697.978997279637</v>
      </c>
      <c r="T2020" s="53">
        <f>STDEV(T2002:T2018)</f>
        <v>808.31623490881384</v>
      </c>
      <c r="U2020" s="53">
        <f>STDEV(U2002:U2018)</f>
        <v>4918.7506752209192</v>
      </c>
      <c r="AH2020" s="53">
        <f>STDEV(AH2002:AH2018)</f>
        <v>1959439.1592230941</v>
      </c>
      <c r="AM2020" s="53">
        <f>STDEV(AM2002:AM2018)</f>
        <v>8382009.88725085</v>
      </c>
      <c r="AY2020" s="41" t="s">
        <v>557</v>
      </c>
    </row>
    <row r="2021" spans="1:51" x14ac:dyDescent="0.2">
      <c r="A2021" s="41" t="s">
        <v>133</v>
      </c>
      <c r="B2021" s="81" t="s">
        <v>249</v>
      </c>
      <c r="G2021" s="41">
        <f>COUNT(G2002:G2018)</f>
        <v>17</v>
      </c>
      <c r="H2021" s="41">
        <f>COUNT(H2002:H2018)</f>
        <v>17</v>
      </c>
      <c r="I2021" s="41">
        <f>COUNT(I2002:I2018)</f>
        <v>17</v>
      </c>
      <c r="J2021" s="41">
        <f>COUNT(J2002:J2018)</f>
        <v>12</v>
      </c>
      <c r="R2021" s="41">
        <f>COUNT(R2002:R2018)</f>
        <v>17</v>
      </c>
      <c r="S2021" s="41">
        <f>COUNT(S2002:S2018)</f>
        <v>17</v>
      </c>
      <c r="T2021" s="41">
        <f>COUNT(T2002:T2018)</f>
        <v>17</v>
      </c>
      <c r="U2021" s="41">
        <f>COUNT(U2002:U2018)</f>
        <v>12</v>
      </c>
      <c r="AH2021" s="41">
        <f>COUNT(AH2002:AH2018)</f>
        <v>17</v>
      </c>
      <c r="AM2021" s="41">
        <f>COUNT(AM2002:AM2018)</f>
        <v>17</v>
      </c>
      <c r="AY2021" s="41" t="s">
        <v>557</v>
      </c>
    </row>
    <row r="2022" spans="1:51" x14ac:dyDescent="0.2">
      <c r="A2022" s="82"/>
      <c r="B2022" s="82"/>
      <c r="C2022" s="82"/>
      <c r="D2022" s="82"/>
      <c r="E2022" s="82"/>
      <c r="F2022" s="82"/>
      <c r="G2022" s="82"/>
      <c r="H2022" s="82"/>
      <c r="I2022" s="82"/>
      <c r="J2022" s="82"/>
      <c r="K2022" s="82"/>
      <c r="L2022" s="82"/>
      <c r="M2022" s="82"/>
      <c r="N2022" s="82"/>
      <c r="O2022" s="82"/>
      <c r="P2022" s="82"/>
      <c r="Q2022" s="82"/>
      <c r="R2022" s="82"/>
      <c r="S2022" s="82"/>
      <c r="T2022" s="82"/>
      <c r="U2022" s="82"/>
      <c r="V2022" s="82"/>
      <c r="W2022" s="82"/>
      <c r="X2022" s="82"/>
      <c r="Y2022" s="82"/>
      <c r="Z2022" s="82"/>
      <c r="AA2022" s="82"/>
      <c r="AB2022" s="82"/>
      <c r="AC2022" s="82"/>
      <c r="AD2022" s="82"/>
      <c r="AE2022" s="82"/>
      <c r="AF2022" s="82"/>
      <c r="AG2022" s="82"/>
      <c r="AH2022" s="82"/>
      <c r="AI2022" s="82"/>
      <c r="AJ2022" s="82"/>
      <c r="AK2022" s="82"/>
      <c r="AL2022" s="82"/>
      <c r="AM2022" s="82"/>
      <c r="AN2022" s="82"/>
      <c r="AO2022" s="82"/>
      <c r="AP2022" s="82"/>
      <c r="AQ2022" s="82"/>
      <c r="AR2022" s="82"/>
      <c r="AS2022" s="82"/>
      <c r="AT2022" s="82"/>
      <c r="AU2022" s="82"/>
      <c r="AV2022" s="82"/>
      <c r="AW2022" s="82"/>
      <c r="AX2022" s="82"/>
      <c r="AY2022" s="41" t="s">
        <v>557</v>
      </c>
    </row>
    <row r="2023" spans="1:51" x14ac:dyDescent="0.2">
      <c r="A2023" s="48" t="s">
        <v>400</v>
      </c>
      <c r="B2023" s="41">
        <v>2001</v>
      </c>
      <c r="C2023" s="41" t="s">
        <v>87</v>
      </c>
      <c r="D2023" s="41" t="s">
        <v>401</v>
      </c>
      <c r="E2023" s="41">
        <v>100</v>
      </c>
      <c r="F2023" s="41" t="s">
        <v>390</v>
      </c>
      <c r="G2023" s="53">
        <v>1845043</v>
      </c>
      <c r="I2023" s="46">
        <v>1.0733219876176328</v>
      </c>
      <c r="T2023" s="53">
        <v>1735.5044</v>
      </c>
      <c r="AM2023" s="91">
        <v>6098674.6985134566</v>
      </c>
      <c r="AO2023" s="53">
        <f t="shared" ref="AO2023:AW2038" si="356">$G2023*H2023</f>
        <v>0</v>
      </c>
      <c r="AP2023" s="53">
        <f t="shared" si="356"/>
        <v>1980325.22</v>
      </c>
      <c r="AQ2023" s="53">
        <f t="shared" si="356"/>
        <v>0</v>
      </c>
      <c r="AR2023" s="53">
        <f t="shared" si="356"/>
        <v>0</v>
      </c>
      <c r="AS2023" s="53">
        <f t="shared" si="356"/>
        <v>0</v>
      </c>
      <c r="AT2023" s="53">
        <f t="shared" si="356"/>
        <v>0</v>
      </c>
      <c r="AU2023" s="53">
        <f t="shared" si="356"/>
        <v>0</v>
      </c>
      <c r="AV2023" s="53">
        <f t="shared" si="356"/>
        <v>0</v>
      </c>
      <c r="AW2023" s="53">
        <f t="shared" si="356"/>
        <v>0</v>
      </c>
      <c r="AX2023" s="53">
        <f t="shared" ref="AX2023:AX2038" si="357">$G2023*E2023</f>
        <v>184504300</v>
      </c>
      <c r="AY2023" s="41" t="s">
        <v>557</v>
      </c>
    </row>
    <row r="2024" spans="1:51" x14ac:dyDescent="0.2">
      <c r="A2024" s="48" t="s">
        <v>400</v>
      </c>
      <c r="B2024" s="41">
        <v>2002</v>
      </c>
      <c r="C2024" s="41" t="s">
        <v>87</v>
      </c>
      <c r="D2024" s="41" t="s">
        <v>401</v>
      </c>
      <c r="E2024" s="41">
        <v>100</v>
      </c>
      <c r="F2024" s="41" t="s">
        <v>390</v>
      </c>
      <c r="G2024" s="53">
        <v>2370825</v>
      </c>
      <c r="I2024" s="46">
        <v>1.0599642529499225</v>
      </c>
      <c r="T2024" s="53">
        <v>2220.2290000000003</v>
      </c>
      <c r="AM2024" s="91">
        <v>7836614.3456294332</v>
      </c>
      <c r="AO2024" s="53">
        <f t="shared" si="356"/>
        <v>0</v>
      </c>
      <c r="AP2024" s="53">
        <f t="shared" si="356"/>
        <v>2512989.75</v>
      </c>
      <c r="AQ2024" s="53">
        <f t="shared" si="356"/>
        <v>0</v>
      </c>
      <c r="AR2024" s="53">
        <f t="shared" si="356"/>
        <v>0</v>
      </c>
      <c r="AS2024" s="53">
        <f t="shared" si="356"/>
        <v>0</v>
      </c>
      <c r="AT2024" s="53">
        <f t="shared" si="356"/>
        <v>0</v>
      </c>
      <c r="AU2024" s="53">
        <f t="shared" si="356"/>
        <v>0</v>
      </c>
      <c r="AV2024" s="53">
        <f t="shared" si="356"/>
        <v>0</v>
      </c>
      <c r="AW2024" s="53">
        <f t="shared" si="356"/>
        <v>0</v>
      </c>
      <c r="AX2024" s="53">
        <f t="shared" si="357"/>
        <v>237082500</v>
      </c>
      <c r="AY2024" s="41" t="s">
        <v>557</v>
      </c>
    </row>
    <row r="2025" spans="1:51" x14ac:dyDescent="0.2">
      <c r="A2025" s="48" t="s">
        <v>400</v>
      </c>
      <c r="B2025" s="41">
        <v>2003</v>
      </c>
      <c r="C2025" s="41" t="s">
        <v>87</v>
      </c>
      <c r="D2025" s="41" t="s">
        <v>401</v>
      </c>
      <c r="E2025" s="41">
        <v>100</v>
      </c>
      <c r="F2025" s="41" t="s">
        <v>390</v>
      </c>
      <c r="G2025" s="53">
        <v>3137142</v>
      </c>
      <c r="I2025" s="46">
        <v>1.0043627161282467</v>
      </c>
      <c r="T2025" s="53">
        <v>2732.7570000000001</v>
      </c>
      <c r="AM2025" s="91">
        <v>10369627.450982932</v>
      </c>
      <c r="AO2025" s="53">
        <f t="shared" si="356"/>
        <v>0</v>
      </c>
      <c r="AP2025" s="53">
        <f t="shared" si="356"/>
        <v>3150828.46</v>
      </c>
      <c r="AQ2025" s="53">
        <f t="shared" si="356"/>
        <v>0</v>
      </c>
      <c r="AR2025" s="53">
        <f t="shared" si="356"/>
        <v>0</v>
      </c>
      <c r="AS2025" s="53">
        <f t="shared" si="356"/>
        <v>0</v>
      </c>
      <c r="AT2025" s="53">
        <f t="shared" si="356"/>
        <v>0</v>
      </c>
      <c r="AU2025" s="53">
        <f t="shared" si="356"/>
        <v>0</v>
      </c>
      <c r="AV2025" s="53">
        <f t="shared" si="356"/>
        <v>0</v>
      </c>
      <c r="AW2025" s="53">
        <f t="shared" si="356"/>
        <v>0</v>
      </c>
      <c r="AX2025" s="53">
        <f t="shared" si="357"/>
        <v>313714200</v>
      </c>
      <c r="AY2025" s="41" t="s">
        <v>557</v>
      </c>
    </row>
    <row r="2026" spans="1:51" x14ac:dyDescent="0.2">
      <c r="A2026" s="48" t="s">
        <v>400</v>
      </c>
      <c r="B2026" s="41">
        <v>2004</v>
      </c>
      <c r="C2026" s="41" t="s">
        <v>87</v>
      </c>
      <c r="D2026" s="41" t="s">
        <v>401</v>
      </c>
      <c r="E2026" s="41">
        <v>100</v>
      </c>
      <c r="F2026" s="41" t="s">
        <v>390</v>
      </c>
      <c r="G2026" s="53">
        <v>3303993</v>
      </c>
      <c r="I2026" s="46">
        <v>0.95995042665041974</v>
      </c>
      <c r="T2026" s="53">
        <v>2801.3014000000003</v>
      </c>
      <c r="AM2026" s="91">
        <v>10921143.037406484</v>
      </c>
      <c r="AO2026" s="53">
        <f t="shared" si="356"/>
        <v>0</v>
      </c>
      <c r="AP2026" s="53">
        <f t="shared" si="356"/>
        <v>3171669.49</v>
      </c>
      <c r="AQ2026" s="53">
        <f t="shared" si="356"/>
        <v>0</v>
      </c>
      <c r="AR2026" s="53">
        <f t="shared" si="356"/>
        <v>0</v>
      </c>
      <c r="AS2026" s="53">
        <f t="shared" si="356"/>
        <v>0</v>
      </c>
      <c r="AT2026" s="53">
        <f t="shared" si="356"/>
        <v>0</v>
      </c>
      <c r="AU2026" s="53">
        <f t="shared" si="356"/>
        <v>0</v>
      </c>
      <c r="AV2026" s="53">
        <f t="shared" si="356"/>
        <v>0</v>
      </c>
      <c r="AW2026" s="53">
        <f t="shared" si="356"/>
        <v>0</v>
      </c>
      <c r="AX2026" s="53">
        <f t="shared" si="357"/>
        <v>330399300</v>
      </c>
      <c r="AY2026" s="41" t="s">
        <v>557</v>
      </c>
    </row>
    <row r="2027" spans="1:51" x14ac:dyDescent="0.2">
      <c r="A2027" s="48" t="s">
        <v>400</v>
      </c>
      <c r="B2027" s="41">
        <v>2005</v>
      </c>
      <c r="C2027" s="41" t="s">
        <v>87</v>
      </c>
      <c r="D2027" s="41" t="s">
        <v>401</v>
      </c>
      <c r="E2027" s="41">
        <v>100</v>
      </c>
      <c r="F2027" s="41" t="s">
        <v>390</v>
      </c>
      <c r="G2027" s="53">
        <v>3398264</v>
      </c>
      <c r="I2027" s="46">
        <v>1.0792508233615752</v>
      </c>
      <c r="T2027" s="53">
        <v>3252.2514000000006</v>
      </c>
      <c r="AM2027" s="91">
        <v>11232749.955241766</v>
      </c>
      <c r="AO2027" s="53">
        <f t="shared" si="356"/>
        <v>0</v>
      </c>
      <c r="AP2027" s="53">
        <f t="shared" si="356"/>
        <v>3667579.2199999997</v>
      </c>
      <c r="AQ2027" s="53">
        <f t="shared" si="356"/>
        <v>0</v>
      </c>
      <c r="AR2027" s="53">
        <f t="shared" si="356"/>
        <v>0</v>
      </c>
      <c r="AS2027" s="53">
        <f t="shared" si="356"/>
        <v>0</v>
      </c>
      <c r="AT2027" s="53">
        <f t="shared" si="356"/>
        <v>0</v>
      </c>
      <c r="AU2027" s="53">
        <f t="shared" si="356"/>
        <v>0</v>
      </c>
      <c r="AV2027" s="53">
        <f t="shared" si="356"/>
        <v>0</v>
      </c>
      <c r="AW2027" s="53">
        <f t="shared" si="356"/>
        <v>0</v>
      </c>
      <c r="AX2027" s="53">
        <f t="shared" si="357"/>
        <v>339826400</v>
      </c>
      <c r="AY2027" s="41" t="s">
        <v>557</v>
      </c>
    </row>
    <row r="2028" spans="1:51" x14ac:dyDescent="0.2">
      <c r="A2028" s="48" t="s">
        <v>400</v>
      </c>
      <c r="B2028" s="41">
        <v>2006</v>
      </c>
      <c r="C2028" s="41" t="s">
        <v>87</v>
      </c>
      <c r="D2028" s="41" t="s">
        <v>401</v>
      </c>
      <c r="E2028" s="41">
        <v>100</v>
      </c>
      <c r="F2028" s="41" t="s">
        <v>390</v>
      </c>
      <c r="G2028" s="53">
        <v>3509547</v>
      </c>
      <c r="I2028" s="46">
        <v>1.0873979205863322</v>
      </c>
      <c r="T2028" s="53">
        <v>3348.0704999999998</v>
      </c>
      <c r="AM2028" s="91">
        <v>11600588.979304984</v>
      </c>
      <c r="AO2028" s="53">
        <f t="shared" si="356"/>
        <v>0</v>
      </c>
      <c r="AP2028" s="53">
        <f t="shared" si="356"/>
        <v>3816274.1100000003</v>
      </c>
      <c r="AQ2028" s="53">
        <f t="shared" si="356"/>
        <v>0</v>
      </c>
      <c r="AR2028" s="53">
        <f t="shared" si="356"/>
        <v>0</v>
      </c>
      <c r="AS2028" s="53">
        <f t="shared" si="356"/>
        <v>0</v>
      </c>
      <c r="AT2028" s="53">
        <f t="shared" si="356"/>
        <v>0</v>
      </c>
      <c r="AU2028" s="53">
        <f t="shared" si="356"/>
        <v>0</v>
      </c>
      <c r="AV2028" s="53">
        <f t="shared" si="356"/>
        <v>0</v>
      </c>
      <c r="AW2028" s="53">
        <f t="shared" si="356"/>
        <v>0</v>
      </c>
      <c r="AX2028" s="53">
        <f t="shared" si="357"/>
        <v>350954700</v>
      </c>
      <c r="AY2028" s="41" t="s">
        <v>557</v>
      </c>
    </row>
    <row r="2029" spans="1:51" x14ac:dyDescent="0.2">
      <c r="A2029" s="48" t="s">
        <v>400</v>
      </c>
      <c r="B2029" s="41">
        <v>2007</v>
      </c>
      <c r="C2029" s="41" t="s">
        <v>87</v>
      </c>
      <c r="D2029" s="41" t="s">
        <v>401</v>
      </c>
      <c r="E2029" s="41">
        <v>100</v>
      </c>
      <c r="F2029" s="41" t="s">
        <v>390</v>
      </c>
      <c r="G2029" s="53">
        <v>3412000</v>
      </c>
      <c r="I2029" s="41">
        <v>1.18</v>
      </c>
      <c r="T2029" s="53">
        <v>3655.1208000000001</v>
      </c>
      <c r="AM2029" s="93">
        <v>12272000</v>
      </c>
      <c r="AO2029" s="53">
        <f t="shared" si="356"/>
        <v>0</v>
      </c>
      <c r="AP2029" s="53">
        <f t="shared" si="356"/>
        <v>4026160</v>
      </c>
      <c r="AQ2029" s="53">
        <f t="shared" si="356"/>
        <v>0</v>
      </c>
      <c r="AR2029" s="53">
        <f t="shared" si="356"/>
        <v>0</v>
      </c>
      <c r="AS2029" s="53">
        <f t="shared" si="356"/>
        <v>0</v>
      </c>
      <c r="AT2029" s="53">
        <f t="shared" si="356"/>
        <v>0</v>
      </c>
      <c r="AU2029" s="53">
        <f t="shared" si="356"/>
        <v>0</v>
      </c>
      <c r="AV2029" s="53">
        <f t="shared" si="356"/>
        <v>0</v>
      </c>
      <c r="AW2029" s="53">
        <f t="shared" si="356"/>
        <v>0</v>
      </c>
      <c r="AX2029" s="53">
        <f t="shared" si="357"/>
        <v>341200000</v>
      </c>
      <c r="AY2029" s="41" t="s">
        <v>557</v>
      </c>
    </row>
    <row r="2030" spans="1:51" x14ac:dyDescent="0.2">
      <c r="A2030" s="48" t="s">
        <v>400</v>
      </c>
      <c r="B2030" s="41">
        <v>2008</v>
      </c>
      <c r="C2030" s="41" t="s">
        <v>87</v>
      </c>
      <c r="D2030" s="41" t="s">
        <v>401</v>
      </c>
      <c r="E2030" s="41">
        <v>100</v>
      </c>
      <c r="F2030" s="41" t="s">
        <v>390</v>
      </c>
      <c r="G2030" s="53">
        <v>3460000</v>
      </c>
      <c r="I2030" s="41">
        <v>1.03</v>
      </c>
      <c r="T2030" s="53">
        <v>3185.1064999999999</v>
      </c>
      <c r="AM2030" s="93">
        <v>6524000</v>
      </c>
      <c r="AO2030" s="53">
        <f t="shared" si="356"/>
        <v>0</v>
      </c>
      <c r="AP2030" s="53">
        <f t="shared" si="356"/>
        <v>3563800</v>
      </c>
      <c r="AQ2030" s="53">
        <f t="shared" si="356"/>
        <v>0</v>
      </c>
      <c r="AR2030" s="53">
        <f t="shared" si="356"/>
        <v>0</v>
      </c>
      <c r="AS2030" s="53">
        <f t="shared" si="356"/>
        <v>0</v>
      </c>
      <c r="AT2030" s="53">
        <f t="shared" si="356"/>
        <v>0</v>
      </c>
      <c r="AU2030" s="53">
        <f t="shared" si="356"/>
        <v>0</v>
      </c>
      <c r="AV2030" s="53">
        <f t="shared" si="356"/>
        <v>0</v>
      </c>
      <c r="AW2030" s="53">
        <f t="shared" si="356"/>
        <v>0</v>
      </c>
      <c r="AX2030" s="53">
        <f t="shared" si="357"/>
        <v>346000000</v>
      </c>
      <c r="AY2030" s="41" t="s">
        <v>557</v>
      </c>
    </row>
    <row r="2031" spans="1:51" x14ac:dyDescent="0.2">
      <c r="A2031" s="48" t="s">
        <v>400</v>
      </c>
      <c r="B2031" s="41">
        <v>2009</v>
      </c>
      <c r="C2031" s="41" t="s">
        <v>87</v>
      </c>
      <c r="D2031" s="41" t="s">
        <v>401</v>
      </c>
      <c r="E2031" s="41">
        <v>100</v>
      </c>
      <c r="F2031" s="41" t="s">
        <v>390</v>
      </c>
      <c r="G2031" s="53">
        <v>3354000</v>
      </c>
      <c r="I2031" s="41">
        <v>1.1100000000000001</v>
      </c>
      <c r="T2031" s="53">
        <v>3351.9580000000001</v>
      </c>
      <c r="AM2031" s="93">
        <v>8150000</v>
      </c>
      <c r="AO2031" s="53">
        <f t="shared" si="356"/>
        <v>0</v>
      </c>
      <c r="AP2031" s="53">
        <f t="shared" si="356"/>
        <v>3722940.0000000005</v>
      </c>
      <c r="AQ2031" s="53">
        <f t="shared" si="356"/>
        <v>0</v>
      </c>
      <c r="AR2031" s="53">
        <f t="shared" si="356"/>
        <v>0</v>
      </c>
      <c r="AS2031" s="53">
        <f t="shared" si="356"/>
        <v>0</v>
      </c>
      <c r="AT2031" s="53">
        <f t="shared" si="356"/>
        <v>0</v>
      </c>
      <c r="AU2031" s="53">
        <f t="shared" si="356"/>
        <v>0</v>
      </c>
      <c r="AV2031" s="53">
        <f t="shared" si="356"/>
        <v>0</v>
      </c>
      <c r="AW2031" s="53">
        <f t="shared" si="356"/>
        <v>0</v>
      </c>
      <c r="AX2031" s="53">
        <f t="shared" si="357"/>
        <v>335400000</v>
      </c>
      <c r="AY2031" s="41" t="s">
        <v>557</v>
      </c>
    </row>
    <row r="2032" spans="1:51" x14ac:dyDescent="0.2">
      <c r="A2032" s="48" t="s">
        <v>400</v>
      </c>
      <c r="B2032" s="41">
        <v>2010</v>
      </c>
      <c r="C2032" s="41" t="s">
        <v>87</v>
      </c>
      <c r="D2032" s="41" t="s">
        <v>401</v>
      </c>
      <c r="E2032" s="41">
        <v>100</v>
      </c>
      <c r="F2032" s="41" t="s">
        <v>390</v>
      </c>
      <c r="G2032" s="53">
        <v>3431000</v>
      </c>
      <c r="I2032" s="46">
        <v>0.91647916059457879</v>
      </c>
      <c r="T2032" s="53">
        <v>2877.9940000000001</v>
      </c>
      <c r="AM2032" s="93">
        <v>12686000</v>
      </c>
      <c r="AO2032" s="53">
        <f t="shared" si="356"/>
        <v>0</v>
      </c>
      <c r="AP2032" s="53">
        <f t="shared" si="356"/>
        <v>3144440</v>
      </c>
      <c r="AQ2032" s="53">
        <f t="shared" si="356"/>
        <v>0</v>
      </c>
      <c r="AR2032" s="53">
        <f t="shared" si="356"/>
        <v>0</v>
      </c>
      <c r="AS2032" s="53">
        <f t="shared" si="356"/>
        <v>0</v>
      </c>
      <c r="AT2032" s="53">
        <f t="shared" si="356"/>
        <v>0</v>
      </c>
      <c r="AU2032" s="53">
        <f t="shared" si="356"/>
        <v>0</v>
      </c>
      <c r="AV2032" s="53">
        <f t="shared" si="356"/>
        <v>0</v>
      </c>
      <c r="AW2032" s="53">
        <f t="shared" si="356"/>
        <v>0</v>
      </c>
      <c r="AX2032" s="53">
        <f t="shared" si="357"/>
        <v>343100000</v>
      </c>
      <c r="AY2032" s="41" t="s">
        <v>557</v>
      </c>
    </row>
    <row r="2033" spans="1:51" x14ac:dyDescent="0.2">
      <c r="A2033" s="48" t="s">
        <v>400</v>
      </c>
      <c r="B2033" s="41">
        <v>2011</v>
      </c>
      <c r="C2033" s="41" t="s">
        <v>87</v>
      </c>
      <c r="D2033" s="41" t="s">
        <v>401</v>
      </c>
      <c r="E2033" s="41">
        <v>100</v>
      </c>
      <c r="F2033" s="41" t="s">
        <v>390</v>
      </c>
      <c r="G2033" s="53">
        <v>3475000</v>
      </c>
      <c r="I2033" s="46">
        <v>0.82138129496402879</v>
      </c>
      <c r="T2033" s="53">
        <v>2373.9563000000003</v>
      </c>
      <c r="AM2033" s="93">
        <v>9193000</v>
      </c>
      <c r="AO2033" s="53">
        <f t="shared" si="356"/>
        <v>0</v>
      </c>
      <c r="AP2033" s="53">
        <f t="shared" si="356"/>
        <v>2854300</v>
      </c>
      <c r="AQ2033" s="53">
        <f t="shared" si="356"/>
        <v>0</v>
      </c>
      <c r="AR2033" s="53">
        <f t="shared" si="356"/>
        <v>0</v>
      </c>
      <c r="AS2033" s="53">
        <f t="shared" si="356"/>
        <v>0</v>
      </c>
      <c r="AT2033" s="53">
        <f t="shared" si="356"/>
        <v>0</v>
      </c>
      <c r="AU2033" s="53">
        <f t="shared" si="356"/>
        <v>0</v>
      </c>
      <c r="AV2033" s="53">
        <f t="shared" si="356"/>
        <v>0</v>
      </c>
      <c r="AW2033" s="53">
        <f t="shared" si="356"/>
        <v>0</v>
      </c>
      <c r="AX2033" s="53">
        <f t="shared" si="357"/>
        <v>347500000</v>
      </c>
      <c r="AY2033" s="41" t="s">
        <v>557</v>
      </c>
    </row>
    <row r="2034" spans="1:51" x14ac:dyDescent="0.2">
      <c r="A2034" s="48" t="s">
        <v>400</v>
      </c>
      <c r="B2034" s="41">
        <v>2012</v>
      </c>
      <c r="C2034" s="41" t="s">
        <v>87</v>
      </c>
      <c r="D2034" s="41" t="s">
        <v>401</v>
      </c>
      <c r="E2034" s="41">
        <v>100</v>
      </c>
      <c r="F2034" s="41" t="s">
        <v>390</v>
      </c>
      <c r="G2034" s="53">
        <v>3457000</v>
      </c>
      <c r="I2034" s="46">
        <v>1.0978478449522708</v>
      </c>
      <c r="T2034" s="53">
        <v>3481.4895000000001</v>
      </c>
      <c r="AM2034" s="93">
        <v>15230000</v>
      </c>
      <c r="AO2034" s="53">
        <f t="shared" si="356"/>
        <v>0</v>
      </c>
      <c r="AP2034" s="53">
        <f t="shared" si="356"/>
        <v>3795260.0000000005</v>
      </c>
      <c r="AQ2034" s="53">
        <f t="shared" si="356"/>
        <v>0</v>
      </c>
      <c r="AR2034" s="53">
        <f t="shared" si="356"/>
        <v>0</v>
      </c>
      <c r="AS2034" s="53">
        <f t="shared" si="356"/>
        <v>0</v>
      </c>
      <c r="AT2034" s="53">
        <f t="shared" si="356"/>
        <v>0</v>
      </c>
      <c r="AU2034" s="53">
        <f t="shared" si="356"/>
        <v>0</v>
      </c>
      <c r="AV2034" s="53">
        <f t="shared" si="356"/>
        <v>0</v>
      </c>
      <c r="AW2034" s="53">
        <f t="shared" si="356"/>
        <v>0</v>
      </c>
      <c r="AX2034" s="53">
        <f t="shared" si="357"/>
        <v>345700000</v>
      </c>
      <c r="AY2034" s="41" t="s">
        <v>557</v>
      </c>
    </row>
    <row r="2035" spans="1:51" x14ac:dyDescent="0.2">
      <c r="A2035" s="48" t="s">
        <v>400</v>
      </c>
      <c r="B2035" s="41">
        <v>2013</v>
      </c>
      <c r="C2035" s="41" t="s">
        <v>87</v>
      </c>
      <c r="D2035" s="41" t="s">
        <v>401</v>
      </c>
      <c r="E2035" s="41">
        <v>100</v>
      </c>
      <c r="F2035" s="41" t="s">
        <v>390</v>
      </c>
      <c r="G2035" s="53">
        <v>3400000</v>
      </c>
      <c r="I2035" s="46">
        <v>1.0803</v>
      </c>
      <c r="T2035" s="53">
        <v>3386.9454999999998</v>
      </c>
      <c r="AM2035" s="93">
        <v>13868000</v>
      </c>
      <c r="AO2035" s="53">
        <f t="shared" si="356"/>
        <v>0</v>
      </c>
      <c r="AP2035" s="53">
        <f t="shared" si="356"/>
        <v>3673020</v>
      </c>
      <c r="AQ2035" s="53">
        <f t="shared" si="356"/>
        <v>0</v>
      </c>
      <c r="AR2035" s="53">
        <f t="shared" si="356"/>
        <v>0</v>
      </c>
      <c r="AS2035" s="53">
        <f t="shared" si="356"/>
        <v>0</v>
      </c>
      <c r="AT2035" s="53">
        <f t="shared" si="356"/>
        <v>0</v>
      </c>
      <c r="AU2035" s="53">
        <f t="shared" si="356"/>
        <v>0</v>
      </c>
      <c r="AV2035" s="53">
        <f t="shared" si="356"/>
        <v>0</v>
      </c>
      <c r="AW2035" s="53">
        <f t="shared" si="356"/>
        <v>0</v>
      </c>
      <c r="AX2035" s="53">
        <f t="shared" si="357"/>
        <v>340000000</v>
      </c>
      <c r="AY2035" s="41" t="s">
        <v>557</v>
      </c>
    </row>
    <row r="2036" spans="1:51" x14ac:dyDescent="0.2">
      <c r="A2036" s="48" t="s">
        <v>400</v>
      </c>
      <c r="B2036" s="41">
        <v>2014</v>
      </c>
      <c r="C2036" s="41" t="s">
        <v>87</v>
      </c>
      <c r="D2036" s="41" t="s">
        <v>401</v>
      </c>
      <c r="E2036" s="41">
        <v>100</v>
      </c>
      <c r="F2036" s="41" t="s">
        <v>390</v>
      </c>
      <c r="G2036" s="53">
        <v>3563000</v>
      </c>
      <c r="I2036" s="46">
        <v>0.97229862475442042</v>
      </c>
      <c r="T2036" s="53">
        <v>3154.7529000000004</v>
      </c>
      <c r="AM2036" s="93">
        <v>10291000</v>
      </c>
      <c r="AO2036" s="53">
        <f t="shared" si="356"/>
        <v>0</v>
      </c>
      <c r="AP2036" s="53">
        <f t="shared" si="356"/>
        <v>3464300</v>
      </c>
      <c r="AQ2036" s="53">
        <f t="shared" si="356"/>
        <v>0</v>
      </c>
      <c r="AR2036" s="53">
        <f t="shared" si="356"/>
        <v>0</v>
      </c>
      <c r="AS2036" s="53">
        <f t="shared" si="356"/>
        <v>0</v>
      </c>
      <c r="AT2036" s="53">
        <f t="shared" si="356"/>
        <v>0</v>
      </c>
      <c r="AU2036" s="53">
        <f t="shared" si="356"/>
        <v>0</v>
      </c>
      <c r="AV2036" s="53">
        <f t="shared" si="356"/>
        <v>0</v>
      </c>
      <c r="AW2036" s="53">
        <f t="shared" si="356"/>
        <v>0</v>
      </c>
      <c r="AX2036" s="53">
        <f t="shared" si="357"/>
        <v>356300000</v>
      </c>
      <c r="AY2036" s="41" t="s">
        <v>557</v>
      </c>
    </row>
    <row r="2037" spans="1:51" x14ac:dyDescent="0.2">
      <c r="A2037" s="48" t="s">
        <v>400</v>
      </c>
      <c r="B2037" s="41">
        <v>2015</v>
      </c>
      <c r="C2037" s="41" t="s">
        <v>87</v>
      </c>
      <c r="D2037" s="41" t="s">
        <v>401</v>
      </c>
      <c r="E2037" s="41">
        <v>100</v>
      </c>
      <c r="F2037" s="41" t="s">
        <v>390</v>
      </c>
      <c r="G2037" s="53">
        <v>3325000</v>
      </c>
      <c r="I2037" s="46">
        <v>0.99135939849624055</v>
      </c>
      <c r="T2037" s="53">
        <v>3011.4752000000003</v>
      </c>
      <c r="AM2037" s="93">
        <v>13848000</v>
      </c>
      <c r="AO2037" s="53">
        <f t="shared" si="356"/>
        <v>0</v>
      </c>
      <c r="AP2037" s="53">
        <f t="shared" si="356"/>
        <v>3296270</v>
      </c>
      <c r="AQ2037" s="53">
        <f t="shared" si="356"/>
        <v>0</v>
      </c>
      <c r="AR2037" s="53">
        <f t="shared" si="356"/>
        <v>0</v>
      </c>
      <c r="AS2037" s="53">
        <f t="shared" si="356"/>
        <v>0</v>
      </c>
      <c r="AT2037" s="53">
        <f t="shared" si="356"/>
        <v>0</v>
      </c>
      <c r="AU2037" s="53">
        <f t="shared" si="356"/>
        <v>0</v>
      </c>
      <c r="AV2037" s="53">
        <f t="shared" si="356"/>
        <v>0</v>
      </c>
      <c r="AW2037" s="53">
        <f t="shared" si="356"/>
        <v>0</v>
      </c>
      <c r="AX2037" s="53">
        <f t="shared" si="357"/>
        <v>332500000</v>
      </c>
      <c r="AY2037" s="41" t="s">
        <v>557</v>
      </c>
    </row>
    <row r="2038" spans="1:51" x14ac:dyDescent="0.2">
      <c r="A2038" s="48" t="s">
        <v>400</v>
      </c>
      <c r="B2038" s="41" t="s">
        <v>664</v>
      </c>
      <c r="C2038" s="41" t="s">
        <v>87</v>
      </c>
      <c r="D2038" s="41" t="s">
        <v>401</v>
      </c>
      <c r="E2038" s="41">
        <v>100</v>
      </c>
      <c r="F2038" s="41" t="s">
        <v>390</v>
      </c>
      <c r="G2038" s="53">
        <v>866000</v>
      </c>
      <c r="I2038" s="46">
        <v>0.6</v>
      </c>
      <c r="T2038" s="53">
        <f>14691*31.1/1000</f>
        <v>456.89010000000002</v>
      </c>
      <c r="AM2038" s="53">
        <f>3317000+112000</f>
        <v>3429000</v>
      </c>
      <c r="AO2038" s="53">
        <f t="shared" si="356"/>
        <v>0</v>
      </c>
      <c r="AP2038" s="53">
        <f t="shared" si="356"/>
        <v>519600</v>
      </c>
      <c r="AQ2038" s="53">
        <f t="shared" si="356"/>
        <v>0</v>
      </c>
      <c r="AR2038" s="53">
        <f t="shared" si="356"/>
        <v>0</v>
      </c>
      <c r="AS2038" s="53">
        <f t="shared" si="356"/>
        <v>0</v>
      </c>
      <c r="AT2038" s="53">
        <f t="shared" si="356"/>
        <v>0</v>
      </c>
      <c r="AU2038" s="53">
        <f t="shared" si="356"/>
        <v>0</v>
      </c>
      <c r="AV2038" s="53">
        <f t="shared" si="356"/>
        <v>0</v>
      </c>
      <c r="AW2038" s="53">
        <f t="shared" si="356"/>
        <v>0</v>
      </c>
      <c r="AX2038" s="53">
        <f t="shared" si="357"/>
        <v>86600000</v>
      </c>
      <c r="AY2038" s="41" t="s">
        <v>557</v>
      </c>
    </row>
    <row r="2039" spans="1:51" x14ac:dyDescent="0.2">
      <c r="A2039" s="48" t="s">
        <v>400</v>
      </c>
      <c r="B2039" s="60" t="s">
        <v>559</v>
      </c>
      <c r="C2039" s="60" t="s">
        <v>87</v>
      </c>
      <c r="D2039" s="60" t="s">
        <v>401</v>
      </c>
      <c r="E2039" s="60">
        <v>100</v>
      </c>
      <c r="F2039" s="60" t="s">
        <v>390</v>
      </c>
      <c r="G2039" s="79">
        <f>SUM(G2023:G2038)</f>
        <v>49307814</v>
      </c>
      <c r="I2039" s="80">
        <f>AP2039/$G2039</f>
        <v>1.0213341895465089</v>
      </c>
      <c r="T2039" s="79">
        <f>SUM(T2023:T2038)</f>
        <v>45025.802499999998</v>
      </c>
      <c r="AM2039" s="79">
        <f>SUM(AM2023:AM2038)</f>
        <v>163550398.46707904</v>
      </c>
      <c r="AO2039" s="79">
        <f t="shared" ref="AO2039:AX2039" si="358">SUM(AO2023:AO2038)</f>
        <v>0</v>
      </c>
      <c r="AP2039" s="79">
        <f t="shared" si="358"/>
        <v>50359756.25</v>
      </c>
      <c r="AQ2039" s="79">
        <f t="shared" si="358"/>
        <v>0</v>
      </c>
      <c r="AR2039" s="79">
        <f t="shared" si="358"/>
        <v>0</v>
      </c>
      <c r="AS2039" s="79">
        <f t="shared" si="358"/>
        <v>0</v>
      </c>
      <c r="AT2039" s="79">
        <f t="shared" si="358"/>
        <v>0</v>
      </c>
      <c r="AU2039" s="79">
        <f t="shared" si="358"/>
        <v>0</v>
      </c>
      <c r="AV2039" s="79">
        <f t="shared" si="358"/>
        <v>0</v>
      </c>
      <c r="AW2039" s="79">
        <f t="shared" si="358"/>
        <v>0</v>
      </c>
      <c r="AX2039" s="79">
        <f t="shared" si="358"/>
        <v>4930781400</v>
      </c>
      <c r="AY2039" s="41" t="s">
        <v>557</v>
      </c>
    </row>
    <row r="2040" spans="1:51" x14ac:dyDescent="0.2">
      <c r="A2040" s="48" t="s">
        <v>400</v>
      </c>
      <c r="B2040" s="43" t="s">
        <v>560</v>
      </c>
      <c r="G2040" s="53">
        <f>STDEV(G2023:G2038)</f>
        <v>749035.17017693049</v>
      </c>
      <c r="I2040" s="46">
        <f>STDEV(I2023:I2038)</f>
        <v>0.13793797879925107</v>
      </c>
      <c r="T2040" s="53">
        <f>STDEV(T2023:T2038)</f>
        <v>808.9909522212306</v>
      </c>
      <c r="AM2040" s="53">
        <f>STDEV(AM2023:AM2038)</f>
        <v>3194750.7466526972</v>
      </c>
      <c r="AY2040" s="41" t="s">
        <v>557</v>
      </c>
    </row>
    <row r="2041" spans="1:51" x14ac:dyDescent="0.2">
      <c r="A2041" s="48" t="s">
        <v>400</v>
      </c>
      <c r="B2041" s="81" t="s">
        <v>249</v>
      </c>
      <c r="G2041" s="41">
        <f>COUNT(G2023:G2038)</f>
        <v>16</v>
      </c>
      <c r="I2041" s="41">
        <f>COUNT(I2023:I2038)</f>
        <v>16</v>
      </c>
      <c r="T2041" s="41">
        <f>COUNT(T2023:T2038)</f>
        <v>16</v>
      </c>
      <c r="AM2041" s="41">
        <f>COUNT(AM2023:AM2038)</f>
        <v>16</v>
      </c>
      <c r="AY2041" s="41" t="s">
        <v>557</v>
      </c>
    </row>
    <row r="2042" spans="1:51" x14ac:dyDescent="0.2">
      <c r="A2042" s="82"/>
      <c r="B2042" s="82"/>
      <c r="C2042" s="82"/>
      <c r="D2042" s="82"/>
      <c r="E2042" s="82"/>
      <c r="F2042" s="82"/>
      <c r="G2042" s="82"/>
      <c r="H2042" s="82"/>
      <c r="I2042" s="82"/>
      <c r="J2042" s="82"/>
      <c r="K2042" s="82"/>
      <c r="L2042" s="82"/>
      <c r="M2042" s="82"/>
      <c r="N2042" s="82"/>
      <c r="O2042" s="82"/>
      <c r="P2042" s="82"/>
      <c r="Q2042" s="82"/>
      <c r="R2042" s="82"/>
      <c r="S2042" s="82"/>
      <c r="T2042" s="82"/>
      <c r="U2042" s="82"/>
      <c r="V2042" s="82"/>
      <c r="W2042" s="82"/>
      <c r="X2042" s="82"/>
      <c r="Y2042" s="82"/>
      <c r="Z2042" s="82"/>
      <c r="AA2042" s="82"/>
      <c r="AB2042" s="82"/>
      <c r="AC2042" s="82"/>
      <c r="AD2042" s="82"/>
      <c r="AE2042" s="82"/>
      <c r="AF2042" s="82"/>
      <c r="AG2042" s="82"/>
      <c r="AH2042" s="82"/>
      <c r="AI2042" s="82"/>
      <c r="AJ2042" s="82"/>
      <c r="AK2042" s="82"/>
      <c r="AL2042" s="82"/>
      <c r="AM2042" s="82"/>
      <c r="AN2042" s="82"/>
      <c r="AO2042" s="82"/>
      <c r="AP2042" s="82"/>
      <c r="AQ2042" s="82"/>
      <c r="AR2042" s="82"/>
      <c r="AS2042" s="82"/>
      <c r="AT2042" s="82"/>
      <c r="AU2042" s="82"/>
      <c r="AV2042" s="82"/>
      <c r="AW2042" s="82"/>
      <c r="AX2042" s="82"/>
      <c r="AY2042" s="41" t="s">
        <v>557</v>
      </c>
    </row>
    <row r="2043" spans="1:51" x14ac:dyDescent="0.2">
      <c r="A2043" s="41" t="s">
        <v>457</v>
      </c>
      <c r="B2043" s="41">
        <v>2002</v>
      </c>
      <c r="C2043" s="41" t="s">
        <v>87</v>
      </c>
      <c r="D2043" s="41" t="s">
        <v>401</v>
      </c>
      <c r="E2043" s="41">
        <v>100</v>
      </c>
      <c r="F2043" s="41" t="s">
        <v>390</v>
      </c>
      <c r="G2043" s="76">
        <v>1000000</v>
      </c>
      <c r="I2043" s="77">
        <v>3.5</v>
      </c>
      <c r="T2043" s="76">
        <f>0.75*I2043*G2043/1000</f>
        <v>2625</v>
      </c>
      <c r="AO2043" s="53">
        <f t="shared" ref="AO2043:AW2058" si="359">$G2043*H2043</f>
        <v>0</v>
      </c>
      <c r="AP2043" s="53">
        <f t="shared" si="359"/>
        <v>3500000</v>
      </c>
      <c r="AQ2043" s="53">
        <f t="shared" si="359"/>
        <v>0</v>
      </c>
      <c r="AR2043" s="53">
        <f t="shared" si="359"/>
        <v>0</v>
      </c>
      <c r="AS2043" s="53">
        <f t="shared" si="359"/>
        <v>0</v>
      </c>
      <c r="AT2043" s="53">
        <f t="shared" si="359"/>
        <v>0</v>
      </c>
      <c r="AU2043" s="53">
        <f t="shared" si="359"/>
        <v>0</v>
      </c>
      <c r="AV2043" s="53">
        <f t="shared" si="359"/>
        <v>0</v>
      </c>
      <c r="AW2043" s="53">
        <f t="shared" si="359"/>
        <v>0</v>
      </c>
      <c r="AX2043" s="53">
        <f t="shared" ref="AX2043:AX2058" si="360">$G2043*E2043</f>
        <v>100000000</v>
      </c>
      <c r="AY2043" s="41" t="s">
        <v>557</v>
      </c>
    </row>
    <row r="2044" spans="1:51" x14ac:dyDescent="0.2">
      <c r="A2044" s="41" t="s">
        <v>457</v>
      </c>
      <c r="B2044" s="41">
        <v>2003</v>
      </c>
      <c r="C2044" s="41" t="s">
        <v>87</v>
      </c>
      <c r="D2044" s="41" t="s">
        <v>401</v>
      </c>
      <c r="E2044" s="41">
        <v>100</v>
      </c>
      <c r="F2044" s="41" t="s">
        <v>390</v>
      </c>
      <c r="G2044" s="53">
        <f>869000/(204/365)</f>
        <v>1554828.4313725489</v>
      </c>
      <c r="I2044" s="41">
        <v>3.4</v>
      </c>
      <c r="T2044" s="53">
        <f>89525*31.1/1000/(204/365)</f>
        <v>4981.5835171568624</v>
      </c>
      <c r="AO2044" s="53">
        <f t="shared" si="359"/>
        <v>0</v>
      </c>
      <c r="AP2044" s="53">
        <f t="shared" si="359"/>
        <v>5286416.666666666</v>
      </c>
      <c r="AQ2044" s="53">
        <f t="shared" si="359"/>
        <v>0</v>
      </c>
      <c r="AR2044" s="53">
        <f t="shared" si="359"/>
        <v>0</v>
      </c>
      <c r="AS2044" s="53">
        <f t="shared" si="359"/>
        <v>0</v>
      </c>
      <c r="AT2044" s="53">
        <f t="shared" si="359"/>
        <v>0</v>
      </c>
      <c r="AU2044" s="53">
        <f t="shared" si="359"/>
        <v>0</v>
      </c>
      <c r="AV2044" s="53">
        <f t="shared" si="359"/>
        <v>0</v>
      </c>
      <c r="AW2044" s="53">
        <f t="shared" si="359"/>
        <v>0</v>
      </c>
      <c r="AX2044" s="53">
        <f t="shared" si="360"/>
        <v>155482843.13725489</v>
      </c>
      <c r="AY2044" s="41" t="s">
        <v>557</v>
      </c>
    </row>
    <row r="2045" spans="1:51" x14ac:dyDescent="0.2">
      <c r="A2045" s="41" t="s">
        <v>457</v>
      </c>
      <c r="B2045" s="41">
        <v>2004</v>
      </c>
      <c r="C2045" s="41" t="s">
        <v>87</v>
      </c>
      <c r="D2045" s="41" t="s">
        <v>401</v>
      </c>
      <c r="E2045" s="41">
        <v>100</v>
      </c>
      <c r="F2045" s="41" t="s">
        <v>390</v>
      </c>
      <c r="G2045" s="53">
        <v>3282000</v>
      </c>
      <c r="I2045" s="41">
        <v>3.4</v>
      </c>
      <c r="T2045" s="53">
        <f>208484*31.1/1000</f>
        <v>6483.8524000000007</v>
      </c>
      <c r="AO2045" s="53">
        <f t="shared" si="359"/>
        <v>0</v>
      </c>
      <c r="AP2045" s="53">
        <f t="shared" si="359"/>
        <v>11158800</v>
      </c>
      <c r="AQ2045" s="53">
        <f t="shared" si="359"/>
        <v>0</v>
      </c>
      <c r="AR2045" s="53">
        <f t="shared" si="359"/>
        <v>0</v>
      </c>
      <c r="AS2045" s="53">
        <f t="shared" si="359"/>
        <v>0</v>
      </c>
      <c r="AT2045" s="53">
        <f t="shared" si="359"/>
        <v>0</v>
      </c>
      <c r="AU2045" s="53">
        <f t="shared" si="359"/>
        <v>0</v>
      </c>
      <c r="AV2045" s="53">
        <f t="shared" si="359"/>
        <v>0</v>
      </c>
      <c r="AW2045" s="53">
        <f t="shared" si="359"/>
        <v>0</v>
      </c>
      <c r="AX2045" s="53">
        <f t="shared" si="360"/>
        <v>328200000</v>
      </c>
      <c r="AY2045" s="41" t="s">
        <v>557</v>
      </c>
    </row>
    <row r="2046" spans="1:51" x14ac:dyDescent="0.2">
      <c r="A2046" s="41" t="s">
        <v>457</v>
      </c>
      <c r="B2046" s="41">
        <v>2005</v>
      </c>
      <c r="C2046" s="41" t="s">
        <v>87</v>
      </c>
      <c r="D2046" s="41" t="s">
        <v>401</v>
      </c>
      <c r="E2046" s="41">
        <v>100</v>
      </c>
      <c r="F2046" s="41" t="s">
        <v>390</v>
      </c>
      <c r="G2046" s="53">
        <v>3248000</v>
      </c>
      <c r="I2046" s="41">
        <v>2.9</v>
      </c>
      <c r="T2046" s="53">
        <f>250394*31.1/1000</f>
        <v>7787.2534000000005</v>
      </c>
      <c r="AO2046" s="53">
        <f t="shared" si="359"/>
        <v>0</v>
      </c>
      <c r="AP2046" s="53">
        <f t="shared" si="359"/>
        <v>9419200</v>
      </c>
      <c r="AQ2046" s="53">
        <f t="shared" si="359"/>
        <v>0</v>
      </c>
      <c r="AR2046" s="53">
        <f t="shared" si="359"/>
        <v>0</v>
      </c>
      <c r="AS2046" s="53">
        <f t="shared" si="359"/>
        <v>0</v>
      </c>
      <c r="AT2046" s="53">
        <f t="shared" si="359"/>
        <v>0</v>
      </c>
      <c r="AU2046" s="53">
        <f t="shared" si="359"/>
        <v>0</v>
      </c>
      <c r="AV2046" s="53">
        <f t="shared" si="359"/>
        <v>0</v>
      </c>
      <c r="AW2046" s="53">
        <f t="shared" si="359"/>
        <v>0</v>
      </c>
      <c r="AX2046" s="53">
        <f t="shared" si="360"/>
        <v>324800000</v>
      </c>
      <c r="AY2046" s="41" t="s">
        <v>557</v>
      </c>
    </row>
    <row r="2047" spans="1:51" x14ac:dyDescent="0.2">
      <c r="A2047" s="41" t="s">
        <v>457</v>
      </c>
      <c r="B2047" s="41">
        <v>2006</v>
      </c>
      <c r="C2047" s="41" t="s">
        <v>87</v>
      </c>
      <c r="D2047" s="41" t="s">
        <v>401</v>
      </c>
      <c r="E2047" s="41">
        <v>100</v>
      </c>
      <c r="F2047" s="41" t="s">
        <v>390</v>
      </c>
      <c r="G2047" s="53">
        <f>3219000*0.9072</f>
        <v>2920276.8</v>
      </c>
      <c r="I2047" s="46">
        <f>0.129*31.1/0.9072</f>
        <v>4.4222883597883609</v>
      </c>
      <c r="T2047" s="53">
        <f>372000*31.1/1000</f>
        <v>11569.2</v>
      </c>
      <c r="AM2047" s="53">
        <f>(14716000-3219000)*0.9072</f>
        <v>10430078.4</v>
      </c>
      <c r="AO2047" s="53">
        <f t="shared" si="359"/>
        <v>0</v>
      </c>
      <c r="AP2047" s="53">
        <f t="shared" si="359"/>
        <v>12914306.100000001</v>
      </c>
      <c r="AQ2047" s="53">
        <f t="shared" si="359"/>
        <v>0</v>
      </c>
      <c r="AR2047" s="53">
        <f t="shared" si="359"/>
        <v>0</v>
      </c>
      <c r="AS2047" s="53">
        <f t="shared" si="359"/>
        <v>0</v>
      </c>
      <c r="AT2047" s="53">
        <f t="shared" si="359"/>
        <v>0</v>
      </c>
      <c r="AU2047" s="53">
        <f t="shared" si="359"/>
        <v>0</v>
      </c>
      <c r="AV2047" s="53">
        <f t="shared" si="359"/>
        <v>0</v>
      </c>
      <c r="AW2047" s="53">
        <f t="shared" si="359"/>
        <v>0</v>
      </c>
      <c r="AX2047" s="53">
        <f t="shared" si="360"/>
        <v>292027680</v>
      </c>
      <c r="AY2047" s="41" t="s">
        <v>557</v>
      </c>
    </row>
    <row r="2048" spans="1:51" x14ac:dyDescent="0.2">
      <c r="A2048" s="41" t="s">
        <v>457</v>
      </c>
      <c r="B2048" s="41">
        <v>2007</v>
      </c>
      <c r="C2048" s="41" t="s">
        <v>87</v>
      </c>
      <c r="D2048" s="41" t="s">
        <v>401</v>
      </c>
      <c r="E2048" s="41">
        <v>100</v>
      </c>
      <c r="F2048" s="41" t="s">
        <v>390</v>
      </c>
      <c r="G2048" s="53">
        <f>2987000*0.9072</f>
        <v>2709806.4</v>
      </c>
      <c r="I2048" s="46">
        <f>0.092*31.1/0.9072</f>
        <v>3.1538800705467374</v>
      </c>
      <c r="T2048" s="53">
        <f>237000*31.1/1000</f>
        <v>7370.7</v>
      </c>
      <c r="AM2048" s="53">
        <f>(16372000-2987000)*0.9072</f>
        <v>12142872</v>
      </c>
      <c r="AO2048" s="53">
        <f t="shared" si="359"/>
        <v>0</v>
      </c>
      <c r="AP2048" s="53">
        <f t="shared" si="359"/>
        <v>8546404.4000000004</v>
      </c>
      <c r="AQ2048" s="53">
        <f t="shared" si="359"/>
        <v>0</v>
      </c>
      <c r="AR2048" s="53">
        <f t="shared" si="359"/>
        <v>0</v>
      </c>
      <c r="AS2048" s="53">
        <f t="shared" si="359"/>
        <v>0</v>
      </c>
      <c r="AT2048" s="53">
        <f t="shared" si="359"/>
        <v>0</v>
      </c>
      <c r="AU2048" s="53">
        <f t="shared" si="359"/>
        <v>0</v>
      </c>
      <c r="AV2048" s="53">
        <f t="shared" si="359"/>
        <v>0</v>
      </c>
      <c r="AW2048" s="53">
        <f t="shared" si="359"/>
        <v>0</v>
      </c>
      <c r="AX2048" s="53">
        <f t="shared" si="360"/>
        <v>270980640</v>
      </c>
      <c r="AY2048" s="41" t="s">
        <v>557</v>
      </c>
    </row>
    <row r="2049" spans="1:51" x14ac:dyDescent="0.2">
      <c r="A2049" s="41" t="s">
        <v>457</v>
      </c>
      <c r="B2049" s="41">
        <v>2008</v>
      </c>
      <c r="C2049" s="41" t="s">
        <v>87</v>
      </c>
      <c r="D2049" s="41" t="s">
        <v>401</v>
      </c>
      <c r="E2049" s="41">
        <v>100</v>
      </c>
      <c r="F2049" s="41" t="s">
        <v>390</v>
      </c>
      <c r="G2049" s="53">
        <f>(2914000*0.9072)/0.739</f>
        <v>3577240.5953991879</v>
      </c>
      <c r="I2049" s="46">
        <f>0.095*31.1/0.9072</f>
        <v>3.2567239858906527</v>
      </c>
      <c r="T2049" s="53">
        <f>197000*31.1/1000</f>
        <v>6126.7</v>
      </c>
      <c r="AM2049" s="53">
        <f>((19857000-2914000)*0.9072)/0.739</f>
        <v>20799309.336941812</v>
      </c>
      <c r="AO2049" s="53">
        <f t="shared" si="359"/>
        <v>0</v>
      </c>
      <c r="AP2049" s="53">
        <f t="shared" si="359"/>
        <v>11650085.250338295</v>
      </c>
      <c r="AQ2049" s="53">
        <f t="shared" si="359"/>
        <v>0</v>
      </c>
      <c r="AR2049" s="53">
        <f t="shared" si="359"/>
        <v>0</v>
      </c>
      <c r="AS2049" s="53">
        <f t="shared" si="359"/>
        <v>0</v>
      </c>
      <c r="AT2049" s="53">
        <f t="shared" si="359"/>
        <v>0</v>
      </c>
      <c r="AU2049" s="53">
        <f t="shared" si="359"/>
        <v>0</v>
      </c>
      <c r="AV2049" s="53">
        <f t="shared" si="359"/>
        <v>0</v>
      </c>
      <c r="AW2049" s="53">
        <f t="shared" si="359"/>
        <v>0</v>
      </c>
      <c r="AX2049" s="53">
        <f t="shared" si="360"/>
        <v>357724059.53991878</v>
      </c>
      <c r="AY2049" s="41" t="s">
        <v>557</v>
      </c>
    </row>
    <row r="2050" spans="1:51" x14ac:dyDescent="0.2">
      <c r="A2050" s="41" t="s">
        <v>457</v>
      </c>
      <c r="B2050" s="41">
        <v>2009</v>
      </c>
      <c r="C2050" s="41" t="s">
        <v>87</v>
      </c>
      <c r="D2050" s="41" t="s">
        <v>401</v>
      </c>
      <c r="E2050" s="41">
        <v>100</v>
      </c>
      <c r="F2050" s="41" t="s">
        <v>390</v>
      </c>
      <c r="G2050" s="53">
        <f>(2871000*0.9072)/0.739</f>
        <v>3524453.5859269286</v>
      </c>
      <c r="I2050" s="46">
        <f>0.093*31.1/0.9072</f>
        <v>3.1881613756613758</v>
      </c>
      <c r="T2050" s="53">
        <f>212000*31.1/1000</f>
        <v>6593.2</v>
      </c>
      <c r="AM2050" s="53">
        <f>((17513000-2871000)*0.9072)/0.739</f>
        <v>17974590.527740192</v>
      </c>
      <c r="AO2050" s="53">
        <f t="shared" si="359"/>
        <v>0</v>
      </c>
      <c r="AP2050" s="53">
        <f t="shared" si="359"/>
        <v>11236526.792963466</v>
      </c>
      <c r="AQ2050" s="53">
        <f t="shared" si="359"/>
        <v>0</v>
      </c>
      <c r="AR2050" s="53">
        <f t="shared" si="359"/>
        <v>0</v>
      </c>
      <c r="AS2050" s="53">
        <f t="shared" si="359"/>
        <v>0</v>
      </c>
      <c r="AT2050" s="53">
        <f t="shared" si="359"/>
        <v>0</v>
      </c>
      <c r="AU2050" s="53">
        <f t="shared" si="359"/>
        <v>0</v>
      </c>
      <c r="AV2050" s="53">
        <f t="shared" si="359"/>
        <v>0</v>
      </c>
      <c r="AW2050" s="53">
        <f t="shared" si="359"/>
        <v>0</v>
      </c>
      <c r="AX2050" s="53">
        <f t="shared" si="360"/>
        <v>352445358.59269285</v>
      </c>
      <c r="AY2050" s="41" t="s">
        <v>557</v>
      </c>
    </row>
    <row r="2051" spans="1:51" x14ac:dyDescent="0.2">
      <c r="A2051" s="41" t="s">
        <v>457</v>
      </c>
      <c r="B2051" s="41">
        <v>2010</v>
      </c>
      <c r="C2051" s="41" t="s">
        <v>87</v>
      </c>
      <c r="D2051" s="41" t="s">
        <v>401</v>
      </c>
      <c r="E2051" s="41">
        <v>100</v>
      </c>
      <c r="F2051" s="41" t="s">
        <v>390</v>
      </c>
      <c r="G2051" s="53">
        <f>(2516000*0.9072)/0.739</f>
        <v>3088653.8565629232</v>
      </c>
      <c r="I2051" s="46">
        <f>0.082*31.1/0.9072</f>
        <v>2.8110670194003529</v>
      </c>
      <c r="T2051" s="53">
        <f>171000*31.1/1000</f>
        <v>5318.1</v>
      </c>
      <c r="AM2051" s="53">
        <f>((17677000-2516000)*0.9072)/0.739</f>
        <v>18611717.456021652</v>
      </c>
      <c r="AO2051" s="53">
        <f t="shared" si="359"/>
        <v>0</v>
      </c>
      <c r="AP2051" s="53">
        <f t="shared" si="359"/>
        <v>8682412.9905277416</v>
      </c>
      <c r="AQ2051" s="53">
        <f t="shared" si="359"/>
        <v>0</v>
      </c>
      <c r="AR2051" s="53">
        <f t="shared" si="359"/>
        <v>0</v>
      </c>
      <c r="AS2051" s="53">
        <f t="shared" si="359"/>
        <v>0</v>
      </c>
      <c r="AT2051" s="53">
        <f t="shared" si="359"/>
        <v>0</v>
      </c>
      <c r="AU2051" s="53">
        <f t="shared" si="359"/>
        <v>0</v>
      </c>
      <c r="AV2051" s="53">
        <f t="shared" si="359"/>
        <v>0</v>
      </c>
      <c r="AW2051" s="53">
        <f t="shared" si="359"/>
        <v>0</v>
      </c>
      <c r="AX2051" s="53">
        <f t="shared" si="360"/>
        <v>308865385.65629232</v>
      </c>
      <c r="AY2051" s="41" t="s">
        <v>557</v>
      </c>
    </row>
    <row r="2052" spans="1:51" x14ac:dyDescent="0.2">
      <c r="A2052" s="41" t="s">
        <v>457</v>
      </c>
      <c r="B2052" s="41">
        <v>2011</v>
      </c>
      <c r="C2052" s="41" t="s">
        <v>87</v>
      </c>
      <c r="D2052" s="41" t="s">
        <v>401</v>
      </c>
      <c r="E2052" s="41">
        <v>100</v>
      </c>
      <c r="F2052" s="41" t="s">
        <v>390</v>
      </c>
      <c r="G2052" s="53">
        <f>(2501000*0.9072)/0.739</f>
        <v>3070239.7834912045</v>
      </c>
      <c r="I2052" s="46">
        <f>0.061*31.1/0.9072</f>
        <v>2.0911596119929454</v>
      </c>
      <c r="T2052" s="53">
        <f>126000*31.1/1000</f>
        <v>3918.6</v>
      </c>
      <c r="AM2052" s="53">
        <f>((17765000-2501000)*0.9072)/0.739</f>
        <v>18738160.757780787</v>
      </c>
      <c r="AO2052" s="53">
        <f t="shared" si="359"/>
        <v>0</v>
      </c>
      <c r="AP2052" s="53">
        <f t="shared" si="359"/>
        <v>6420361.434370772</v>
      </c>
      <c r="AQ2052" s="53">
        <f t="shared" si="359"/>
        <v>0</v>
      </c>
      <c r="AR2052" s="53">
        <f t="shared" si="359"/>
        <v>0</v>
      </c>
      <c r="AS2052" s="53">
        <f t="shared" si="359"/>
        <v>0</v>
      </c>
      <c r="AT2052" s="53">
        <f t="shared" si="359"/>
        <v>0</v>
      </c>
      <c r="AU2052" s="53">
        <f t="shared" si="359"/>
        <v>0</v>
      </c>
      <c r="AV2052" s="53">
        <f t="shared" si="359"/>
        <v>0</v>
      </c>
      <c r="AW2052" s="53">
        <f t="shared" si="359"/>
        <v>0</v>
      </c>
      <c r="AX2052" s="53">
        <f t="shared" si="360"/>
        <v>307023978.34912044</v>
      </c>
      <c r="AY2052" s="41" t="s">
        <v>557</v>
      </c>
    </row>
    <row r="2053" spans="1:51" x14ac:dyDescent="0.2">
      <c r="A2053" s="41" t="s">
        <v>457</v>
      </c>
      <c r="B2053" s="41">
        <v>2012</v>
      </c>
      <c r="C2053" s="41" t="s">
        <v>87</v>
      </c>
      <c r="D2053" s="41" t="s">
        <v>401</v>
      </c>
      <c r="E2053" s="41">
        <v>100</v>
      </c>
      <c r="F2053" s="41" t="s">
        <v>390</v>
      </c>
      <c r="G2053" s="53">
        <f>(2269000*0.9072)/0.739</f>
        <v>2785435.4533152911</v>
      </c>
      <c r="I2053" s="46">
        <f>0.071*31.1/0.9072</f>
        <v>2.4339726631393299</v>
      </c>
      <c r="T2053" s="53">
        <f>143000*31.1/1000</f>
        <v>4447.3</v>
      </c>
      <c r="AM2053" s="53">
        <f>((14981000-2269000)*0.9072)/0.739</f>
        <v>15605313.125845738</v>
      </c>
      <c r="AO2053" s="53">
        <f t="shared" si="359"/>
        <v>0</v>
      </c>
      <c r="AP2053" s="53">
        <f t="shared" si="359"/>
        <v>6779673.7483085254</v>
      </c>
      <c r="AQ2053" s="53">
        <f t="shared" si="359"/>
        <v>0</v>
      </c>
      <c r="AR2053" s="53">
        <f t="shared" si="359"/>
        <v>0</v>
      </c>
      <c r="AS2053" s="53">
        <f t="shared" si="359"/>
        <v>0</v>
      </c>
      <c r="AT2053" s="53">
        <f t="shared" si="359"/>
        <v>0</v>
      </c>
      <c r="AU2053" s="53">
        <f t="shared" si="359"/>
        <v>0</v>
      </c>
      <c r="AV2053" s="53">
        <f t="shared" si="359"/>
        <v>0</v>
      </c>
      <c r="AW2053" s="53">
        <f t="shared" si="359"/>
        <v>0</v>
      </c>
      <c r="AX2053" s="53">
        <f t="shared" si="360"/>
        <v>278543545.33152908</v>
      </c>
      <c r="AY2053" s="41" t="s">
        <v>557</v>
      </c>
    </row>
    <row r="2054" spans="1:51" x14ac:dyDescent="0.2">
      <c r="A2054" s="41" t="s">
        <v>457</v>
      </c>
      <c r="B2054" s="41">
        <v>2013</v>
      </c>
      <c r="C2054" s="41" t="s">
        <v>87</v>
      </c>
      <c r="D2054" s="41" t="s">
        <v>401</v>
      </c>
      <c r="E2054" s="41">
        <v>100</v>
      </c>
      <c r="F2054" s="41" t="s">
        <v>390</v>
      </c>
      <c r="G2054" s="53">
        <f>1953000/0.739</f>
        <v>2642760.4871447901</v>
      </c>
      <c r="I2054" s="46">
        <v>3.5</v>
      </c>
      <c r="T2054" s="53">
        <f>180000*31.1/1000</f>
        <v>5598</v>
      </c>
      <c r="AM2054" s="53">
        <f>(15539000-1953000)/0.739</f>
        <v>18384303.112313937</v>
      </c>
      <c r="AO2054" s="53">
        <f t="shared" si="359"/>
        <v>0</v>
      </c>
      <c r="AP2054" s="53">
        <f t="shared" si="359"/>
        <v>9249661.7050067652</v>
      </c>
      <c r="AQ2054" s="53">
        <f t="shared" si="359"/>
        <v>0</v>
      </c>
      <c r="AR2054" s="53">
        <f t="shared" si="359"/>
        <v>0</v>
      </c>
      <c r="AS2054" s="53">
        <f t="shared" si="359"/>
        <v>0</v>
      </c>
      <c r="AT2054" s="53">
        <f t="shared" si="359"/>
        <v>0</v>
      </c>
      <c r="AU2054" s="53">
        <f t="shared" si="359"/>
        <v>0</v>
      </c>
      <c r="AV2054" s="53">
        <f t="shared" si="359"/>
        <v>0</v>
      </c>
      <c r="AW2054" s="53">
        <f t="shared" si="359"/>
        <v>0</v>
      </c>
      <c r="AX2054" s="53">
        <f t="shared" si="360"/>
        <v>264276048.714479</v>
      </c>
      <c r="AY2054" s="41" t="s">
        <v>557</v>
      </c>
    </row>
    <row r="2055" spans="1:51" x14ac:dyDescent="0.2">
      <c r="A2055" s="41" t="s">
        <v>457</v>
      </c>
      <c r="B2055" s="41">
        <v>2014</v>
      </c>
      <c r="C2055" s="41" t="s">
        <v>87</v>
      </c>
      <c r="D2055" s="41" t="s">
        <v>401</v>
      </c>
      <c r="E2055" s="41">
        <v>100</v>
      </c>
      <c r="F2055" s="41" t="s">
        <v>390</v>
      </c>
      <c r="G2055" s="53">
        <f>1837000/((59*0.739+306*0.639)/365)</f>
        <v>2803876.4714491814</v>
      </c>
      <c r="I2055" s="41">
        <v>3.51</v>
      </c>
      <c r="T2055" s="53">
        <f>184000*31.1/1000/((59*0.739+306*0.639)/365)</f>
        <v>8734.2965270663008</v>
      </c>
      <c r="AM2055" s="53">
        <f>(10626000-1837000)/((59*0.739+306*0.639)/365)</f>
        <v>13414953.896334706</v>
      </c>
      <c r="AO2055" s="53">
        <f t="shared" si="359"/>
        <v>0</v>
      </c>
      <c r="AP2055" s="53">
        <f t="shared" si="359"/>
        <v>9841606.4147866257</v>
      </c>
      <c r="AQ2055" s="53">
        <f t="shared" si="359"/>
        <v>0</v>
      </c>
      <c r="AR2055" s="53">
        <f t="shared" si="359"/>
        <v>0</v>
      </c>
      <c r="AS2055" s="53">
        <f t="shared" si="359"/>
        <v>0</v>
      </c>
      <c r="AT2055" s="53">
        <f t="shared" si="359"/>
        <v>0</v>
      </c>
      <c r="AU2055" s="53">
        <f t="shared" si="359"/>
        <v>0</v>
      </c>
      <c r="AV2055" s="53">
        <f t="shared" si="359"/>
        <v>0</v>
      </c>
      <c r="AW2055" s="53">
        <f t="shared" si="359"/>
        <v>0</v>
      </c>
      <c r="AX2055" s="53">
        <f t="shared" si="360"/>
        <v>280387647.14491814</v>
      </c>
      <c r="AY2055" s="41" t="s">
        <v>557</v>
      </c>
    </row>
    <row r="2056" spans="1:51" x14ac:dyDescent="0.2">
      <c r="A2056" s="41" t="s">
        <v>457</v>
      </c>
      <c r="B2056" s="41">
        <v>2015</v>
      </c>
      <c r="C2056" s="41" t="s">
        <v>87</v>
      </c>
      <c r="D2056" s="41" t="s">
        <v>401</v>
      </c>
      <c r="E2056" s="41">
        <v>100</v>
      </c>
      <c r="F2056" s="41" t="s">
        <v>390</v>
      </c>
      <c r="G2056" s="53">
        <f>1810000/0.639</f>
        <v>2832550.860719875</v>
      </c>
      <c r="I2056" s="41">
        <v>3.57</v>
      </c>
      <c r="T2056" s="53">
        <f>184000*31.1/1000/0.639</f>
        <v>8955.2425665101709</v>
      </c>
      <c r="AM2056" s="53">
        <f>(9655000-1810000)/0.639</f>
        <v>12276995.305164319</v>
      </c>
      <c r="AO2056" s="53">
        <f t="shared" si="359"/>
        <v>0</v>
      </c>
      <c r="AP2056" s="53">
        <f t="shared" si="359"/>
        <v>10112206.572769953</v>
      </c>
      <c r="AQ2056" s="53">
        <f t="shared" si="359"/>
        <v>0</v>
      </c>
      <c r="AR2056" s="53">
        <f t="shared" si="359"/>
        <v>0</v>
      </c>
      <c r="AS2056" s="53">
        <f t="shared" si="359"/>
        <v>0</v>
      </c>
      <c r="AT2056" s="53">
        <f t="shared" si="359"/>
        <v>0</v>
      </c>
      <c r="AU2056" s="53">
        <f t="shared" si="359"/>
        <v>0</v>
      </c>
      <c r="AV2056" s="53">
        <f t="shared" si="359"/>
        <v>0</v>
      </c>
      <c r="AW2056" s="53">
        <f t="shared" si="359"/>
        <v>0</v>
      </c>
      <c r="AX2056" s="53">
        <f t="shared" si="360"/>
        <v>283255086.07198751</v>
      </c>
      <c r="AY2056" s="41" t="s">
        <v>557</v>
      </c>
    </row>
    <row r="2057" spans="1:51" x14ac:dyDescent="0.2">
      <c r="A2057" s="41" t="s">
        <v>457</v>
      </c>
      <c r="B2057" s="41">
        <v>2016</v>
      </c>
      <c r="C2057" s="41" t="s">
        <v>87</v>
      </c>
      <c r="D2057" s="41" t="s">
        <v>401</v>
      </c>
      <c r="E2057" s="41">
        <v>100</v>
      </c>
      <c r="F2057" s="41" t="s">
        <v>390</v>
      </c>
      <c r="G2057" s="53">
        <f>1808000/0.639</f>
        <v>2829420.9702660404</v>
      </c>
      <c r="I2057" s="46">
        <v>4.5</v>
      </c>
      <c r="T2057" s="53">
        <f>242000*31.1/1000/0.639</f>
        <v>11778.090766823161</v>
      </c>
      <c r="AM2057" s="53">
        <f>(9940000-1808000)/0.639</f>
        <v>12726134.585289514</v>
      </c>
      <c r="AO2057" s="53">
        <f t="shared" si="359"/>
        <v>0</v>
      </c>
      <c r="AP2057" s="53">
        <f t="shared" si="359"/>
        <v>12732394.366197182</v>
      </c>
      <c r="AQ2057" s="53">
        <f t="shared" si="359"/>
        <v>0</v>
      </c>
      <c r="AR2057" s="53">
        <f t="shared" si="359"/>
        <v>0</v>
      </c>
      <c r="AS2057" s="53">
        <f t="shared" si="359"/>
        <v>0</v>
      </c>
      <c r="AT2057" s="53">
        <f t="shared" si="359"/>
        <v>0</v>
      </c>
      <c r="AU2057" s="53">
        <f t="shared" si="359"/>
        <v>0</v>
      </c>
      <c r="AV2057" s="53">
        <f t="shared" si="359"/>
        <v>0</v>
      </c>
      <c r="AW2057" s="53">
        <f t="shared" si="359"/>
        <v>0</v>
      </c>
      <c r="AX2057" s="53">
        <f t="shared" si="360"/>
        <v>282942097.02660406</v>
      </c>
      <c r="AY2057" s="41" t="s">
        <v>557</v>
      </c>
    </row>
    <row r="2058" spans="1:51" x14ac:dyDescent="0.2">
      <c r="A2058" s="41" t="s">
        <v>457</v>
      </c>
      <c r="B2058" s="41" t="s">
        <v>558</v>
      </c>
      <c r="C2058" s="41" t="s">
        <v>87</v>
      </c>
      <c r="D2058" s="41" t="s">
        <v>401</v>
      </c>
      <c r="E2058" s="41">
        <v>100</v>
      </c>
      <c r="F2058" s="41" t="s">
        <v>390</v>
      </c>
      <c r="G2058" s="53">
        <v>1419000</v>
      </c>
      <c r="I2058" s="59">
        <v>4.3</v>
      </c>
      <c r="T2058" s="53">
        <f>179578*31.1/1000/0.639</f>
        <v>8740.0247261345849</v>
      </c>
      <c r="AM2058" s="53">
        <f>7750000-1536000</f>
        <v>6214000</v>
      </c>
      <c r="AO2058" s="53">
        <f t="shared" si="359"/>
        <v>0</v>
      </c>
      <c r="AP2058" s="53">
        <f t="shared" si="359"/>
        <v>6101700</v>
      </c>
      <c r="AQ2058" s="53">
        <f t="shared" si="359"/>
        <v>0</v>
      </c>
      <c r="AR2058" s="53">
        <f t="shared" si="359"/>
        <v>0</v>
      </c>
      <c r="AS2058" s="53">
        <f t="shared" si="359"/>
        <v>0</v>
      </c>
      <c r="AT2058" s="53">
        <f t="shared" si="359"/>
        <v>0</v>
      </c>
      <c r="AU2058" s="53">
        <f t="shared" si="359"/>
        <v>0</v>
      </c>
      <c r="AV2058" s="53">
        <f t="shared" si="359"/>
        <v>0</v>
      </c>
      <c r="AW2058" s="53">
        <f t="shared" si="359"/>
        <v>0</v>
      </c>
      <c r="AX2058" s="53">
        <f t="shared" si="360"/>
        <v>141900000</v>
      </c>
      <c r="AY2058" s="41" t="s">
        <v>557</v>
      </c>
    </row>
    <row r="2059" spans="1:51" x14ac:dyDescent="0.2">
      <c r="A2059" s="41" t="s">
        <v>457</v>
      </c>
      <c r="B2059" s="60" t="s">
        <v>559</v>
      </c>
      <c r="C2059" s="60" t="s">
        <v>87</v>
      </c>
      <c r="D2059" s="60" t="s">
        <v>401</v>
      </c>
      <c r="E2059" s="60">
        <v>100</v>
      </c>
      <c r="F2059" s="60" t="s">
        <v>390</v>
      </c>
      <c r="G2059" s="79">
        <f>SUM(G2043:G2058)</f>
        <v>43288543.69564797</v>
      </c>
      <c r="I2059" s="80">
        <f>AP2059/$G2059</f>
        <v>3.3180085117156772</v>
      </c>
      <c r="T2059" s="79">
        <f>SUM(T2043:T2058)</f>
        <v>111027.14390369107</v>
      </c>
      <c r="AM2059" s="79">
        <f>SUM(AM2043:AM2058)</f>
        <v>177318428.50343263</v>
      </c>
      <c r="AO2059" s="79">
        <f>SUM(AO2043:AO2058)</f>
        <v>0</v>
      </c>
      <c r="AP2059" s="79">
        <f t="shared" ref="AP2059:AX2059" si="361">SUM(AP2043:AP2058)</f>
        <v>143631756.44193599</v>
      </c>
      <c r="AQ2059" s="79">
        <f t="shared" si="361"/>
        <v>0</v>
      </c>
      <c r="AR2059" s="79">
        <f t="shared" si="361"/>
        <v>0</v>
      </c>
      <c r="AS2059" s="79">
        <f t="shared" si="361"/>
        <v>0</v>
      </c>
      <c r="AT2059" s="79">
        <f t="shared" si="361"/>
        <v>0</v>
      </c>
      <c r="AU2059" s="79">
        <f t="shared" si="361"/>
        <v>0</v>
      </c>
      <c r="AV2059" s="79">
        <f t="shared" si="361"/>
        <v>0</v>
      </c>
      <c r="AW2059" s="79">
        <f t="shared" si="361"/>
        <v>0</v>
      </c>
      <c r="AX2059" s="79">
        <f t="shared" si="361"/>
        <v>4328854369.5647974</v>
      </c>
      <c r="AY2059" s="41" t="s">
        <v>557</v>
      </c>
    </row>
    <row r="2060" spans="1:51" x14ac:dyDescent="0.2">
      <c r="A2060" s="41" t="s">
        <v>457</v>
      </c>
      <c r="B2060" s="43" t="s">
        <v>560</v>
      </c>
      <c r="G2060" s="53">
        <f>STDEV(G2043:G2058)</f>
        <v>744876.92360046483</v>
      </c>
      <c r="I2060" s="46">
        <f>STDEV(I2043:I2058)</f>
        <v>0.65735747466988004</v>
      </c>
      <c r="T2060" s="53">
        <f>STDEV(T2043:T2058)</f>
        <v>2575.2551948463997</v>
      </c>
      <c r="AM2060" s="53">
        <f>STDEV(AM2043:AM2058)</f>
        <v>4285896.0235348204</v>
      </c>
      <c r="AY2060" s="41" t="s">
        <v>557</v>
      </c>
    </row>
    <row r="2061" spans="1:51" x14ac:dyDescent="0.2">
      <c r="A2061" s="41" t="s">
        <v>457</v>
      </c>
      <c r="B2061" s="81" t="s">
        <v>249</v>
      </c>
      <c r="G2061" s="41">
        <f>COUNT(G2043:G2058)</f>
        <v>16</v>
      </c>
      <c r="I2061" s="41">
        <f>COUNT(I2043:I2058)</f>
        <v>16</v>
      </c>
      <c r="T2061" s="41">
        <f>COUNT(T2043:T2058)</f>
        <v>16</v>
      </c>
      <c r="AM2061" s="41">
        <f>COUNT(AM2043:AM2058)</f>
        <v>12</v>
      </c>
      <c r="AY2061" s="41" t="s">
        <v>557</v>
      </c>
    </row>
    <row r="2062" spans="1:51" x14ac:dyDescent="0.2">
      <c r="A2062" s="82"/>
      <c r="B2062" s="82"/>
      <c r="C2062" s="82"/>
      <c r="D2062" s="82"/>
      <c r="E2062" s="82"/>
      <c r="F2062" s="82"/>
      <c r="G2062" s="82"/>
      <c r="H2062" s="82"/>
      <c r="I2062" s="82"/>
      <c r="J2062" s="82"/>
      <c r="K2062" s="82"/>
      <c r="L2062" s="82"/>
      <c r="M2062" s="82"/>
      <c r="N2062" s="82"/>
      <c r="O2062" s="82"/>
      <c r="P2062" s="82"/>
      <c r="Q2062" s="82"/>
      <c r="R2062" s="82"/>
      <c r="S2062" s="82"/>
      <c r="T2062" s="82"/>
      <c r="U2062" s="82"/>
      <c r="V2062" s="82"/>
      <c r="W2062" s="82"/>
      <c r="X2062" s="82"/>
      <c r="Y2062" s="82"/>
      <c r="Z2062" s="82"/>
      <c r="AA2062" s="82"/>
      <c r="AB2062" s="82"/>
      <c r="AC2062" s="82"/>
      <c r="AD2062" s="82"/>
      <c r="AE2062" s="82"/>
      <c r="AF2062" s="82"/>
      <c r="AG2062" s="82"/>
      <c r="AH2062" s="82"/>
      <c r="AI2062" s="82"/>
      <c r="AJ2062" s="82"/>
      <c r="AK2062" s="82"/>
      <c r="AL2062" s="82"/>
      <c r="AM2062" s="82"/>
      <c r="AN2062" s="82"/>
      <c r="AO2062" s="82"/>
      <c r="AP2062" s="82"/>
      <c r="AQ2062" s="82"/>
      <c r="AR2062" s="82"/>
      <c r="AS2062" s="82"/>
      <c r="AT2062" s="82"/>
      <c r="AU2062" s="82"/>
      <c r="AV2062" s="82"/>
      <c r="AW2062" s="82"/>
      <c r="AX2062" s="82"/>
      <c r="AY2062" s="41" t="s">
        <v>557</v>
      </c>
    </row>
    <row r="2063" spans="1:51" x14ac:dyDescent="0.2">
      <c r="A2063" s="41" t="s">
        <v>100</v>
      </c>
      <c r="B2063" s="41">
        <v>1994</v>
      </c>
      <c r="C2063" s="41" t="s">
        <v>101</v>
      </c>
      <c r="D2063" s="41" t="s">
        <v>88</v>
      </c>
      <c r="E2063" s="41">
        <v>100</v>
      </c>
      <c r="F2063" s="41" t="s">
        <v>570</v>
      </c>
      <c r="G2063" s="53">
        <v>190466.25</v>
      </c>
      <c r="I2063" s="46">
        <v>0.74600158820788465</v>
      </c>
      <c r="R2063" s="53"/>
      <c r="S2063" s="53"/>
      <c r="T2063" s="53">
        <v>142.08812499999999</v>
      </c>
      <c r="AH2063" s="53">
        <f t="shared" ref="AH2063:AH2084" si="362">G2063-R2063</f>
        <v>190466.25</v>
      </c>
      <c r="AO2063" s="53">
        <f t="shared" ref="AO2063:AW2084" si="363">$G2063*H2063</f>
        <v>0</v>
      </c>
      <c r="AP2063" s="53">
        <f t="shared" si="363"/>
        <v>142088.125</v>
      </c>
      <c r="AQ2063" s="53">
        <f t="shared" si="363"/>
        <v>0</v>
      </c>
      <c r="AR2063" s="53">
        <f t="shared" si="363"/>
        <v>0</v>
      </c>
      <c r="AS2063" s="53">
        <f t="shared" si="363"/>
        <v>0</v>
      </c>
      <c r="AT2063" s="53">
        <f t="shared" si="363"/>
        <v>0</v>
      </c>
      <c r="AU2063" s="53">
        <f t="shared" si="363"/>
        <v>0</v>
      </c>
      <c r="AV2063" s="53">
        <f t="shared" si="363"/>
        <v>0</v>
      </c>
      <c r="AW2063" s="53">
        <f t="shared" si="363"/>
        <v>0</v>
      </c>
      <c r="AX2063" s="53">
        <f t="shared" ref="AX2063:AX2084" si="364">$G2063*E2063</f>
        <v>19046625</v>
      </c>
      <c r="AY2063" s="41" t="s">
        <v>557</v>
      </c>
    </row>
    <row r="2064" spans="1:51" x14ac:dyDescent="0.2">
      <c r="A2064" s="41" t="s">
        <v>100</v>
      </c>
      <c r="B2064" s="41">
        <v>1995</v>
      </c>
      <c r="C2064" s="41" t="s">
        <v>101</v>
      </c>
      <c r="D2064" s="41" t="s">
        <v>88</v>
      </c>
      <c r="E2064" s="41">
        <v>100</v>
      </c>
      <c r="F2064" s="41" t="s">
        <v>570</v>
      </c>
      <c r="G2064" s="53">
        <v>1322087.5</v>
      </c>
      <c r="I2064" s="46">
        <v>1.4190788242079289</v>
      </c>
      <c r="R2064" s="53"/>
      <c r="S2064" s="53"/>
      <c r="T2064" s="53">
        <v>1876.146375</v>
      </c>
      <c r="AH2064" s="53">
        <f t="shared" si="362"/>
        <v>1322087.5</v>
      </c>
      <c r="AO2064" s="53">
        <f t="shared" si="363"/>
        <v>0</v>
      </c>
      <c r="AP2064" s="53">
        <f t="shared" si="363"/>
        <v>1876146.3750000002</v>
      </c>
      <c r="AQ2064" s="53">
        <f t="shared" si="363"/>
        <v>0</v>
      </c>
      <c r="AR2064" s="53">
        <f t="shared" si="363"/>
        <v>0</v>
      </c>
      <c r="AS2064" s="53">
        <f t="shared" si="363"/>
        <v>0</v>
      </c>
      <c r="AT2064" s="53">
        <f t="shared" si="363"/>
        <v>0</v>
      </c>
      <c r="AU2064" s="53">
        <f t="shared" si="363"/>
        <v>0</v>
      </c>
      <c r="AV2064" s="53">
        <f t="shared" si="363"/>
        <v>0</v>
      </c>
      <c r="AW2064" s="53">
        <f t="shared" si="363"/>
        <v>0</v>
      </c>
      <c r="AX2064" s="53">
        <f t="shared" si="364"/>
        <v>132208750</v>
      </c>
      <c r="AY2064" s="41" t="s">
        <v>557</v>
      </c>
    </row>
    <row r="2065" spans="1:51" x14ac:dyDescent="0.2">
      <c r="A2065" s="41" t="s">
        <v>100</v>
      </c>
      <c r="B2065" s="41">
        <v>1996</v>
      </c>
      <c r="C2065" s="41" t="s">
        <v>101</v>
      </c>
      <c r="D2065" s="41" t="s">
        <v>88</v>
      </c>
      <c r="E2065" s="41">
        <v>100</v>
      </c>
      <c r="F2065" s="41" t="s">
        <v>570</v>
      </c>
      <c r="G2065" s="53">
        <v>2647000</v>
      </c>
      <c r="H2065" s="46">
        <v>0.93</v>
      </c>
      <c r="I2065" s="46">
        <v>0.92</v>
      </c>
      <c r="R2065" s="76">
        <v>40866.632988844663</v>
      </c>
      <c r="S2065" s="53">
        <v>14354</v>
      </c>
      <c r="T2065" s="53">
        <v>1633.4342000000001</v>
      </c>
      <c r="AH2065" s="53">
        <f t="shared" si="362"/>
        <v>2606133.3670111555</v>
      </c>
      <c r="AO2065" s="53">
        <f t="shared" si="363"/>
        <v>2461710</v>
      </c>
      <c r="AP2065" s="53">
        <f t="shared" si="363"/>
        <v>2435240</v>
      </c>
      <c r="AQ2065" s="53">
        <f t="shared" si="363"/>
        <v>0</v>
      </c>
      <c r="AR2065" s="53">
        <f t="shared" si="363"/>
        <v>0</v>
      </c>
      <c r="AS2065" s="53">
        <f t="shared" si="363"/>
        <v>0</v>
      </c>
      <c r="AT2065" s="53">
        <f t="shared" si="363"/>
        <v>0</v>
      </c>
      <c r="AU2065" s="53">
        <f t="shared" si="363"/>
        <v>0</v>
      </c>
      <c r="AV2065" s="53">
        <f t="shared" si="363"/>
        <v>0</v>
      </c>
      <c r="AW2065" s="53">
        <f t="shared" si="363"/>
        <v>0</v>
      </c>
      <c r="AX2065" s="53">
        <f t="shared" si="364"/>
        <v>264700000</v>
      </c>
      <c r="AY2065" s="41" t="s">
        <v>557</v>
      </c>
    </row>
    <row r="2066" spans="1:51" x14ac:dyDescent="0.2">
      <c r="A2066" s="41" t="s">
        <v>100</v>
      </c>
      <c r="B2066" s="41">
        <v>1997</v>
      </c>
      <c r="C2066" s="41" t="s">
        <v>101</v>
      </c>
      <c r="D2066" s="41" t="s">
        <v>88</v>
      </c>
      <c r="E2066" s="41">
        <v>100</v>
      </c>
      <c r="F2066" s="41" t="s">
        <v>570</v>
      </c>
      <c r="G2066" s="53">
        <v>4452000</v>
      </c>
      <c r="H2066" s="46">
        <v>1.24</v>
      </c>
      <c r="I2066" s="46">
        <v>0.77</v>
      </c>
      <c r="R2066" s="76">
        <v>133492.73286755948</v>
      </c>
      <c r="S2066" s="53">
        <v>46888</v>
      </c>
      <c r="T2066" s="53">
        <v>2513.7819</v>
      </c>
      <c r="AH2066" s="53">
        <f t="shared" si="362"/>
        <v>4318507.2671324406</v>
      </c>
      <c r="AO2066" s="53">
        <f t="shared" si="363"/>
        <v>5520480</v>
      </c>
      <c r="AP2066" s="53">
        <f t="shared" si="363"/>
        <v>3428040</v>
      </c>
      <c r="AQ2066" s="53">
        <f t="shared" si="363"/>
        <v>0</v>
      </c>
      <c r="AR2066" s="53">
        <f t="shared" si="363"/>
        <v>0</v>
      </c>
      <c r="AS2066" s="53">
        <f t="shared" si="363"/>
        <v>0</v>
      </c>
      <c r="AT2066" s="53">
        <f t="shared" si="363"/>
        <v>0</v>
      </c>
      <c r="AU2066" s="53">
        <f t="shared" si="363"/>
        <v>0</v>
      </c>
      <c r="AV2066" s="53">
        <f t="shared" si="363"/>
        <v>0</v>
      </c>
      <c r="AW2066" s="53">
        <f t="shared" si="363"/>
        <v>0</v>
      </c>
      <c r="AX2066" s="53">
        <f t="shared" si="364"/>
        <v>445200000</v>
      </c>
      <c r="AY2066" s="41" t="s">
        <v>557</v>
      </c>
    </row>
    <row r="2067" spans="1:51" x14ac:dyDescent="0.2">
      <c r="A2067" s="41" t="s">
        <v>100</v>
      </c>
      <c r="B2067" s="41">
        <v>1998</v>
      </c>
      <c r="C2067" s="41" t="s">
        <v>101</v>
      </c>
      <c r="D2067" s="41" t="s">
        <v>88</v>
      </c>
      <c r="E2067" s="41">
        <v>50</v>
      </c>
      <c r="F2067" s="41" t="s">
        <v>570</v>
      </c>
      <c r="G2067" s="53">
        <v>4917000</v>
      </c>
      <c r="H2067" s="46">
        <v>1.73</v>
      </c>
      <c r="I2067" s="46">
        <v>0.88</v>
      </c>
      <c r="R2067" s="76">
        <v>220011.89894656188</v>
      </c>
      <c r="S2067" s="53">
        <v>77277</v>
      </c>
      <c r="T2067" s="53">
        <v>3372.6084000000005</v>
      </c>
      <c r="AH2067" s="53">
        <f t="shared" si="362"/>
        <v>4696988.1010534381</v>
      </c>
      <c r="AO2067" s="53">
        <f t="shared" si="363"/>
        <v>8506410</v>
      </c>
      <c r="AP2067" s="53">
        <f t="shared" si="363"/>
        <v>4326960</v>
      </c>
      <c r="AQ2067" s="53">
        <f t="shared" si="363"/>
        <v>0</v>
      </c>
      <c r="AR2067" s="53">
        <f t="shared" si="363"/>
        <v>0</v>
      </c>
      <c r="AS2067" s="53">
        <f t="shared" si="363"/>
        <v>0</v>
      </c>
      <c r="AT2067" s="53">
        <f t="shared" si="363"/>
        <v>0</v>
      </c>
      <c r="AU2067" s="53">
        <f t="shared" si="363"/>
        <v>0</v>
      </c>
      <c r="AV2067" s="53">
        <f t="shared" si="363"/>
        <v>0</v>
      </c>
      <c r="AW2067" s="53">
        <f t="shared" si="363"/>
        <v>0</v>
      </c>
      <c r="AX2067" s="53">
        <f t="shared" si="364"/>
        <v>245850000</v>
      </c>
      <c r="AY2067" s="41" t="s">
        <v>557</v>
      </c>
    </row>
    <row r="2068" spans="1:51" x14ac:dyDescent="0.2">
      <c r="A2068" s="41" t="s">
        <v>100</v>
      </c>
      <c r="B2068" s="41">
        <v>1999</v>
      </c>
      <c r="C2068" s="41" t="s">
        <v>101</v>
      </c>
      <c r="D2068" s="41" t="s">
        <v>88</v>
      </c>
      <c r="E2068" s="41">
        <v>0</v>
      </c>
      <c r="F2068" s="41" t="s">
        <v>570</v>
      </c>
      <c r="G2068" s="53">
        <v>6326000</v>
      </c>
      <c r="H2068" s="46">
        <v>1.461798925071135</v>
      </c>
      <c r="I2068" s="46">
        <v>0.57073506165033194</v>
      </c>
      <c r="R2068" s="76">
        <v>235255.0334750748</v>
      </c>
      <c r="S2068" s="53">
        <v>82631</v>
      </c>
      <c r="T2068" s="53">
        <v>2762.2087000000001</v>
      </c>
      <c r="AH2068" s="53">
        <f t="shared" si="362"/>
        <v>6090744.9665249251</v>
      </c>
      <c r="AO2068" s="53">
        <f t="shared" si="363"/>
        <v>9247340</v>
      </c>
      <c r="AP2068" s="53">
        <f t="shared" si="363"/>
        <v>3610470</v>
      </c>
      <c r="AQ2068" s="53">
        <f t="shared" si="363"/>
        <v>0</v>
      </c>
      <c r="AR2068" s="53">
        <f t="shared" si="363"/>
        <v>0</v>
      </c>
      <c r="AS2068" s="53">
        <f t="shared" si="363"/>
        <v>0</v>
      </c>
      <c r="AT2068" s="53">
        <f t="shared" si="363"/>
        <v>0</v>
      </c>
      <c r="AU2068" s="53">
        <f t="shared" si="363"/>
        <v>0</v>
      </c>
      <c r="AV2068" s="53">
        <f t="shared" si="363"/>
        <v>0</v>
      </c>
      <c r="AW2068" s="53">
        <f t="shared" si="363"/>
        <v>0</v>
      </c>
      <c r="AX2068" s="53">
        <f t="shared" si="364"/>
        <v>0</v>
      </c>
      <c r="AY2068" s="41" t="s">
        <v>557</v>
      </c>
    </row>
    <row r="2069" spans="1:51" x14ac:dyDescent="0.2">
      <c r="A2069" s="41" t="s">
        <v>100</v>
      </c>
      <c r="B2069" s="41">
        <v>2000</v>
      </c>
      <c r="C2069" s="41" t="s">
        <v>101</v>
      </c>
      <c r="D2069" s="41" t="s">
        <v>88</v>
      </c>
      <c r="E2069" s="41">
        <v>0</v>
      </c>
      <c r="F2069" s="41" t="s">
        <v>570</v>
      </c>
      <c r="G2069" s="53">
        <v>6075000</v>
      </c>
      <c r="H2069" s="46">
        <v>1.1581152263374486</v>
      </c>
      <c r="I2069" s="46">
        <v>0.33733004115226339</v>
      </c>
      <c r="R2069" s="76">
        <v>179281.92461617233</v>
      </c>
      <c r="S2069" s="53">
        <v>62971</v>
      </c>
      <c r="T2069" s="53">
        <v>1183.6349000000002</v>
      </c>
      <c r="AH2069" s="53">
        <f t="shared" si="362"/>
        <v>5895718.075383828</v>
      </c>
      <c r="AO2069" s="53">
        <f t="shared" si="363"/>
        <v>7035550</v>
      </c>
      <c r="AP2069" s="53">
        <f t="shared" si="363"/>
        <v>2049280</v>
      </c>
      <c r="AQ2069" s="53">
        <f t="shared" si="363"/>
        <v>0</v>
      </c>
      <c r="AR2069" s="53">
        <f t="shared" si="363"/>
        <v>0</v>
      </c>
      <c r="AS2069" s="53">
        <f t="shared" si="363"/>
        <v>0</v>
      </c>
      <c r="AT2069" s="53">
        <f t="shared" si="363"/>
        <v>0</v>
      </c>
      <c r="AU2069" s="53">
        <f t="shared" si="363"/>
        <v>0</v>
      </c>
      <c r="AV2069" s="53">
        <f t="shared" si="363"/>
        <v>0</v>
      </c>
      <c r="AW2069" s="53">
        <f t="shared" si="363"/>
        <v>0</v>
      </c>
      <c r="AX2069" s="53">
        <f t="shared" si="364"/>
        <v>0</v>
      </c>
      <c r="AY2069" s="41" t="s">
        <v>557</v>
      </c>
    </row>
    <row r="2070" spans="1:51" x14ac:dyDescent="0.2">
      <c r="A2070" s="41" t="s">
        <v>100</v>
      </c>
      <c r="B2070" s="41">
        <v>2001</v>
      </c>
      <c r="C2070" s="41" t="s">
        <v>101</v>
      </c>
      <c r="D2070" s="41" t="s">
        <v>88</v>
      </c>
      <c r="E2070" s="41">
        <v>0</v>
      </c>
      <c r="F2070" s="41" t="s">
        <v>570</v>
      </c>
      <c r="G2070" s="53">
        <v>5425000</v>
      </c>
      <c r="H2070" s="41">
        <v>1.1599999999999999</v>
      </c>
      <c r="I2070" s="41">
        <v>0.32</v>
      </c>
      <c r="R2070" s="76">
        <v>156872.75168491996</v>
      </c>
      <c r="S2070" s="53">
        <v>55100</v>
      </c>
      <c r="T2070" s="53">
        <v>1290.6500000000001</v>
      </c>
      <c r="AH2070" s="53">
        <f t="shared" si="362"/>
        <v>5268127.2483150801</v>
      </c>
      <c r="AO2070" s="53">
        <f t="shared" si="363"/>
        <v>6293000</v>
      </c>
      <c r="AP2070" s="53">
        <f t="shared" si="363"/>
        <v>1736000</v>
      </c>
      <c r="AQ2070" s="53">
        <f t="shared" si="363"/>
        <v>0</v>
      </c>
      <c r="AR2070" s="53">
        <f t="shared" si="363"/>
        <v>0</v>
      </c>
      <c r="AS2070" s="53">
        <f t="shared" si="363"/>
        <v>0</v>
      </c>
      <c r="AT2070" s="53">
        <f t="shared" si="363"/>
        <v>0</v>
      </c>
      <c r="AU2070" s="53">
        <f t="shared" si="363"/>
        <v>0</v>
      </c>
      <c r="AV2070" s="53">
        <f t="shared" si="363"/>
        <v>0</v>
      </c>
      <c r="AW2070" s="53">
        <f t="shared" si="363"/>
        <v>0</v>
      </c>
      <c r="AX2070" s="53">
        <f t="shared" si="364"/>
        <v>0</v>
      </c>
      <c r="AY2070" s="41" t="s">
        <v>557</v>
      </c>
    </row>
    <row r="2071" spans="1:51" x14ac:dyDescent="0.2">
      <c r="A2071" s="41" t="s">
        <v>100</v>
      </c>
      <c r="B2071" s="41">
        <v>2002</v>
      </c>
      <c r="C2071" s="41" t="s">
        <v>101</v>
      </c>
      <c r="D2071" s="41" t="s">
        <v>88</v>
      </c>
      <c r="E2071" s="41">
        <v>0</v>
      </c>
      <c r="F2071" s="41" t="s">
        <v>570</v>
      </c>
      <c r="G2071" s="53">
        <v>5364000</v>
      </c>
      <c r="H2071" s="41">
        <v>0.86</v>
      </c>
      <c r="I2071" s="41">
        <v>0.35</v>
      </c>
      <c r="R2071" s="76">
        <v>109326.92676408215</v>
      </c>
      <c r="S2071" s="53">
        <v>38400</v>
      </c>
      <c r="T2071" s="53">
        <v>1268.8800000000001</v>
      </c>
      <c r="AH2071" s="53">
        <f t="shared" si="362"/>
        <v>5254673.0732359178</v>
      </c>
      <c r="AO2071" s="53">
        <f t="shared" si="363"/>
        <v>4613040</v>
      </c>
      <c r="AP2071" s="53">
        <f t="shared" si="363"/>
        <v>1877399.9999999998</v>
      </c>
      <c r="AQ2071" s="53">
        <f t="shared" si="363"/>
        <v>0</v>
      </c>
      <c r="AR2071" s="53">
        <f t="shared" si="363"/>
        <v>0</v>
      </c>
      <c r="AS2071" s="53">
        <f t="shared" si="363"/>
        <v>0</v>
      </c>
      <c r="AT2071" s="53">
        <f t="shared" si="363"/>
        <v>0</v>
      </c>
      <c r="AU2071" s="53">
        <f t="shared" si="363"/>
        <v>0</v>
      </c>
      <c r="AV2071" s="53">
        <f t="shared" si="363"/>
        <v>0</v>
      </c>
      <c r="AW2071" s="53">
        <f t="shared" si="363"/>
        <v>0</v>
      </c>
      <c r="AX2071" s="53">
        <f t="shared" si="364"/>
        <v>0</v>
      </c>
      <c r="AY2071" s="41" t="s">
        <v>557</v>
      </c>
    </row>
    <row r="2072" spans="1:51" x14ac:dyDescent="0.2">
      <c r="A2072" s="41" t="s">
        <v>100</v>
      </c>
      <c r="B2072" s="41">
        <v>2003</v>
      </c>
      <c r="C2072" s="41" t="s">
        <v>101</v>
      </c>
      <c r="D2072" s="41" t="s">
        <v>88</v>
      </c>
      <c r="E2072" s="41">
        <v>0</v>
      </c>
      <c r="F2072" s="41" t="s">
        <v>570</v>
      </c>
      <c r="G2072" s="53">
        <v>5168000</v>
      </c>
      <c r="H2072" s="41">
        <v>0.67</v>
      </c>
      <c r="I2072" s="41">
        <v>0.44</v>
      </c>
      <c r="R2072" s="53">
        <v>75100</v>
      </c>
      <c r="S2072" s="53">
        <v>27100</v>
      </c>
      <c r="T2072" s="53">
        <v>1511.46</v>
      </c>
      <c r="AH2072" s="53">
        <f t="shared" si="362"/>
        <v>5092900</v>
      </c>
      <c r="AO2072" s="53">
        <f t="shared" si="363"/>
        <v>3462560</v>
      </c>
      <c r="AP2072" s="53">
        <f t="shared" si="363"/>
        <v>2273920</v>
      </c>
      <c r="AQ2072" s="53">
        <f t="shared" si="363"/>
        <v>0</v>
      </c>
      <c r="AR2072" s="53">
        <f t="shared" si="363"/>
        <v>0</v>
      </c>
      <c r="AS2072" s="53">
        <f t="shared" si="363"/>
        <v>0</v>
      </c>
      <c r="AT2072" s="53">
        <f t="shared" si="363"/>
        <v>0</v>
      </c>
      <c r="AU2072" s="53">
        <f t="shared" si="363"/>
        <v>0</v>
      </c>
      <c r="AV2072" s="53">
        <f t="shared" si="363"/>
        <v>0</v>
      </c>
      <c r="AW2072" s="53">
        <f t="shared" si="363"/>
        <v>0</v>
      </c>
      <c r="AX2072" s="53">
        <f t="shared" si="364"/>
        <v>0</v>
      </c>
      <c r="AY2072" s="41" t="s">
        <v>557</v>
      </c>
    </row>
    <row r="2073" spans="1:51" x14ac:dyDescent="0.2">
      <c r="A2073" s="41" t="s">
        <v>100</v>
      </c>
      <c r="B2073" s="41">
        <v>2004</v>
      </c>
      <c r="C2073" s="41" t="s">
        <v>101</v>
      </c>
      <c r="D2073" s="41" t="s">
        <v>88</v>
      </c>
      <c r="E2073" s="41">
        <v>0</v>
      </c>
      <c r="F2073" s="41" t="s">
        <v>570</v>
      </c>
      <c r="G2073" s="53">
        <v>5008000</v>
      </c>
      <c r="H2073" s="41">
        <v>0.79</v>
      </c>
      <c r="I2073" s="41">
        <v>0.66</v>
      </c>
      <c r="R2073" s="53">
        <v>83100</v>
      </c>
      <c r="S2073" s="53">
        <v>30000</v>
      </c>
      <c r="T2073" s="53">
        <v>2469.34</v>
      </c>
      <c r="AH2073" s="53">
        <f t="shared" si="362"/>
        <v>4924900</v>
      </c>
      <c r="AO2073" s="53">
        <f t="shared" si="363"/>
        <v>3956320</v>
      </c>
      <c r="AP2073" s="53">
        <f t="shared" si="363"/>
        <v>3305280</v>
      </c>
      <c r="AQ2073" s="53">
        <f t="shared" si="363"/>
        <v>0</v>
      </c>
      <c r="AR2073" s="53">
        <f t="shared" si="363"/>
        <v>0</v>
      </c>
      <c r="AS2073" s="53">
        <f t="shared" si="363"/>
        <v>0</v>
      </c>
      <c r="AT2073" s="53">
        <f t="shared" si="363"/>
        <v>0</v>
      </c>
      <c r="AU2073" s="53">
        <f t="shared" si="363"/>
        <v>0</v>
      </c>
      <c r="AV2073" s="53">
        <f t="shared" si="363"/>
        <v>0</v>
      </c>
      <c r="AW2073" s="53">
        <f t="shared" si="363"/>
        <v>0</v>
      </c>
      <c r="AX2073" s="53">
        <f t="shared" si="364"/>
        <v>0</v>
      </c>
      <c r="AY2073" s="41" t="s">
        <v>557</v>
      </c>
    </row>
    <row r="2074" spans="1:51" x14ac:dyDescent="0.2">
      <c r="A2074" s="41" t="s">
        <v>100</v>
      </c>
      <c r="B2074" s="41">
        <v>2005</v>
      </c>
      <c r="C2074" s="41" t="s">
        <v>101</v>
      </c>
      <c r="D2074" s="41" t="s">
        <v>88</v>
      </c>
      <c r="E2074" s="41">
        <v>0</v>
      </c>
      <c r="F2074" s="41" t="s">
        <v>570</v>
      </c>
      <c r="G2074" s="53">
        <v>5453000</v>
      </c>
      <c r="H2074" s="41">
        <v>1.1200000000000001</v>
      </c>
      <c r="I2074" s="41">
        <v>0.46</v>
      </c>
      <c r="R2074" s="53">
        <v>147200</v>
      </c>
      <c r="S2074" s="53">
        <v>54000</v>
      </c>
      <c r="T2074" s="53">
        <v>1772.7</v>
      </c>
      <c r="AH2074" s="53">
        <f t="shared" si="362"/>
        <v>5305800</v>
      </c>
      <c r="AO2074" s="53">
        <f t="shared" si="363"/>
        <v>6107360.0000000009</v>
      </c>
      <c r="AP2074" s="53">
        <f t="shared" si="363"/>
        <v>2508380</v>
      </c>
      <c r="AQ2074" s="53">
        <f t="shared" si="363"/>
        <v>0</v>
      </c>
      <c r="AR2074" s="53">
        <f t="shared" si="363"/>
        <v>0</v>
      </c>
      <c r="AS2074" s="53">
        <f t="shared" si="363"/>
        <v>0</v>
      </c>
      <c r="AT2074" s="53">
        <f t="shared" si="363"/>
        <v>0</v>
      </c>
      <c r="AU2074" s="53">
        <f t="shared" si="363"/>
        <v>0</v>
      </c>
      <c r="AV2074" s="53">
        <f t="shared" si="363"/>
        <v>0</v>
      </c>
      <c r="AW2074" s="53">
        <f t="shared" si="363"/>
        <v>0</v>
      </c>
      <c r="AX2074" s="53">
        <f t="shared" si="364"/>
        <v>0</v>
      </c>
      <c r="AY2074" s="41" t="s">
        <v>557</v>
      </c>
    </row>
    <row r="2075" spans="1:51" x14ac:dyDescent="0.2">
      <c r="A2075" s="41" t="s">
        <v>100</v>
      </c>
      <c r="B2075" s="41">
        <v>2006</v>
      </c>
      <c r="C2075" s="41" t="s">
        <v>101</v>
      </c>
      <c r="D2075" s="41" t="s">
        <v>88</v>
      </c>
      <c r="E2075" s="41">
        <v>0</v>
      </c>
      <c r="F2075" s="41" t="s">
        <v>570</v>
      </c>
      <c r="G2075" s="53">
        <v>5789000</v>
      </c>
      <c r="H2075" s="41">
        <v>1.53</v>
      </c>
      <c r="I2075" s="41">
        <v>0.64</v>
      </c>
      <c r="R2075" s="53">
        <v>205100</v>
      </c>
      <c r="S2075" s="53">
        <v>83300</v>
      </c>
      <c r="T2075" s="53">
        <v>2945.17</v>
      </c>
      <c r="AH2075" s="53">
        <f t="shared" si="362"/>
        <v>5583900</v>
      </c>
      <c r="AO2075" s="53">
        <f t="shared" si="363"/>
        <v>8857170</v>
      </c>
      <c r="AP2075" s="53">
        <f t="shared" si="363"/>
        <v>3704960</v>
      </c>
      <c r="AQ2075" s="53">
        <f t="shared" si="363"/>
        <v>0</v>
      </c>
      <c r="AR2075" s="53">
        <f t="shared" si="363"/>
        <v>0</v>
      </c>
      <c r="AS2075" s="53">
        <f t="shared" si="363"/>
        <v>0</v>
      </c>
      <c r="AT2075" s="53">
        <f t="shared" si="363"/>
        <v>0</v>
      </c>
      <c r="AU2075" s="53">
        <f t="shared" si="363"/>
        <v>0</v>
      </c>
      <c r="AV2075" s="53">
        <f t="shared" si="363"/>
        <v>0</v>
      </c>
      <c r="AW2075" s="53">
        <f t="shared" si="363"/>
        <v>0</v>
      </c>
      <c r="AX2075" s="53">
        <f t="shared" si="364"/>
        <v>0</v>
      </c>
      <c r="AY2075" s="41" t="s">
        <v>557</v>
      </c>
    </row>
    <row r="2076" spans="1:51" x14ac:dyDescent="0.2">
      <c r="A2076" s="41" t="s">
        <v>100</v>
      </c>
      <c r="B2076" s="41">
        <v>2007</v>
      </c>
      <c r="C2076" s="41" t="s">
        <v>101</v>
      </c>
      <c r="D2076" s="41" t="s">
        <v>88</v>
      </c>
      <c r="E2076" s="41">
        <v>0</v>
      </c>
      <c r="F2076" s="41" t="s">
        <v>570</v>
      </c>
      <c r="G2076" s="53">
        <v>5297000</v>
      </c>
      <c r="H2076" s="41">
        <v>0.91</v>
      </c>
      <c r="I2076" s="41">
        <v>0.62</v>
      </c>
      <c r="R2076" s="53">
        <v>126500</v>
      </c>
      <c r="S2076" s="53">
        <v>43300</v>
      </c>
      <c r="T2076" s="53">
        <v>2450.6799999999998</v>
      </c>
      <c r="AH2076" s="53">
        <f t="shared" si="362"/>
        <v>5170500</v>
      </c>
      <c r="AO2076" s="53">
        <f t="shared" si="363"/>
        <v>4820270</v>
      </c>
      <c r="AP2076" s="53">
        <f t="shared" si="363"/>
        <v>3284140</v>
      </c>
      <c r="AQ2076" s="53">
        <f t="shared" si="363"/>
        <v>0</v>
      </c>
      <c r="AR2076" s="53">
        <f t="shared" si="363"/>
        <v>0</v>
      </c>
      <c r="AS2076" s="53">
        <f t="shared" si="363"/>
        <v>0</v>
      </c>
      <c r="AT2076" s="53">
        <f t="shared" si="363"/>
        <v>0</v>
      </c>
      <c r="AU2076" s="53">
        <f t="shared" si="363"/>
        <v>0</v>
      </c>
      <c r="AV2076" s="53">
        <f t="shared" si="363"/>
        <v>0</v>
      </c>
      <c r="AW2076" s="53">
        <f t="shared" si="363"/>
        <v>0</v>
      </c>
      <c r="AX2076" s="53">
        <f t="shared" si="364"/>
        <v>0</v>
      </c>
      <c r="AY2076" s="41" t="s">
        <v>557</v>
      </c>
    </row>
    <row r="2077" spans="1:51" x14ac:dyDescent="0.2">
      <c r="A2077" s="41" t="s">
        <v>100</v>
      </c>
      <c r="B2077" s="41">
        <v>2008</v>
      </c>
      <c r="C2077" s="41" t="s">
        <v>101</v>
      </c>
      <c r="D2077" s="41" t="s">
        <v>88</v>
      </c>
      <c r="E2077" s="41">
        <v>0</v>
      </c>
      <c r="F2077" s="41" t="s">
        <v>570</v>
      </c>
      <c r="G2077" s="53">
        <v>5244000</v>
      </c>
      <c r="H2077" s="41">
        <v>0.54</v>
      </c>
      <c r="I2077" s="41">
        <v>0.26</v>
      </c>
      <c r="R2077" s="53">
        <v>76373</v>
      </c>
      <c r="S2077" s="53">
        <v>24800</v>
      </c>
      <c r="T2077" s="53">
        <v>1004.53</v>
      </c>
      <c r="AH2077" s="53">
        <f t="shared" si="362"/>
        <v>5167627</v>
      </c>
      <c r="AO2077" s="53">
        <f t="shared" si="363"/>
        <v>2831760</v>
      </c>
      <c r="AP2077" s="53">
        <f t="shared" si="363"/>
        <v>1363440</v>
      </c>
      <c r="AQ2077" s="53">
        <f t="shared" si="363"/>
        <v>0</v>
      </c>
      <c r="AR2077" s="53">
        <f t="shared" si="363"/>
        <v>0</v>
      </c>
      <c r="AS2077" s="53">
        <f t="shared" si="363"/>
        <v>0</v>
      </c>
      <c r="AT2077" s="53">
        <f t="shared" si="363"/>
        <v>0</v>
      </c>
      <c r="AU2077" s="53">
        <f t="shared" si="363"/>
        <v>0</v>
      </c>
      <c r="AV2077" s="53">
        <f t="shared" si="363"/>
        <v>0</v>
      </c>
      <c r="AW2077" s="53">
        <f t="shared" si="363"/>
        <v>0</v>
      </c>
      <c r="AX2077" s="53">
        <f t="shared" si="364"/>
        <v>0</v>
      </c>
      <c r="AY2077" s="41" t="s">
        <v>557</v>
      </c>
    </row>
    <row r="2078" spans="1:51" x14ac:dyDescent="0.2">
      <c r="A2078" s="41" t="s">
        <v>100</v>
      </c>
      <c r="B2078" s="41">
        <v>2009</v>
      </c>
      <c r="C2078" s="41" t="s">
        <v>101</v>
      </c>
      <c r="D2078" s="41" t="s">
        <v>88</v>
      </c>
      <c r="E2078" s="41">
        <v>0</v>
      </c>
      <c r="F2078" s="41" t="s">
        <v>570</v>
      </c>
      <c r="G2078" s="53">
        <v>5544000</v>
      </c>
      <c r="H2078" s="46">
        <v>0.7</v>
      </c>
      <c r="I2078" s="41">
        <v>0.27</v>
      </c>
      <c r="R2078" s="53">
        <v>98517</v>
      </c>
      <c r="S2078" s="53">
        <v>34300</v>
      </c>
      <c r="T2078" s="53">
        <v>836.59</v>
      </c>
      <c r="AH2078" s="53">
        <f t="shared" si="362"/>
        <v>5445483</v>
      </c>
      <c r="AO2078" s="53">
        <f t="shared" si="363"/>
        <v>3880799.9999999995</v>
      </c>
      <c r="AP2078" s="53">
        <f t="shared" si="363"/>
        <v>1496880</v>
      </c>
      <c r="AQ2078" s="53">
        <f t="shared" si="363"/>
        <v>0</v>
      </c>
      <c r="AR2078" s="53">
        <f t="shared" si="363"/>
        <v>0</v>
      </c>
      <c r="AS2078" s="53">
        <f t="shared" si="363"/>
        <v>0</v>
      </c>
      <c r="AT2078" s="53">
        <f t="shared" si="363"/>
        <v>0</v>
      </c>
      <c r="AU2078" s="53">
        <f t="shared" si="363"/>
        <v>0</v>
      </c>
      <c r="AV2078" s="53">
        <f t="shared" si="363"/>
        <v>0</v>
      </c>
      <c r="AW2078" s="53">
        <f t="shared" si="363"/>
        <v>0</v>
      </c>
      <c r="AX2078" s="53">
        <f t="shared" si="364"/>
        <v>0</v>
      </c>
      <c r="AY2078" s="41" t="s">
        <v>557</v>
      </c>
    </row>
    <row r="2079" spans="1:51" x14ac:dyDescent="0.2">
      <c r="A2079" s="41" t="s">
        <v>100</v>
      </c>
      <c r="B2079" s="41">
        <v>2010</v>
      </c>
      <c r="C2079" s="41" t="s">
        <v>101</v>
      </c>
      <c r="D2079" s="41" t="s">
        <v>88</v>
      </c>
      <c r="E2079" s="41">
        <v>25</v>
      </c>
      <c r="F2079" s="41" t="s">
        <v>570</v>
      </c>
      <c r="G2079" s="53">
        <v>5248000</v>
      </c>
      <c r="H2079" s="41">
        <v>0.82</v>
      </c>
      <c r="I2079" s="41">
        <v>0.51</v>
      </c>
      <c r="R2079" s="53">
        <v>116056</v>
      </c>
      <c r="S2079" s="53">
        <v>39000</v>
      </c>
      <c r="T2079" s="53">
        <v>2030.83</v>
      </c>
      <c r="AH2079" s="53">
        <f t="shared" si="362"/>
        <v>5131944</v>
      </c>
      <c r="AO2079" s="53">
        <f t="shared" si="363"/>
        <v>4303360</v>
      </c>
      <c r="AP2079" s="53">
        <f t="shared" si="363"/>
        <v>2676480</v>
      </c>
      <c r="AQ2079" s="53">
        <f t="shared" si="363"/>
        <v>0</v>
      </c>
      <c r="AR2079" s="53">
        <f t="shared" si="363"/>
        <v>0</v>
      </c>
      <c r="AS2079" s="53">
        <f t="shared" si="363"/>
        <v>0</v>
      </c>
      <c r="AT2079" s="53">
        <f t="shared" si="363"/>
        <v>0</v>
      </c>
      <c r="AU2079" s="53">
        <f t="shared" si="363"/>
        <v>0</v>
      </c>
      <c r="AV2079" s="53">
        <f t="shared" si="363"/>
        <v>0</v>
      </c>
      <c r="AW2079" s="53">
        <f t="shared" si="363"/>
        <v>0</v>
      </c>
      <c r="AX2079" s="53">
        <f t="shared" si="364"/>
        <v>131200000</v>
      </c>
      <c r="AY2079" s="41" t="s">
        <v>557</v>
      </c>
    </row>
    <row r="2080" spans="1:51" x14ac:dyDescent="0.2">
      <c r="A2080" s="41" t="s">
        <v>100</v>
      </c>
      <c r="B2080" s="41">
        <v>2011</v>
      </c>
      <c r="C2080" s="41" t="s">
        <v>101</v>
      </c>
      <c r="D2080" s="41" t="s">
        <v>88</v>
      </c>
      <c r="E2080" s="41">
        <v>25</v>
      </c>
      <c r="F2080" s="41" t="s">
        <v>570</v>
      </c>
      <c r="G2080" s="53">
        <v>5532000</v>
      </c>
      <c r="H2080" s="46">
        <v>1</v>
      </c>
      <c r="I2080" s="41">
        <v>0.56000000000000005</v>
      </c>
      <c r="R2080" s="53">
        <v>146625</v>
      </c>
      <c r="S2080" s="53">
        <v>50400</v>
      </c>
      <c r="T2080" s="53">
        <v>2363.7244000000001</v>
      </c>
      <c r="AH2080" s="53">
        <f t="shared" si="362"/>
        <v>5385375</v>
      </c>
      <c r="AO2080" s="53">
        <f t="shared" si="363"/>
        <v>5532000</v>
      </c>
      <c r="AP2080" s="53">
        <f t="shared" si="363"/>
        <v>3097920.0000000005</v>
      </c>
      <c r="AQ2080" s="53">
        <f t="shared" si="363"/>
        <v>0</v>
      </c>
      <c r="AR2080" s="53">
        <f t="shared" si="363"/>
        <v>0</v>
      </c>
      <c r="AS2080" s="53">
        <f t="shared" si="363"/>
        <v>0</v>
      </c>
      <c r="AT2080" s="53">
        <f t="shared" si="363"/>
        <v>0</v>
      </c>
      <c r="AU2080" s="53">
        <f t="shared" si="363"/>
        <v>0</v>
      </c>
      <c r="AV2080" s="53">
        <f t="shared" si="363"/>
        <v>0</v>
      </c>
      <c r="AW2080" s="53">
        <f t="shared" si="363"/>
        <v>0</v>
      </c>
      <c r="AX2080" s="53">
        <f t="shared" si="364"/>
        <v>138300000</v>
      </c>
      <c r="AY2080" s="41" t="s">
        <v>557</v>
      </c>
    </row>
    <row r="2081" spans="1:51" x14ac:dyDescent="0.2">
      <c r="A2081" s="41" t="s">
        <v>100</v>
      </c>
      <c r="B2081" s="41">
        <v>2012</v>
      </c>
      <c r="C2081" s="41" t="s">
        <v>101</v>
      </c>
      <c r="D2081" s="41" t="s">
        <v>88</v>
      </c>
      <c r="E2081" s="41">
        <v>25</v>
      </c>
      <c r="F2081" s="41" t="s">
        <v>570</v>
      </c>
      <c r="G2081" s="53">
        <v>5651000</v>
      </c>
      <c r="H2081" s="41">
        <v>1.07</v>
      </c>
      <c r="I2081" s="41">
        <v>0.53</v>
      </c>
      <c r="R2081" s="53">
        <v>155838</v>
      </c>
      <c r="S2081" s="53">
        <v>53800</v>
      </c>
      <c r="T2081" s="53">
        <v>2232.9488999999999</v>
      </c>
      <c r="AH2081" s="53">
        <f t="shared" si="362"/>
        <v>5495162</v>
      </c>
      <c r="AO2081" s="53">
        <f t="shared" si="363"/>
        <v>6046570</v>
      </c>
      <c r="AP2081" s="53">
        <f t="shared" si="363"/>
        <v>2995030</v>
      </c>
      <c r="AQ2081" s="53">
        <f t="shared" si="363"/>
        <v>0</v>
      </c>
      <c r="AR2081" s="53">
        <f t="shared" si="363"/>
        <v>0</v>
      </c>
      <c r="AS2081" s="53">
        <f t="shared" si="363"/>
        <v>0</v>
      </c>
      <c r="AT2081" s="53">
        <f t="shared" si="363"/>
        <v>0</v>
      </c>
      <c r="AU2081" s="53">
        <f t="shared" si="363"/>
        <v>0</v>
      </c>
      <c r="AV2081" s="53">
        <f t="shared" si="363"/>
        <v>0</v>
      </c>
      <c r="AW2081" s="53">
        <f t="shared" si="363"/>
        <v>0</v>
      </c>
      <c r="AX2081" s="53">
        <f t="shared" si="364"/>
        <v>141275000</v>
      </c>
      <c r="AY2081" s="41" t="s">
        <v>557</v>
      </c>
    </row>
    <row r="2082" spans="1:51" x14ac:dyDescent="0.2">
      <c r="A2082" s="41" t="s">
        <v>100</v>
      </c>
      <c r="B2082" s="41">
        <v>2013</v>
      </c>
      <c r="C2082" s="41" t="s">
        <v>101</v>
      </c>
      <c r="D2082" s="41" t="s">
        <v>88</v>
      </c>
      <c r="E2082" s="41">
        <v>0</v>
      </c>
      <c r="F2082" s="41" t="s">
        <v>570</v>
      </c>
      <c r="G2082" s="53">
        <v>6010000</v>
      </c>
      <c r="H2082" s="46">
        <v>1.0462577414121899</v>
      </c>
      <c r="I2082" s="46">
        <v>0.48130106980130916</v>
      </c>
      <c r="R2082" s="53">
        <v>168282</v>
      </c>
      <c r="S2082" s="53">
        <v>55368</v>
      </c>
      <c r="T2082" s="53">
        <v>2088.7382000000002</v>
      </c>
      <c r="AH2082" s="53">
        <f t="shared" si="362"/>
        <v>5841718</v>
      </c>
      <c r="AO2082" s="53">
        <f t="shared" si="363"/>
        <v>6288009.0258872611</v>
      </c>
      <c r="AP2082" s="53">
        <f t="shared" si="363"/>
        <v>2892619.4295058679</v>
      </c>
      <c r="AQ2082" s="53">
        <f t="shared" si="363"/>
        <v>0</v>
      </c>
      <c r="AR2082" s="53">
        <f t="shared" si="363"/>
        <v>0</v>
      </c>
      <c r="AS2082" s="53">
        <f t="shared" si="363"/>
        <v>0</v>
      </c>
      <c r="AT2082" s="53">
        <f t="shared" si="363"/>
        <v>0</v>
      </c>
      <c r="AU2082" s="53">
        <f t="shared" si="363"/>
        <v>0</v>
      </c>
      <c r="AV2082" s="53">
        <f t="shared" si="363"/>
        <v>0</v>
      </c>
      <c r="AW2082" s="53">
        <f t="shared" si="363"/>
        <v>0</v>
      </c>
      <c r="AX2082" s="53">
        <f t="shared" si="364"/>
        <v>0</v>
      </c>
      <c r="AY2082" s="41" t="s">
        <v>557</v>
      </c>
    </row>
    <row r="2083" spans="1:51" x14ac:dyDescent="0.2">
      <c r="A2083" s="41" t="s">
        <v>100</v>
      </c>
      <c r="B2083" s="41">
        <v>2014</v>
      </c>
      <c r="C2083" s="41" t="s">
        <v>101</v>
      </c>
      <c r="D2083" s="41" t="s">
        <v>88</v>
      </c>
      <c r="E2083" s="41">
        <v>0</v>
      </c>
      <c r="F2083" s="41" t="s">
        <v>570</v>
      </c>
      <c r="G2083" s="53">
        <v>6130000</v>
      </c>
      <c r="H2083" s="46">
        <v>1.0263691986978016</v>
      </c>
      <c r="I2083" s="46">
        <v>0.4221211650083741</v>
      </c>
      <c r="R2083" s="53">
        <v>169376</v>
      </c>
      <c r="S2083" s="53">
        <v>55400</v>
      </c>
      <c r="T2083" s="53">
        <v>1868.4880000000001</v>
      </c>
      <c r="AH2083" s="53">
        <f t="shared" si="362"/>
        <v>5960624</v>
      </c>
      <c r="AO2083" s="53">
        <f t="shared" si="363"/>
        <v>6291643.1880175238</v>
      </c>
      <c r="AP2083" s="53">
        <f t="shared" si="363"/>
        <v>2587602.7415013332</v>
      </c>
      <c r="AQ2083" s="53">
        <f t="shared" si="363"/>
        <v>0</v>
      </c>
      <c r="AR2083" s="53">
        <f t="shared" si="363"/>
        <v>0</v>
      </c>
      <c r="AS2083" s="53">
        <f t="shared" si="363"/>
        <v>0</v>
      </c>
      <c r="AT2083" s="53">
        <f t="shared" si="363"/>
        <v>0</v>
      </c>
      <c r="AU2083" s="53">
        <f t="shared" si="363"/>
        <v>0</v>
      </c>
      <c r="AV2083" s="53">
        <f t="shared" si="363"/>
        <v>0</v>
      </c>
      <c r="AW2083" s="53">
        <f t="shared" si="363"/>
        <v>0</v>
      </c>
      <c r="AX2083" s="53">
        <f t="shared" si="364"/>
        <v>0</v>
      </c>
      <c r="AY2083" s="41" t="s">
        <v>557</v>
      </c>
    </row>
    <row r="2084" spans="1:51" x14ac:dyDescent="0.2">
      <c r="A2084" s="41" t="s">
        <v>100</v>
      </c>
      <c r="B2084" s="41">
        <v>2015</v>
      </c>
      <c r="C2084" s="41" t="s">
        <v>101</v>
      </c>
      <c r="D2084" s="41" t="s">
        <v>88</v>
      </c>
      <c r="E2084" s="41">
        <v>0</v>
      </c>
      <c r="F2084" s="41" t="s">
        <v>570</v>
      </c>
      <c r="G2084" s="53">
        <v>6040000</v>
      </c>
      <c r="H2084" s="46">
        <v>0.95741483735976973</v>
      </c>
      <c r="I2084" s="46">
        <v>0.32486112582781462</v>
      </c>
      <c r="R2084" s="53">
        <v>151518</v>
      </c>
      <c r="S2084" s="76">
        <v>50888.513435346482</v>
      </c>
      <c r="T2084" s="53">
        <v>1471.6209000000001</v>
      </c>
      <c r="AH2084" s="53">
        <f t="shared" si="362"/>
        <v>5888482</v>
      </c>
      <c r="AO2084" s="53">
        <f t="shared" si="363"/>
        <v>5782785.6176530095</v>
      </c>
      <c r="AP2084" s="53">
        <f t="shared" si="363"/>
        <v>1962161.2000000004</v>
      </c>
      <c r="AQ2084" s="53">
        <f t="shared" si="363"/>
        <v>0</v>
      </c>
      <c r="AR2084" s="53">
        <f t="shared" si="363"/>
        <v>0</v>
      </c>
      <c r="AS2084" s="53">
        <f t="shared" si="363"/>
        <v>0</v>
      </c>
      <c r="AT2084" s="53">
        <f t="shared" si="363"/>
        <v>0</v>
      </c>
      <c r="AU2084" s="53">
        <f t="shared" si="363"/>
        <v>0</v>
      </c>
      <c r="AV2084" s="53">
        <f t="shared" si="363"/>
        <v>0</v>
      </c>
      <c r="AW2084" s="53">
        <f t="shared" si="363"/>
        <v>0</v>
      </c>
      <c r="AX2084" s="53">
        <f t="shared" si="364"/>
        <v>0</v>
      </c>
      <c r="AY2084" s="41" t="s">
        <v>557</v>
      </c>
    </row>
    <row r="2085" spans="1:51" x14ac:dyDescent="0.2">
      <c r="A2085" s="41" t="s">
        <v>100</v>
      </c>
      <c r="B2085" s="60" t="s">
        <v>559</v>
      </c>
      <c r="C2085" s="60" t="s">
        <v>101</v>
      </c>
      <c r="D2085" s="60" t="s">
        <v>88</v>
      </c>
      <c r="E2085" s="78">
        <f>AX2085/G2085</f>
        <v>13.94601452141336</v>
      </c>
      <c r="F2085" s="60" t="s">
        <v>570</v>
      </c>
      <c r="G2085" s="79">
        <f>SUM(G2063:G2084)</f>
        <v>108832553.75</v>
      </c>
      <c r="H2085" s="80">
        <f>AO2085/$G2085</f>
        <v>1.0276165906063544</v>
      </c>
      <c r="I2085" s="80">
        <f>AP2085/$G2085</f>
        <v>0.5111562299529997</v>
      </c>
      <c r="R2085" s="79">
        <f>SUM(R2063:R2084)</f>
        <v>2794692.9013432153</v>
      </c>
      <c r="S2085" s="79">
        <f>SUM(S2063:S2084)</f>
        <v>979277.51343534654</v>
      </c>
      <c r="T2085" s="79">
        <f>SUM(T2063:T2084)</f>
        <v>41090.252999999997</v>
      </c>
      <c r="AH2085" s="79">
        <f>SUM(AH2063:AH2084)</f>
        <v>106037860.84865679</v>
      </c>
      <c r="AO2085" s="79">
        <f t="shared" ref="AO2085:AX2085" si="365">SUM(AO2063:AO2084)</f>
        <v>111838137.8315578</v>
      </c>
      <c r="AP2085" s="79">
        <f t="shared" si="365"/>
        <v>55630437.871007204</v>
      </c>
      <c r="AQ2085" s="79">
        <f t="shared" si="365"/>
        <v>0</v>
      </c>
      <c r="AR2085" s="79">
        <f t="shared" si="365"/>
        <v>0</v>
      </c>
      <c r="AS2085" s="79">
        <f t="shared" si="365"/>
        <v>0</v>
      </c>
      <c r="AT2085" s="79">
        <f t="shared" si="365"/>
        <v>0</v>
      </c>
      <c r="AU2085" s="79">
        <f t="shared" si="365"/>
        <v>0</v>
      </c>
      <c r="AV2085" s="79">
        <f t="shared" si="365"/>
        <v>0</v>
      </c>
      <c r="AW2085" s="79">
        <f t="shared" si="365"/>
        <v>0</v>
      </c>
      <c r="AX2085" s="79">
        <f t="shared" si="365"/>
        <v>1517780375</v>
      </c>
      <c r="AY2085" s="41" t="s">
        <v>557</v>
      </c>
    </row>
    <row r="2086" spans="1:51" x14ac:dyDescent="0.2">
      <c r="A2086" s="41" t="s">
        <v>100</v>
      </c>
      <c r="B2086" s="43" t="s">
        <v>560</v>
      </c>
      <c r="G2086" s="53">
        <f>STDEV(G2063:G2084)</f>
        <v>1560130.5783639469</v>
      </c>
      <c r="H2086" s="46">
        <f>STDEV(H2063:H2084)</f>
        <v>0.29494785037518018</v>
      </c>
      <c r="I2086" s="46">
        <f>STDEV(I2063:I2084)</f>
        <v>0.2673653414734794</v>
      </c>
      <c r="R2086" s="53">
        <f>STDEV(R2063:R2084)</f>
        <v>50506.315660713866</v>
      </c>
      <c r="S2086" s="53">
        <f>STDEV(S2063:S2084)</f>
        <v>18590.559854899861</v>
      </c>
      <c r="T2086" s="53">
        <f>STDEV(T2063:T2084)</f>
        <v>758.86123681620688</v>
      </c>
      <c r="AH2086" s="53">
        <f>STDEV(AH2063:AH2084)</f>
        <v>1510232.7301523408</v>
      </c>
      <c r="AY2086" s="41" t="s">
        <v>557</v>
      </c>
    </row>
    <row r="2087" spans="1:51" x14ac:dyDescent="0.2">
      <c r="A2087" s="41" t="s">
        <v>100</v>
      </c>
      <c r="B2087" s="81" t="s">
        <v>249</v>
      </c>
      <c r="G2087" s="41">
        <f>COUNT(G2063:G2084)</f>
        <v>22</v>
      </c>
      <c r="H2087" s="41">
        <f>COUNT(H2063:H2084)</f>
        <v>20</v>
      </c>
      <c r="I2087" s="41">
        <f>COUNT(I2063:I2084)</f>
        <v>22</v>
      </c>
      <c r="R2087" s="41">
        <f>COUNT(R2063:R2084)</f>
        <v>20</v>
      </c>
      <c r="S2087" s="41">
        <f>COUNT(S2063:S2084)</f>
        <v>20</v>
      </c>
      <c r="T2087" s="41">
        <f>COUNT(T2063:T2084)</f>
        <v>22</v>
      </c>
      <c r="AH2087" s="41">
        <f>COUNT(AH2063:AH2084)</f>
        <v>22</v>
      </c>
      <c r="AY2087" s="41" t="s">
        <v>557</v>
      </c>
    </row>
    <row r="2088" spans="1:51" x14ac:dyDescent="0.2">
      <c r="A2088" s="82"/>
      <c r="B2088" s="82"/>
      <c r="C2088" s="82"/>
      <c r="D2088" s="82"/>
      <c r="E2088" s="82"/>
      <c r="F2088" s="82"/>
      <c r="G2088" s="82"/>
      <c r="H2088" s="82"/>
      <c r="I2088" s="82"/>
      <c r="J2088" s="82"/>
      <c r="K2088" s="82"/>
      <c r="L2088" s="82"/>
      <c r="M2088" s="82"/>
      <c r="N2088" s="82"/>
      <c r="O2088" s="82"/>
      <c r="P2088" s="82"/>
      <c r="Q2088" s="82"/>
      <c r="R2088" s="82"/>
      <c r="S2088" s="82"/>
      <c r="T2088" s="82"/>
      <c r="U2088" s="82"/>
      <c r="V2088" s="82"/>
      <c r="W2088" s="82"/>
      <c r="X2088" s="82"/>
      <c r="Y2088" s="82"/>
      <c r="Z2088" s="82"/>
      <c r="AA2088" s="82"/>
      <c r="AB2088" s="82"/>
      <c r="AC2088" s="82"/>
      <c r="AD2088" s="82"/>
      <c r="AE2088" s="82"/>
      <c r="AF2088" s="82"/>
      <c r="AG2088" s="82"/>
      <c r="AH2088" s="82"/>
      <c r="AI2088" s="82"/>
      <c r="AJ2088" s="82"/>
      <c r="AK2088" s="82"/>
      <c r="AL2088" s="82"/>
      <c r="AM2088" s="82"/>
      <c r="AN2088" s="82"/>
      <c r="AO2088" s="82"/>
      <c r="AP2088" s="82"/>
      <c r="AQ2088" s="82"/>
      <c r="AR2088" s="82"/>
      <c r="AS2088" s="82"/>
      <c r="AT2088" s="82"/>
      <c r="AU2088" s="82"/>
      <c r="AV2088" s="82"/>
      <c r="AW2088" s="82"/>
      <c r="AX2088" s="82"/>
      <c r="AY2088" s="41" t="s">
        <v>557</v>
      </c>
    </row>
    <row r="2089" spans="1:51" x14ac:dyDescent="0.2">
      <c r="A2089" s="41" t="s">
        <v>204</v>
      </c>
      <c r="B2089" s="41">
        <v>1984</v>
      </c>
      <c r="C2089" s="41" t="s">
        <v>87</v>
      </c>
      <c r="D2089" s="41" t="s">
        <v>88</v>
      </c>
      <c r="E2089" s="41">
        <v>100</v>
      </c>
      <c r="F2089" s="41" t="s">
        <v>556</v>
      </c>
      <c r="G2089" s="53">
        <v>1700000</v>
      </c>
      <c r="I2089" s="56">
        <v>2.0298260149130076</v>
      </c>
      <c r="J2089" s="56">
        <v>0.34188656862745098</v>
      </c>
      <c r="R2089" s="53"/>
      <c r="T2089" s="53">
        <v>1007.6089000000001</v>
      </c>
      <c r="U2089" s="53">
        <v>348.72429999999997</v>
      </c>
      <c r="AH2089" s="53">
        <v>1700000</v>
      </c>
      <c r="AM2089" s="53">
        <v>800000</v>
      </c>
      <c r="AO2089" s="53">
        <f t="shared" ref="AO2089:AW2117" si="366">$G2089*H2089</f>
        <v>0</v>
      </c>
      <c r="AP2089" s="53">
        <f t="shared" si="366"/>
        <v>3450704.2253521131</v>
      </c>
      <c r="AQ2089" s="53">
        <f t="shared" si="366"/>
        <v>581207.16666666663</v>
      </c>
      <c r="AR2089" s="53">
        <f t="shared" si="366"/>
        <v>0</v>
      </c>
      <c r="AS2089" s="53">
        <f t="shared" si="366"/>
        <v>0</v>
      </c>
      <c r="AT2089" s="53">
        <f t="shared" si="366"/>
        <v>0</v>
      </c>
      <c r="AU2089" s="53">
        <f t="shared" si="366"/>
        <v>0</v>
      </c>
      <c r="AV2089" s="53">
        <f t="shared" si="366"/>
        <v>0</v>
      </c>
      <c r="AW2089" s="53">
        <f t="shared" si="366"/>
        <v>0</v>
      </c>
      <c r="AX2089" s="53">
        <f t="shared" ref="AX2089:AX2121" si="367">$G2089*E2089</f>
        <v>170000000</v>
      </c>
      <c r="AY2089" s="41" t="s">
        <v>557</v>
      </c>
    </row>
    <row r="2090" spans="1:51" x14ac:dyDescent="0.2">
      <c r="A2090" s="41" t="s">
        <v>204</v>
      </c>
      <c r="B2090" s="41">
        <v>1985</v>
      </c>
      <c r="C2090" s="41" t="s">
        <v>87</v>
      </c>
      <c r="D2090" s="41" t="s">
        <v>88</v>
      </c>
      <c r="E2090" s="41">
        <v>100</v>
      </c>
      <c r="F2090" s="41" t="s">
        <v>556</v>
      </c>
      <c r="G2090" s="53">
        <v>6300000</v>
      </c>
      <c r="I2090" s="56">
        <v>3.6418511066398396</v>
      </c>
      <c r="J2090" s="56">
        <v>1.5873015873015872</v>
      </c>
      <c r="R2090" s="53"/>
      <c r="T2090" s="53">
        <v>16291.641700000002</v>
      </c>
      <c r="U2090" s="53">
        <v>5585.0624000000007</v>
      </c>
      <c r="AH2090" s="53">
        <v>6300000</v>
      </c>
      <c r="AM2090" s="53">
        <v>3800000</v>
      </c>
      <c r="AO2090" s="53">
        <f t="shared" si="366"/>
        <v>0</v>
      </c>
      <c r="AP2090" s="53">
        <f t="shared" si="366"/>
        <v>22943661.97183099</v>
      </c>
      <c r="AQ2090" s="53">
        <f t="shared" si="366"/>
        <v>10000000</v>
      </c>
      <c r="AR2090" s="53">
        <f t="shared" si="366"/>
        <v>0</v>
      </c>
      <c r="AS2090" s="53">
        <f t="shared" si="366"/>
        <v>0</v>
      </c>
      <c r="AT2090" s="53">
        <f t="shared" si="366"/>
        <v>0</v>
      </c>
      <c r="AU2090" s="53">
        <f t="shared" si="366"/>
        <v>0</v>
      </c>
      <c r="AV2090" s="53">
        <f t="shared" si="366"/>
        <v>0</v>
      </c>
      <c r="AW2090" s="53">
        <f t="shared" si="366"/>
        <v>0</v>
      </c>
      <c r="AX2090" s="53">
        <f t="shared" si="367"/>
        <v>630000000</v>
      </c>
      <c r="AY2090" s="41" t="s">
        <v>557</v>
      </c>
    </row>
    <row r="2091" spans="1:51" x14ac:dyDescent="0.2">
      <c r="A2091" s="41" t="s">
        <v>204</v>
      </c>
      <c r="B2091" s="41">
        <v>1986</v>
      </c>
      <c r="C2091" s="41" t="s">
        <v>87</v>
      </c>
      <c r="D2091" s="41" t="s">
        <v>88</v>
      </c>
      <c r="E2091" s="41">
        <v>100</v>
      </c>
      <c r="F2091" s="41" t="s">
        <v>556</v>
      </c>
      <c r="G2091" s="53">
        <v>8300000</v>
      </c>
      <c r="I2091" s="56">
        <v>3.174953334464619</v>
      </c>
      <c r="J2091" s="56">
        <v>1.2048192771084338</v>
      </c>
      <c r="R2091" s="53"/>
      <c r="T2091" s="53">
        <v>18706.214600000003</v>
      </c>
      <c r="U2091" s="53">
        <v>5750.3589000000002</v>
      </c>
      <c r="AH2091" s="53">
        <v>8300000</v>
      </c>
      <c r="AM2091" s="53">
        <v>10300000</v>
      </c>
      <c r="AO2091" s="53">
        <f t="shared" si="366"/>
        <v>0</v>
      </c>
      <c r="AP2091" s="53">
        <f t="shared" si="366"/>
        <v>26352112.676056337</v>
      </c>
      <c r="AQ2091" s="53">
        <f t="shared" si="366"/>
        <v>10000000</v>
      </c>
      <c r="AR2091" s="53">
        <f t="shared" si="366"/>
        <v>0</v>
      </c>
      <c r="AS2091" s="53">
        <f t="shared" si="366"/>
        <v>0</v>
      </c>
      <c r="AT2091" s="53">
        <f t="shared" si="366"/>
        <v>0</v>
      </c>
      <c r="AU2091" s="53">
        <f t="shared" si="366"/>
        <v>0</v>
      </c>
      <c r="AV2091" s="53">
        <f t="shared" si="366"/>
        <v>0</v>
      </c>
      <c r="AW2091" s="53">
        <f t="shared" si="366"/>
        <v>0</v>
      </c>
      <c r="AX2091" s="53">
        <f t="shared" si="367"/>
        <v>830000000</v>
      </c>
      <c r="AY2091" s="41" t="s">
        <v>557</v>
      </c>
    </row>
    <row r="2092" spans="1:51" x14ac:dyDescent="0.2">
      <c r="A2092" s="41" t="s">
        <v>204</v>
      </c>
      <c r="B2092" s="41">
        <v>1987</v>
      </c>
      <c r="C2092" s="41" t="s">
        <v>87</v>
      </c>
      <c r="D2092" s="41" t="s">
        <v>88</v>
      </c>
      <c r="E2092" s="41">
        <v>100</v>
      </c>
      <c r="F2092" s="41" t="s">
        <v>556</v>
      </c>
      <c r="G2092" s="53">
        <v>10500000</v>
      </c>
      <c r="H2092" s="56">
        <v>0.53725170068027206</v>
      </c>
      <c r="I2092" s="56">
        <v>2.4359490274983231</v>
      </c>
      <c r="J2092" s="56">
        <v>1.7460317460317463</v>
      </c>
      <c r="R2092" s="53">
        <v>106578</v>
      </c>
      <c r="S2092" s="53">
        <v>39488</v>
      </c>
      <c r="T2092" s="53">
        <v>18159.8498</v>
      </c>
      <c r="U2092" s="53">
        <v>10466.300700000002</v>
      </c>
      <c r="AH2092" s="53">
        <v>10393422</v>
      </c>
      <c r="AM2092" s="53">
        <v>13900000</v>
      </c>
      <c r="AO2092" s="53">
        <f t="shared" si="366"/>
        <v>5641142.8571428563</v>
      </c>
      <c r="AP2092" s="53">
        <f t="shared" si="366"/>
        <v>25577464.788732391</v>
      </c>
      <c r="AQ2092" s="53">
        <f t="shared" si="366"/>
        <v>18333333.333333336</v>
      </c>
      <c r="AR2092" s="53">
        <f t="shared" si="366"/>
        <v>0</v>
      </c>
      <c r="AS2092" s="53">
        <f t="shared" si="366"/>
        <v>0</v>
      </c>
      <c r="AT2092" s="53">
        <f t="shared" si="366"/>
        <v>0</v>
      </c>
      <c r="AU2092" s="53">
        <f t="shared" si="366"/>
        <v>0</v>
      </c>
      <c r="AV2092" s="53">
        <f t="shared" si="366"/>
        <v>0</v>
      </c>
      <c r="AW2092" s="53">
        <f t="shared" si="366"/>
        <v>0</v>
      </c>
      <c r="AX2092" s="53">
        <f t="shared" si="367"/>
        <v>1050000000</v>
      </c>
      <c r="AY2092" s="41" t="s">
        <v>557</v>
      </c>
    </row>
    <row r="2093" spans="1:51" x14ac:dyDescent="0.2">
      <c r="A2093" s="41" t="s">
        <v>204</v>
      </c>
      <c r="B2093" s="41">
        <v>1988</v>
      </c>
      <c r="C2093" s="41" t="s">
        <v>87</v>
      </c>
      <c r="D2093" s="41" t="s">
        <v>88</v>
      </c>
      <c r="E2093" s="41">
        <v>100</v>
      </c>
      <c r="F2093" s="41" t="s">
        <v>556</v>
      </c>
      <c r="G2093" s="53">
        <v>15000000</v>
      </c>
      <c r="H2093" s="56">
        <v>0.46823999999999999</v>
      </c>
      <c r="I2093" s="56">
        <v>1.7032863849765261</v>
      </c>
      <c r="J2093" s="56">
        <v>2.2222222222222223</v>
      </c>
      <c r="R2093" s="53">
        <v>196360</v>
      </c>
      <c r="S2093" s="53">
        <v>52677</v>
      </c>
      <c r="T2093" s="53">
        <v>18042.198499999999</v>
      </c>
      <c r="U2093" s="53">
        <v>20332.993400000003</v>
      </c>
      <c r="AH2093" s="53">
        <v>14803640</v>
      </c>
      <c r="AM2093" s="53">
        <v>25900000</v>
      </c>
      <c r="AO2093" s="53">
        <f t="shared" si="366"/>
        <v>7023600</v>
      </c>
      <c r="AP2093" s="53">
        <f t="shared" si="366"/>
        <v>25549295.774647892</v>
      </c>
      <c r="AQ2093" s="53">
        <f t="shared" si="366"/>
        <v>33333333.333333336</v>
      </c>
      <c r="AR2093" s="53">
        <f t="shared" si="366"/>
        <v>0</v>
      </c>
      <c r="AS2093" s="53">
        <f t="shared" si="366"/>
        <v>0</v>
      </c>
      <c r="AT2093" s="53">
        <f t="shared" si="366"/>
        <v>0</v>
      </c>
      <c r="AU2093" s="53">
        <f t="shared" si="366"/>
        <v>0</v>
      </c>
      <c r="AV2093" s="53">
        <f t="shared" si="366"/>
        <v>0</v>
      </c>
      <c r="AW2093" s="53">
        <f t="shared" si="366"/>
        <v>0</v>
      </c>
      <c r="AX2093" s="53">
        <f t="shared" si="367"/>
        <v>1500000000</v>
      </c>
      <c r="AY2093" s="41" t="s">
        <v>557</v>
      </c>
    </row>
    <row r="2094" spans="1:51" x14ac:dyDescent="0.2">
      <c r="A2094" s="41" t="s">
        <v>204</v>
      </c>
      <c r="B2094" s="41">
        <v>1989</v>
      </c>
      <c r="C2094" s="41" t="s">
        <v>87</v>
      </c>
      <c r="D2094" s="41" t="s">
        <v>88</v>
      </c>
      <c r="E2094" s="41">
        <v>100</v>
      </c>
      <c r="F2094" s="41" t="s">
        <v>556</v>
      </c>
      <c r="G2094" s="53">
        <v>24000000</v>
      </c>
      <c r="H2094" s="56">
        <v>0.70473437499999991</v>
      </c>
      <c r="I2094" s="56">
        <v>0.93603286384976525</v>
      </c>
      <c r="J2094" s="56">
        <v>2.0833333333333335</v>
      </c>
      <c r="R2094" s="53">
        <v>441795</v>
      </c>
      <c r="S2094" s="53">
        <v>135309</v>
      </c>
      <c r="T2094" s="53">
        <v>15953.522499999999</v>
      </c>
      <c r="U2094" s="53">
        <v>30351.080900000001</v>
      </c>
      <c r="AH2094" s="53">
        <v>23558205</v>
      </c>
      <c r="AM2094" s="53">
        <v>30000000</v>
      </c>
      <c r="AO2094" s="53">
        <f t="shared" si="366"/>
        <v>16913624.999999996</v>
      </c>
      <c r="AP2094" s="53">
        <f t="shared" si="366"/>
        <v>22464788.732394367</v>
      </c>
      <c r="AQ2094" s="53">
        <f t="shared" si="366"/>
        <v>50000000</v>
      </c>
      <c r="AR2094" s="53">
        <f t="shared" si="366"/>
        <v>0</v>
      </c>
      <c r="AS2094" s="53">
        <f t="shared" si="366"/>
        <v>0</v>
      </c>
      <c r="AT2094" s="53">
        <f t="shared" si="366"/>
        <v>0</v>
      </c>
      <c r="AU2094" s="53">
        <f t="shared" si="366"/>
        <v>0</v>
      </c>
      <c r="AV2094" s="53">
        <f t="shared" si="366"/>
        <v>0</v>
      </c>
      <c r="AW2094" s="53">
        <f t="shared" si="366"/>
        <v>0</v>
      </c>
      <c r="AX2094" s="53">
        <f t="shared" si="367"/>
        <v>2400000000</v>
      </c>
      <c r="AY2094" s="41" t="s">
        <v>557</v>
      </c>
    </row>
    <row r="2095" spans="1:51" x14ac:dyDescent="0.2">
      <c r="A2095" s="41" t="s">
        <v>204</v>
      </c>
      <c r="B2095" s="41">
        <v>1990</v>
      </c>
      <c r="C2095" s="41" t="s">
        <v>87</v>
      </c>
      <c r="D2095" s="41" t="s">
        <v>88</v>
      </c>
      <c r="E2095" s="41">
        <v>100</v>
      </c>
      <c r="F2095" s="41" t="s">
        <v>556</v>
      </c>
      <c r="G2095" s="53">
        <v>28300000</v>
      </c>
      <c r="H2095" s="41">
        <v>0.74</v>
      </c>
      <c r="I2095" s="41">
        <v>0.71</v>
      </c>
      <c r="J2095" s="56">
        <v>1.5901060070671378</v>
      </c>
      <c r="R2095" s="53">
        <v>521267</v>
      </c>
      <c r="S2095" s="53">
        <v>170210</v>
      </c>
      <c r="T2095" s="53">
        <v>13801.122600000001</v>
      </c>
      <c r="U2095" s="53">
        <v>26484.946600000003</v>
      </c>
      <c r="AH2095" s="53">
        <v>27778733</v>
      </c>
      <c r="AM2095" s="53">
        <v>32700000</v>
      </c>
      <c r="AO2095" s="53">
        <f t="shared" si="366"/>
        <v>20942000</v>
      </c>
      <c r="AP2095" s="53">
        <f t="shared" si="366"/>
        <v>20093000</v>
      </c>
      <c r="AQ2095" s="53">
        <f t="shared" si="366"/>
        <v>45000000</v>
      </c>
      <c r="AR2095" s="53">
        <f t="shared" si="366"/>
        <v>0</v>
      </c>
      <c r="AS2095" s="53">
        <f t="shared" si="366"/>
        <v>0</v>
      </c>
      <c r="AT2095" s="53">
        <f t="shared" si="366"/>
        <v>0</v>
      </c>
      <c r="AU2095" s="53">
        <f t="shared" si="366"/>
        <v>0</v>
      </c>
      <c r="AV2095" s="53">
        <f t="shared" si="366"/>
        <v>0</v>
      </c>
      <c r="AW2095" s="53">
        <f t="shared" si="366"/>
        <v>0</v>
      </c>
      <c r="AX2095" s="53">
        <f t="shared" si="367"/>
        <v>2830000000</v>
      </c>
      <c r="AY2095" s="41" t="s">
        <v>557</v>
      </c>
    </row>
    <row r="2096" spans="1:51" x14ac:dyDescent="0.2">
      <c r="A2096" s="41" t="s">
        <v>204</v>
      </c>
      <c r="B2096" s="41">
        <v>1991</v>
      </c>
      <c r="C2096" s="41" t="s">
        <v>87</v>
      </c>
      <c r="D2096" s="41" t="s">
        <v>88</v>
      </c>
      <c r="E2096" s="41">
        <v>100</v>
      </c>
      <c r="F2096" s="41" t="s">
        <v>556</v>
      </c>
      <c r="G2096" s="53">
        <v>27600000</v>
      </c>
      <c r="H2096" s="41">
        <v>0.87</v>
      </c>
      <c r="I2096" s="41">
        <v>0.56999999999999995</v>
      </c>
      <c r="J2096" s="56">
        <v>1.5876869263285025</v>
      </c>
      <c r="R2096" s="53">
        <v>600933</v>
      </c>
      <c r="S2096" s="53">
        <v>204459</v>
      </c>
      <c r="T2096" s="53">
        <v>11067.7436</v>
      </c>
      <c r="U2096" s="53">
        <v>26292.033299999999</v>
      </c>
      <c r="AH2096" s="53">
        <v>26999067</v>
      </c>
      <c r="AM2096" s="53">
        <v>35929000</v>
      </c>
      <c r="AO2096" s="53">
        <f t="shared" si="366"/>
        <v>24012000</v>
      </c>
      <c r="AP2096" s="53">
        <f t="shared" si="366"/>
        <v>15731999.999999998</v>
      </c>
      <c r="AQ2096" s="53">
        <f t="shared" si="366"/>
        <v>43820159.166666672</v>
      </c>
      <c r="AR2096" s="53">
        <f t="shared" si="366"/>
        <v>0</v>
      </c>
      <c r="AS2096" s="53">
        <f t="shared" si="366"/>
        <v>0</v>
      </c>
      <c r="AT2096" s="53">
        <f t="shared" si="366"/>
        <v>0</v>
      </c>
      <c r="AU2096" s="53">
        <f t="shared" si="366"/>
        <v>0</v>
      </c>
      <c r="AV2096" s="53">
        <f t="shared" si="366"/>
        <v>0</v>
      </c>
      <c r="AW2096" s="53">
        <f t="shared" si="366"/>
        <v>0</v>
      </c>
      <c r="AX2096" s="53">
        <f t="shared" si="367"/>
        <v>2760000000</v>
      </c>
      <c r="AY2096" s="41" t="s">
        <v>557</v>
      </c>
    </row>
    <row r="2097" spans="1:51" x14ac:dyDescent="0.2">
      <c r="A2097" s="41" t="s">
        <v>204</v>
      </c>
      <c r="B2097" s="41">
        <v>1992</v>
      </c>
      <c r="C2097" s="41" t="s">
        <v>87</v>
      </c>
      <c r="D2097" s="41" t="s">
        <v>88</v>
      </c>
      <c r="E2097" s="41">
        <v>100</v>
      </c>
      <c r="F2097" s="41" t="s">
        <v>556</v>
      </c>
      <c r="G2097" s="76">
        <v>27400000</v>
      </c>
      <c r="H2097" s="56">
        <v>0.85538155275381555</v>
      </c>
      <c r="I2097" s="56">
        <v>0.53940611185360343</v>
      </c>
      <c r="J2097" s="56">
        <v>1.4304694708029198</v>
      </c>
      <c r="R2097" s="53">
        <v>568599</v>
      </c>
      <c r="S2097" s="53">
        <v>193359</v>
      </c>
      <c r="T2097" s="53">
        <v>10492.7979</v>
      </c>
      <c r="U2097" s="53">
        <v>23517.322400000001</v>
      </c>
      <c r="AH2097" s="53">
        <v>26831401</v>
      </c>
      <c r="AM2097" s="53">
        <v>27490000</v>
      </c>
      <c r="AO2097" s="53">
        <f t="shared" si="366"/>
        <v>23437454.545454547</v>
      </c>
      <c r="AP2097" s="53">
        <f t="shared" si="366"/>
        <v>14779727.464788735</v>
      </c>
      <c r="AQ2097" s="53">
        <f t="shared" si="366"/>
        <v>39194863.5</v>
      </c>
      <c r="AR2097" s="53">
        <f t="shared" si="366"/>
        <v>0</v>
      </c>
      <c r="AS2097" s="53">
        <f t="shared" si="366"/>
        <v>0</v>
      </c>
      <c r="AT2097" s="53">
        <f t="shared" si="366"/>
        <v>0</v>
      </c>
      <c r="AU2097" s="53">
        <f t="shared" si="366"/>
        <v>0</v>
      </c>
      <c r="AV2097" s="53">
        <f t="shared" si="366"/>
        <v>0</v>
      </c>
      <c r="AW2097" s="53">
        <f t="shared" si="366"/>
        <v>0</v>
      </c>
      <c r="AX2097" s="53">
        <f t="shared" si="367"/>
        <v>2740000000</v>
      </c>
      <c r="AY2097" s="41" t="s">
        <v>557</v>
      </c>
    </row>
    <row r="2098" spans="1:51" x14ac:dyDescent="0.2">
      <c r="A2098" s="41" t="s">
        <v>204</v>
      </c>
      <c r="B2098" s="41">
        <v>1993</v>
      </c>
      <c r="C2098" s="41" t="s">
        <v>87</v>
      </c>
      <c r="D2098" s="41" t="s">
        <v>88</v>
      </c>
      <c r="E2098" s="41">
        <v>100</v>
      </c>
      <c r="F2098" s="41" t="s">
        <v>556</v>
      </c>
      <c r="G2098" s="76">
        <v>29500000</v>
      </c>
      <c r="H2098" s="56">
        <v>0.83485978428351315</v>
      </c>
      <c r="I2098" s="56">
        <v>0.58508536166149439</v>
      </c>
      <c r="J2098" s="56">
        <v>1.5895930395480227</v>
      </c>
      <c r="R2098" s="53">
        <v>588850</v>
      </c>
      <c r="S2098" s="53">
        <v>203184</v>
      </c>
      <c r="T2098" s="53">
        <v>12328.5998</v>
      </c>
      <c r="U2098" s="53">
        <v>28135.827900000004</v>
      </c>
      <c r="AH2098" s="53">
        <v>28911150</v>
      </c>
      <c r="AM2098" s="53">
        <v>17664000</v>
      </c>
      <c r="AO2098" s="53">
        <f t="shared" si="366"/>
        <v>24628363.636363637</v>
      </c>
      <c r="AP2098" s="53">
        <f t="shared" si="366"/>
        <v>17260018.169014085</v>
      </c>
      <c r="AQ2098" s="53">
        <f t="shared" si="366"/>
        <v>46892994.666666672</v>
      </c>
      <c r="AR2098" s="53">
        <f t="shared" si="366"/>
        <v>0</v>
      </c>
      <c r="AS2098" s="53">
        <f t="shared" si="366"/>
        <v>0</v>
      </c>
      <c r="AT2098" s="53">
        <f t="shared" si="366"/>
        <v>0</v>
      </c>
      <c r="AU2098" s="53">
        <f t="shared" si="366"/>
        <v>0</v>
      </c>
      <c r="AV2098" s="53">
        <f t="shared" si="366"/>
        <v>0</v>
      </c>
      <c r="AW2098" s="53">
        <f t="shared" si="366"/>
        <v>0</v>
      </c>
      <c r="AX2098" s="53">
        <f t="shared" si="367"/>
        <v>2950000000</v>
      </c>
      <c r="AY2098" s="41" t="s">
        <v>557</v>
      </c>
    </row>
    <row r="2099" spans="1:51" x14ac:dyDescent="0.2">
      <c r="A2099" s="41" t="s">
        <v>204</v>
      </c>
      <c r="B2099" s="41">
        <v>1994</v>
      </c>
      <c r="C2099" s="41" t="s">
        <v>87</v>
      </c>
      <c r="D2099" s="41" t="s">
        <v>88</v>
      </c>
      <c r="E2099" s="41">
        <v>100</v>
      </c>
      <c r="F2099" s="41" t="s">
        <v>556</v>
      </c>
      <c r="G2099" s="76">
        <v>30500000</v>
      </c>
      <c r="H2099" s="56">
        <v>0.82359066070541487</v>
      </c>
      <c r="I2099" s="56">
        <v>0.68453462479796823</v>
      </c>
      <c r="J2099" s="56">
        <v>1.6509171584699454</v>
      </c>
      <c r="R2099" s="53">
        <v>587393</v>
      </c>
      <c r="S2099" s="53">
        <v>207236</v>
      </c>
      <c r="T2099" s="53">
        <v>15135.281499999999</v>
      </c>
      <c r="U2099" s="53">
        <v>30208.580700000002</v>
      </c>
      <c r="AH2099" s="53">
        <v>29912607</v>
      </c>
      <c r="AM2099" s="53">
        <v>32778000</v>
      </c>
      <c r="AO2099" s="53">
        <f t="shared" si="366"/>
        <v>25119515.151515152</v>
      </c>
      <c r="AP2099" s="53">
        <f t="shared" si="366"/>
        <v>20878306.056338031</v>
      </c>
      <c r="AQ2099" s="53">
        <f t="shared" si="366"/>
        <v>50352973.333333336</v>
      </c>
      <c r="AR2099" s="53">
        <f t="shared" si="366"/>
        <v>0</v>
      </c>
      <c r="AS2099" s="53">
        <f t="shared" si="366"/>
        <v>0</v>
      </c>
      <c r="AT2099" s="53">
        <f t="shared" si="366"/>
        <v>0</v>
      </c>
      <c r="AU2099" s="53">
        <f t="shared" si="366"/>
        <v>0</v>
      </c>
      <c r="AV2099" s="53">
        <f t="shared" si="366"/>
        <v>0</v>
      </c>
      <c r="AW2099" s="53">
        <f t="shared" si="366"/>
        <v>0</v>
      </c>
      <c r="AX2099" s="53">
        <f t="shared" si="367"/>
        <v>3050000000</v>
      </c>
      <c r="AY2099" s="41" t="s">
        <v>557</v>
      </c>
    </row>
    <row r="2100" spans="1:51" x14ac:dyDescent="0.2">
      <c r="A2100" s="41" t="s">
        <v>204</v>
      </c>
      <c r="B2100" s="41">
        <v>1995</v>
      </c>
      <c r="C2100" s="41" t="s">
        <v>87</v>
      </c>
      <c r="D2100" s="41" t="s">
        <v>88</v>
      </c>
      <c r="E2100" s="41">
        <v>100</v>
      </c>
      <c r="F2100" s="41" t="s">
        <v>556</v>
      </c>
      <c r="G2100" s="76">
        <v>31600000</v>
      </c>
      <c r="H2100" s="56">
        <v>0.81602224779439969</v>
      </c>
      <c r="I2100" s="56">
        <v>0.66831454804778045</v>
      </c>
      <c r="J2100" s="56">
        <v>1.4994087500000002</v>
      </c>
      <c r="R2100" s="53">
        <v>613957</v>
      </c>
      <c r="S2100" s="53">
        <v>212737</v>
      </c>
      <c r="T2100" s="53">
        <v>14994.305200000001</v>
      </c>
      <c r="U2100" s="53">
        <v>28428.789900000003</v>
      </c>
      <c r="AH2100" s="53">
        <v>30986043</v>
      </c>
      <c r="AM2100" s="53">
        <v>41819000</v>
      </c>
      <c r="AO2100" s="53">
        <f t="shared" si="366"/>
        <v>25786303.030303031</v>
      </c>
      <c r="AP2100" s="53">
        <f t="shared" si="366"/>
        <v>21118739.718309861</v>
      </c>
      <c r="AQ2100" s="53">
        <f t="shared" si="366"/>
        <v>47381316.500000007</v>
      </c>
      <c r="AR2100" s="53">
        <f t="shared" si="366"/>
        <v>0</v>
      </c>
      <c r="AS2100" s="53">
        <f t="shared" si="366"/>
        <v>0</v>
      </c>
      <c r="AT2100" s="53">
        <f t="shared" si="366"/>
        <v>0</v>
      </c>
      <c r="AU2100" s="53">
        <f t="shared" si="366"/>
        <v>0</v>
      </c>
      <c r="AV2100" s="53">
        <f t="shared" si="366"/>
        <v>0</v>
      </c>
      <c r="AW2100" s="53">
        <f t="shared" si="366"/>
        <v>0</v>
      </c>
      <c r="AX2100" s="53">
        <f t="shared" si="367"/>
        <v>3160000000</v>
      </c>
      <c r="AY2100" s="41" t="s">
        <v>557</v>
      </c>
    </row>
    <row r="2101" spans="1:51" x14ac:dyDescent="0.2">
      <c r="A2101" s="41" t="s">
        <v>204</v>
      </c>
      <c r="B2101" s="41">
        <v>1996</v>
      </c>
      <c r="C2101" s="41" t="s">
        <v>87</v>
      </c>
      <c r="D2101" s="41" t="s">
        <v>88</v>
      </c>
      <c r="E2101" s="41">
        <v>100</v>
      </c>
      <c r="F2101" s="41" t="s">
        <v>556</v>
      </c>
      <c r="G2101" s="53">
        <v>30504000</v>
      </c>
      <c r="H2101" s="41">
        <v>0.75</v>
      </c>
      <c r="I2101" s="56">
        <v>0.61116446053715434</v>
      </c>
      <c r="J2101" s="56">
        <v>1.4514488810210684</v>
      </c>
      <c r="R2101" s="53">
        <v>542415</v>
      </c>
      <c r="S2101" s="53">
        <v>185200</v>
      </c>
      <c r="T2101" s="53">
        <v>13236.502100000002</v>
      </c>
      <c r="U2101" s="53">
        <v>26564.998</v>
      </c>
      <c r="AH2101" s="53">
        <v>29961585</v>
      </c>
      <c r="AM2101" s="53">
        <v>42334000</v>
      </c>
      <c r="AO2101" s="53">
        <f t="shared" si="366"/>
        <v>22878000</v>
      </c>
      <c r="AP2101" s="53">
        <f t="shared" si="366"/>
        <v>18642960.704225358</v>
      </c>
      <c r="AQ2101" s="53">
        <f t="shared" si="366"/>
        <v>44274996.666666672</v>
      </c>
      <c r="AR2101" s="53">
        <f t="shared" si="366"/>
        <v>0</v>
      </c>
      <c r="AS2101" s="53">
        <f t="shared" si="366"/>
        <v>0</v>
      </c>
      <c r="AT2101" s="53">
        <f t="shared" si="366"/>
        <v>0</v>
      </c>
      <c r="AU2101" s="53">
        <f t="shared" si="366"/>
        <v>0</v>
      </c>
      <c r="AV2101" s="53">
        <f t="shared" si="366"/>
        <v>0</v>
      </c>
      <c r="AW2101" s="53">
        <f t="shared" si="366"/>
        <v>0</v>
      </c>
      <c r="AX2101" s="53">
        <f t="shared" si="367"/>
        <v>3050400000</v>
      </c>
      <c r="AY2101" s="41" t="s">
        <v>557</v>
      </c>
    </row>
    <row r="2102" spans="1:51" x14ac:dyDescent="0.2">
      <c r="A2102" s="41" t="s">
        <v>204</v>
      </c>
      <c r="B2102" s="41">
        <v>1997</v>
      </c>
      <c r="C2102" s="41" t="s">
        <v>87</v>
      </c>
      <c r="D2102" s="41" t="s">
        <v>88</v>
      </c>
      <c r="E2102" s="41">
        <v>100</v>
      </c>
      <c r="F2102" s="41" t="s">
        <v>556</v>
      </c>
      <c r="G2102" s="53">
        <v>28342000</v>
      </c>
      <c r="H2102" s="41">
        <v>0.86</v>
      </c>
      <c r="I2102" s="56">
        <v>0.41073138854295771</v>
      </c>
      <c r="J2102" s="56">
        <v>0.9317271187636722</v>
      </c>
      <c r="R2102" s="53">
        <v>334130</v>
      </c>
      <c r="S2102" s="53">
        <v>111515</v>
      </c>
      <c r="T2102" s="53">
        <v>8265.0738000000001</v>
      </c>
      <c r="U2102" s="53">
        <v>15844.206</v>
      </c>
      <c r="AH2102" s="53">
        <v>28007870</v>
      </c>
      <c r="AM2102" s="53">
        <v>42622000</v>
      </c>
      <c r="AO2102" s="53">
        <f t="shared" si="366"/>
        <v>24374120</v>
      </c>
      <c r="AP2102" s="53">
        <f t="shared" si="366"/>
        <v>11640949.014084507</v>
      </c>
      <c r="AQ2102" s="53">
        <f t="shared" si="366"/>
        <v>26407009.999999996</v>
      </c>
      <c r="AR2102" s="53">
        <f t="shared" si="366"/>
        <v>0</v>
      </c>
      <c r="AS2102" s="53">
        <f t="shared" si="366"/>
        <v>0</v>
      </c>
      <c r="AT2102" s="53">
        <f t="shared" si="366"/>
        <v>0</v>
      </c>
      <c r="AU2102" s="53">
        <f t="shared" si="366"/>
        <v>0</v>
      </c>
      <c r="AV2102" s="53">
        <f t="shared" si="366"/>
        <v>0</v>
      </c>
      <c r="AW2102" s="53">
        <f t="shared" si="366"/>
        <v>0</v>
      </c>
      <c r="AX2102" s="53">
        <f t="shared" si="367"/>
        <v>2834200000</v>
      </c>
      <c r="AY2102" s="41" t="s">
        <v>557</v>
      </c>
    </row>
    <row r="2103" spans="1:51" x14ac:dyDescent="0.2">
      <c r="A2103" s="41" t="s">
        <v>204</v>
      </c>
      <c r="B2103" s="41">
        <v>1998</v>
      </c>
      <c r="C2103" s="41" t="s">
        <v>87</v>
      </c>
      <c r="D2103" s="41" t="s">
        <v>88</v>
      </c>
      <c r="E2103" s="41">
        <v>100</v>
      </c>
      <c r="F2103" s="41" t="s">
        <v>556</v>
      </c>
      <c r="G2103" s="53">
        <v>11333000</v>
      </c>
      <c r="H2103" s="41">
        <v>0.79</v>
      </c>
      <c r="I2103" s="56">
        <v>1.5972973728721931</v>
      </c>
      <c r="J2103" s="56">
        <v>3.8355614723962472</v>
      </c>
      <c r="R2103" s="53">
        <v>491336</v>
      </c>
      <c r="S2103" s="53">
        <v>151556</v>
      </c>
      <c r="T2103" s="53">
        <v>12852.541499999999</v>
      </c>
      <c r="U2103" s="53">
        <v>26081.050900000002</v>
      </c>
      <c r="AH2103" s="53">
        <v>10841664</v>
      </c>
      <c r="AM2103" s="53">
        <v>29432000</v>
      </c>
      <c r="AO2103" s="53">
        <f t="shared" si="366"/>
        <v>8953070</v>
      </c>
      <c r="AP2103" s="53">
        <f t="shared" si="366"/>
        <v>18102171.126760565</v>
      </c>
      <c r="AQ2103" s="53">
        <f t="shared" si="366"/>
        <v>43468418.166666672</v>
      </c>
      <c r="AR2103" s="53">
        <f t="shared" si="366"/>
        <v>0</v>
      </c>
      <c r="AS2103" s="53">
        <f t="shared" si="366"/>
        <v>0</v>
      </c>
      <c r="AT2103" s="53">
        <f t="shared" si="366"/>
        <v>0</v>
      </c>
      <c r="AU2103" s="53">
        <f t="shared" si="366"/>
        <v>0</v>
      </c>
      <c r="AV2103" s="53">
        <f t="shared" si="366"/>
        <v>0</v>
      </c>
      <c r="AW2103" s="53">
        <f t="shared" si="366"/>
        <v>0</v>
      </c>
      <c r="AX2103" s="53">
        <f t="shared" si="367"/>
        <v>1133300000</v>
      </c>
      <c r="AY2103" s="41" t="s">
        <v>557</v>
      </c>
    </row>
    <row r="2104" spans="1:51" x14ac:dyDescent="0.2">
      <c r="A2104" s="41" t="s">
        <v>204</v>
      </c>
      <c r="B2104" s="41">
        <v>1999</v>
      </c>
      <c r="C2104" s="41" t="s">
        <v>87</v>
      </c>
      <c r="D2104" s="41" t="s">
        <v>88</v>
      </c>
      <c r="E2104" s="41">
        <v>100</v>
      </c>
      <c r="F2104" s="41" t="s">
        <v>556</v>
      </c>
      <c r="G2104" s="53">
        <v>25604000</v>
      </c>
      <c r="H2104" s="41">
        <v>0.96</v>
      </c>
      <c r="I2104" s="41">
        <v>0.76</v>
      </c>
      <c r="J2104" s="56">
        <v>2.1571424321720567</v>
      </c>
      <c r="R2104" s="53">
        <v>623987</v>
      </c>
      <c r="S2104" s="53">
        <v>187920</v>
      </c>
      <c r="T2104" s="53">
        <v>12489.573400000001</v>
      </c>
      <c r="U2104" s="53">
        <v>33139.258099999999</v>
      </c>
      <c r="AH2104" s="53">
        <v>24980013</v>
      </c>
      <c r="AM2104" s="53">
        <v>52429000</v>
      </c>
      <c r="AO2104" s="53">
        <f t="shared" si="366"/>
        <v>24579840</v>
      </c>
      <c r="AP2104" s="53">
        <f t="shared" si="366"/>
        <v>19459040</v>
      </c>
      <c r="AQ2104" s="53">
        <f t="shared" si="366"/>
        <v>55231474.833333343</v>
      </c>
      <c r="AR2104" s="53">
        <f t="shared" si="366"/>
        <v>0</v>
      </c>
      <c r="AS2104" s="53">
        <f t="shared" si="366"/>
        <v>0</v>
      </c>
      <c r="AT2104" s="53">
        <f t="shared" si="366"/>
        <v>0</v>
      </c>
      <c r="AU2104" s="53">
        <f t="shared" si="366"/>
        <v>0</v>
      </c>
      <c r="AV2104" s="53">
        <f t="shared" si="366"/>
        <v>0</v>
      </c>
      <c r="AW2104" s="53">
        <f t="shared" si="366"/>
        <v>0</v>
      </c>
      <c r="AX2104" s="53">
        <f t="shared" si="367"/>
        <v>2560400000</v>
      </c>
      <c r="AY2104" s="41" t="s">
        <v>557</v>
      </c>
    </row>
    <row r="2105" spans="1:51" x14ac:dyDescent="0.2">
      <c r="A2105" s="41" t="s">
        <v>204</v>
      </c>
      <c r="B2105" s="41">
        <v>2000</v>
      </c>
      <c r="C2105" s="41" t="s">
        <v>87</v>
      </c>
      <c r="D2105" s="41" t="s">
        <v>88</v>
      </c>
      <c r="E2105" s="41">
        <v>100</v>
      </c>
      <c r="F2105" s="41" t="s">
        <v>556</v>
      </c>
      <c r="G2105" s="53">
        <v>27653000</v>
      </c>
      <c r="H2105" s="41">
        <v>0.88</v>
      </c>
      <c r="I2105" s="41">
        <v>0.78</v>
      </c>
      <c r="J2105" s="56">
        <v>2.713863848407045</v>
      </c>
      <c r="R2105" s="53">
        <v>693654</v>
      </c>
      <c r="S2105" s="53">
        <v>203060</v>
      </c>
      <c r="T2105" s="53">
        <v>16606.124899999999</v>
      </c>
      <c r="U2105" s="53">
        <v>45027.886200000001</v>
      </c>
      <c r="AH2105" s="53">
        <v>26959346</v>
      </c>
      <c r="AM2105" s="53">
        <v>56643000</v>
      </c>
      <c r="AO2105" s="53">
        <f t="shared" si="366"/>
        <v>24334640</v>
      </c>
      <c r="AP2105" s="53">
        <f t="shared" si="366"/>
        <v>21569340</v>
      </c>
      <c r="AQ2105" s="53">
        <f t="shared" si="366"/>
        <v>75046477.000000015</v>
      </c>
      <c r="AR2105" s="53">
        <f t="shared" si="366"/>
        <v>0</v>
      </c>
      <c r="AS2105" s="53">
        <f t="shared" si="366"/>
        <v>0</v>
      </c>
      <c r="AT2105" s="53">
        <f t="shared" si="366"/>
        <v>0</v>
      </c>
      <c r="AU2105" s="53">
        <f t="shared" si="366"/>
        <v>0</v>
      </c>
      <c r="AV2105" s="53">
        <f t="shared" si="366"/>
        <v>0</v>
      </c>
      <c r="AW2105" s="53">
        <f t="shared" si="366"/>
        <v>0</v>
      </c>
      <c r="AX2105" s="53">
        <f t="shared" si="367"/>
        <v>2765300000</v>
      </c>
      <c r="AY2105" s="41" t="s">
        <v>557</v>
      </c>
    </row>
    <row r="2106" spans="1:51" x14ac:dyDescent="0.2">
      <c r="A2106" s="41" t="s">
        <v>204</v>
      </c>
      <c r="B2106" s="41">
        <v>2001</v>
      </c>
      <c r="C2106" s="41" t="s">
        <v>87</v>
      </c>
      <c r="D2106" s="41" t="s">
        <v>88</v>
      </c>
      <c r="E2106" s="41">
        <v>100</v>
      </c>
      <c r="F2106" s="41" t="s">
        <v>556</v>
      </c>
      <c r="G2106" s="53">
        <v>32023000</v>
      </c>
      <c r="H2106" s="46">
        <v>0.90173344158885804</v>
      </c>
      <c r="I2106" s="41">
        <v>0.79</v>
      </c>
      <c r="J2106" s="56">
        <v>1.861472696707575</v>
      </c>
      <c r="R2106" s="53">
        <v>694900</v>
      </c>
      <c r="S2106" s="53">
        <v>203762</v>
      </c>
      <c r="T2106" s="53">
        <v>14142.414000000001</v>
      </c>
      <c r="U2106" s="53">
        <v>35765.964100000005</v>
      </c>
      <c r="AH2106" s="53">
        <v>31328100</v>
      </c>
      <c r="AM2106" s="53">
        <v>57675000</v>
      </c>
      <c r="AO2106" s="53">
        <f t="shared" si="366"/>
        <v>28876210</v>
      </c>
      <c r="AP2106" s="53">
        <f t="shared" si="366"/>
        <v>25298170</v>
      </c>
      <c r="AQ2106" s="53">
        <f t="shared" si="366"/>
        <v>59609940.166666672</v>
      </c>
      <c r="AR2106" s="53">
        <f t="shared" si="366"/>
        <v>0</v>
      </c>
      <c r="AS2106" s="53">
        <f t="shared" si="366"/>
        <v>0</v>
      </c>
      <c r="AT2106" s="53">
        <f t="shared" si="366"/>
        <v>0</v>
      </c>
      <c r="AU2106" s="53">
        <f t="shared" si="366"/>
        <v>0</v>
      </c>
      <c r="AV2106" s="53">
        <f t="shared" si="366"/>
        <v>0</v>
      </c>
      <c r="AW2106" s="53">
        <f t="shared" si="366"/>
        <v>0</v>
      </c>
      <c r="AX2106" s="53">
        <f t="shared" si="367"/>
        <v>3202300000</v>
      </c>
      <c r="AY2106" s="41" t="s">
        <v>557</v>
      </c>
    </row>
    <row r="2107" spans="1:51" x14ac:dyDescent="0.2">
      <c r="A2107" s="41" t="s">
        <v>204</v>
      </c>
      <c r="B2107" s="41">
        <v>2002</v>
      </c>
      <c r="C2107" s="41" t="s">
        <v>87</v>
      </c>
      <c r="D2107" s="41" t="s">
        <v>88</v>
      </c>
      <c r="E2107" s="41">
        <v>100</v>
      </c>
      <c r="F2107" s="41" t="s">
        <v>556</v>
      </c>
      <c r="G2107" s="53">
        <v>30400000</v>
      </c>
      <c r="H2107" s="41">
        <v>0.8</v>
      </c>
      <c r="I2107" s="41">
        <v>0.79</v>
      </c>
      <c r="J2107" s="56">
        <v>1.7721680263157895</v>
      </c>
      <c r="R2107" s="53">
        <v>720078</v>
      </c>
      <c r="S2107" s="53">
        <v>211313</v>
      </c>
      <c r="T2107" s="53">
        <v>16012.177100000001</v>
      </c>
      <c r="U2107" s="53">
        <v>32324.344799999999</v>
      </c>
      <c r="AH2107" s="53">
        <v>29679922</v>
      </c>
      <c r="AM2107" s="53">
        <v>60800000</v>
      </c>
      <c r="AO2107" s="53">
        <f t="shared" si="366"/>
        <v>24320000</v>
      </c>
      <c r="AP2107" s="53">
        <f t="shared" si="366"/>
        <v>24016000</v>
      </c>
      <c r="AQ2107" s="53">
        <f t="shared" si="366"/>
        <v>53873908</v>
      </c>
      <c r="AR2107" s="53">
        <f t="shared" si="366"/>
        <v>0</v>
      </c>
      <c r="AS2107" s="53">
        <f t="shared" si="366"/>
        <v>0</v>
      </c>
      <c r="AT2107" s="53">
        <f t="shared" si="366"/>
        <v>0</v>
      </c>
      <c r="AU2107" s="53">
        <f t="shared" si="366"/>
        <v>0</v>
      </c>
      <c r="AV2107" s="53">
        <f t="shared" si="366"/>
        <v>0</v>
      </c>
      <c r="AW2107" s="53">
        <f t="shared" si="366"/>
        <v>0</v>
      </c>
      <c r="AX2107" s="53">
        <f t="shared" si="367"/>
        <v>3040000000</v>
      </c>
      <c r="AY2107" s="41" t="s">
        <v>557</v>
      </c>
    </row>
    <row r="2108" spans="1:51" x14ac:dyDescent="0.2">
      <c r="A2108" s="41" t="s">
        <v>204</v>
      </c>
      <c r="B2108" s="41">
        <v>2003</v>
      </c>
      <c r="C2108" s="41" t="s">
        <v>87</v>
      </c>
      <c r="D2108" s="41" t="s">
        <v>88</v>
      </c>
      <c r="E2108" s="41">
        <v>100</v>
      </c>
      <c r="F2108" s="41" t="s">
        <v>556</v>
      </c>
      <c r="G2108" s="53">
        <v>28219000</v>
      </c>
      <c r="H2108" s="41">
        <v>0.85</v>
      </c>
      <c r="I2108" s="41">
        <v>0.82</v>
      </c>
      <c r="J2108" s="56">
        <v>1.9680002834969346</v>
      </c>
      <c r="R2108" s="53">
        <v>671477</v>
      </c>
      <c r="S2108" s="53">
        <v>195655</v>
      </c>
      <c r="T2108" s="53">
        <v>15532.366300000002</v>
      </c>
      <c r="U2108" s="53">
        <v>33758.179200000006</v>
      </c>
      <c r="AH2108" s="53">
        <v>27547523</v>
      </c>
      <c r="AM2108" s="53">
        <v>46699000</v>
      </c>
      <c r="AO2108" s="53">
        <f t="shared" si="366"/>
        <v>23986150</v>
      </c>
      <c r="AP2108" s="53">
        <f t="shared" si="366"/>
        <v>23139580</v>
      </c>
      <c r="AQ2108" s="53">
        <f t="shared" si="366"/>
        <v>55535000</v>
      </c>
      <c r="AR2108" s="53">
        <f t="shared" si="366"/>
        <v>0</v>
      </c>
      <c r="AS2108" s="53">
        <f t="shared" si="366"/>
        <v>0</v>
      </c>
      <c r="AT2108" s="53">
        <f t="shared" si="366"/>
        <v>0</v>
      </c>
      <c r="AU2108" s="53">
        <f t="shared" si="366"/>
        <v>0</v>
      </c>
      <c r="AV2108" s="53">
        <f t="shared" si="366"/>
        <v>0</v>
      </c>
      <c r="AW2108" s="53">
        <f t="shared" si="366"/>
        <v>0</v>
      </c>
      <c r="AX2108" s="53">
        <f t="shared" si="367"/>
        <v>2821900000</v>
      </c>
      <c r="AY2108" s="41" t="s">
        <v>557</v>
      </c>
    </row>
    <row r="2109" spans="1:51" x14ac:dyDescent="0.2">
      <c r="A2109" s="41" t="s">
        <v>204</v>
      </c>
      <c r="B2109" s="41">
        <v>2004</v>
      </c>
      <c r="C2109" s="41" t="s">
        <v>87</v>
      </c>
      <c r="D2109" s="41" t="s">
        <v>88</v>
      </c>
      <c r="E2109" s="41">
        <v>100</v>
      </c>
      <c r="F2109" s="41" t="s">
        <v>556</v>
      </c>
      <c r="G2109" s="53">
        <v>26311000</v>
      </c>
      <c r="H2109" s="46">
        <v>0.8</v>
      </c>
      <c r="I2109" s="41">
        <v>0.88</v>
      </c>
      <c r="J2109" s="56">
        <v>2.2861794179874071</v>
      </c>
      <c r="R2109" s="53">
        <v>627762</v>
      </c>
      <c r="S2109" s="53">
        <v>173370</v>
      </c>
      <c r="T2109" s="53">
        <v>16311.1414</v>
      </c>
      <c r="U2109" s="53">
        <v>36086.916100000002</v>
      </c>
      <c r="AH2109" s="53">
        <v>25683238</v>
      </c>
      <c r="AM2109" s="53">
        <v>46927000</v>
      </c>
      <c r="AO2109" s="53">
        <f t="shared" si="366"/>
        <v>21048800</v>
      </c>
      <c r="AP2109" s="53">
        <f t="shared" si="366"/>
        <v>23153680</v>
      </c>
      <c r="AQ2109" s="53">
        <f t="shared" si="366"/>
        <v>60151666.666666672</v>
      </c>
      <c r="AR2109" s="53">
        <f t="shared" si="366"/>
        <v>0</v>
      </c>
      <c r="AS2109" s="53">
        <f t="shared" si="366"/>
        <v>0</v>
      </c>
      <c r="AT2109" s="53">
        <f t="shared" si="366"/>
        <v>0</v>
      </c>
      <c r="AU2109" s="53">
        <f t="shared" si="366"/>
        <v>0</v>
      </c>
      <c r="AV2109" s="53">
        <f t="shared" si="366"/>
        <v>0</v>
      </c>
      <c r="AW2109" s="53">
        <f t="shared" si="366"/>
        <v>0</v>
      </c>
      <c r="AX2109" s="53">
        <f t="shared" si="367"/>
        <v>2631100000</v>
      </c>
      <c r="AY2109" s="41" t="s">
        <v>557</v>
      </c>
    </row>
    <row r="2110" spans="1:51" x14ac:dyDescent="0.2">
      <c r="A2110" s="41" t="s">
        <v>204</v>
      </c>
      <c r="B2110" s="41">
        <v>2005</v>
      </c>
      <c r="C2110" s="41" t="s">
        <v>87</v>
      </c>
      <c r="D2110" s="41" t="s">
        <v>88</v>
      </c>
      <c r="E2110" s="41">
        <v>100</v>
      </c>
      <c r="F2110" s="41" t="s">
        <v>556</v>
      </c>
      <c r="G2110" s="53">
        <v>25351000</v>
      </c>
      <c r="H2110" s="46">
        <v>0.89</v>
      </c>
      <c r="I2110" s="41">
        <v>0.97</v>
      </c>
      <c r="J2110" s="56">
        <v>2.6944367743547266</v>
      </c>
      <c r="R2110" s="53">
        <v>664041</v>
      </c>
      <c r="S2110" s="53">
        <v>192978</v>
      </c>
      <c r="T2110" s="53">
        <v>17872.983400000001</v>
      </c>
      <c r="U2110" s="53">
        <v>40979.350399999996</v>
      </c>
      <c r="AH2110" s="53">
        <v>24686959</v>
      </c>
      <c r="AM2110" s="53">
        <v>53950000</v>
      </c>
      <c r="AO2110" s="53">
        <f t="shared" si="366"/>
        <v>22562390</v>
      </c>
      <c r="AP2110" s="53">
        <f t="shared" si="366"/>
        <v>24590470</v>
      </c>
      <c r="AQ2110" s="53">
        <f t="shared" si="366"/>
        <v>68306666.666666672</v>
      </c>
      <c r="AR2110" s="53">
        <f t="shared" si="366"/>
        <v>0</v>
      </c>
      <c r="AS2110" s="53">
        <f t="shared" si="366"/>
        <v>0</v>
      </c>
      <c r="AT2110" s="53">
        <f t="shared" si="366"/>
        <v>0</v>
      </c>
      <c r="AU2110" s="53">
        <f t="shared" si="366"/>
        <v>0</v>
      </c>
      <c r="AV2110" s="53">
        <f t="shared" si="366"/>
        <v>0</v>
      </c>
      <c r="AW2110" s="53">
        <f t="shared" si="366"/>
        <v>0</v>
      </c>
      <c r="AX2110" s="53">
        <f t="shared" si="367"/>
        <v>2535100000</v>
      </c>
      <c r="AY2110" s="41" t="s">
        <v>557</v>
      </c>
    </row>
    <row r="2111" spans="1:51" x14ac:dyDescent="0.2">
      <c r="A2111" s="41" t="s">
        <v>204</v>
      </c>
      <c r="B2111" s="41">
        <v>2006</v>
      </c>
      <c r="C2111" s="41" t="s">
        <v>87</v>
      </c>
      <c r="D2111" s="41" t="s">
        <v>88</v>
      </c>
      <c r="E2111" s="41">
        <v>100</v>
      </c>
      <c r="F2111" s="41" t="s">
        <v>556</v>
      </c>
      <c r="G2111" s="53">
        <v>27561000</v>
      </c>
      <c r="H2111" s="41">
        <v>0.82</v>
      </c>
      <c r="I2111" s="41">
        <v>0.88</v>
      </c>
      <c r="J2111" s="56">
        <v>2.4188769154481577</v>
      </c>
      <c r="R2111" s="53">
        <v>680975</v>
      </c>
      <c r="S2111" s="53">
        <v>194355</v>
      </c>
      <c r="T2111" s="53">
        <v>17108.0789</v>
      </c>
      <c r="U2111" s="53">
        <v>45891.813099999999</v>
      </c>
      <c r="AH2111" s="53">
        <v>26880025</v>
      </c>
      <c r="AM2111" s="53">
        <v>43724000</v>
      </c>
      <c r="AO2111" s="53">
        <f t="shared" si="366"/>
        <v>22600020</v>
      </c>
      <c r="AP2111" s="53">
        <f t="shared" si="366"/>
        <v>24253680</v>
      </c>
      <c r="AQ2111" s="53">
        <f t="shared" si="366"/>
        <v>66666666.666666679</v>
      </c>
      <c r="AR2111" s="53">
        <f t="shared" si="366"/>
        <v>0</v>
      </c>
      <c r="AS2111" s="53">
        <f t="shared" si="366"/>
        <v>0</v>
      </c>
      <c r="AT2111" s="53">
        <f t="shared" si="366"/>
        <v>0</v>
      </c>
      <c r="AU2111" s="53">
        <f t="shared" si="366"/>
        <v>0</v>
      </c>
      <c r="AV2111" s="53">
        <f t="shared" si="366"/>
        <v>0</v>
      </c>
      <c r="AW2111" s="53">
        <f t="shared" si="366"/>
        <v>0</v>
      </c>
      <c r="AX2111" s="53">
        <f t="shared" si="367"/>
        <v>2756100000</v>
      </c>
      <c r="AY2111" s="41" t="s">
        <v>557</v>
      </c>
    </row>
    <row r="2112" spans="1:51" x14ac:dyDescent="0.2">
      <c r="A2112" s="41" t="s">
        <v>204</v>
      </c>
      <c r="B2112" s="41">
        <v>2007</v>
      </c>
      <c r="C2112" s="41" t="s">
        <v>87</v>
      </c>
      <c r="D2112" s="41" t="s">
        <v>88</v>
      </c>
      <c r="E2112" s="41">
        <v>100</v>
      </c>
      <c r="F2112" s="41" t="s">
        <v>556</v>
      </c>
      <c r="G2112" s="53">
        <v>25771000</v>
      </c>
      <c r="H2112" s="41">
        <v>0.76</v>
      </c>
      <c r="I2112" s="41">
        <v>0.85</v>
      </c>
      <c r="J2112" s="56">
        <v>2.7949954923492819</v>
      </c>
      <c r="R2112" s="53">
        <v>610044</v>
      </c>
      <c r="S2112" s="53">
        <v>169184</v>
      </c>
      <c r="T2112" s="53">
        <v>15512.369000000001</v>
      </c>
      <c r="U2112" s="53">
        <v>44672.693100000004</v>
      </c>
      <c r="AH2112" s="53">
        <v>25160956</v>
      </c>
      <c r="AM2112" s="53">
        <v>33545000</v>
      </c>
      <c r="AO2112" s="53">
        <f t="shared" si="366"/>
        <v>19585960</v>
      </c>
      <c r="AP2112" s="53">
        <f t="shared" si="366"/>
        <v>21905350</v>
      </c>
      <c r="AQ2112" s="53">
        <f t="shared" si="366"/>
        <v>72029828.833333343</v>
      </c>
      <c r="AR2112" s="53">
        <f t="shared" si="366"/>
        <v>0</v>
      </c>
      <c r="AS2112" s="53">
        <f t="shared" si="366"/>
        <v>0</v>
      </c>
      <c r="AT2112" s="53">
        <f t="shared" si="366"/>
        <v>0</v>
      </c>
      <c r="AU2112" s="53">
        <f t="shared" si="366"/>
        <v>0</v>
      </c>
      <c r="AV2112" s="53">
        <f t="shared" si="366"/>
        <v>0</v>
      </c>
      <c r="AW2112" s="53">
        <f t="shared" si="366"/>
        <v>0</v>
      </c>
      <c r="AX2112" s="53">
        <f t="shared" si="367"/>
        <v>2577100000</v>
      </c>
      <c r="AY2112" s="41" t="s">
        <v>557</v>
      </c>
    </row>
    <row r="2113" spans="1:51" x14ac:dyDescent="0.2">
      <c r="A2113" s="41" t="s">
        <v>204</v>
      </c>
      <c r="B2113" s="41">
        <v>2008</v>
      </c>
      <c r="C2113" s="41" t="s">
        <v>87</v>
      </c>
      <c r="D2113" s="41" t="s">
        <v>88</v>
      </c>
      <c r="E2113" s="41">
        <v>100</v>
      </c>
      <c r="F2113" s="41" t="s">
        <v>556</v>
      </c>
      <c r="G2113" s="53">
        <v>21663000</v>
      </c>
      <c r="H2113" s="41">
        <v>0.85</v>
      </c>
      <c r="I2113" s="41">
        <v>1.02</v>
      </c>
      <c r="J2113" s="56">
        <v>3.0634976303682162</v>
      </c>
      <c r="R2113" s="53">
        <v>573761</v>
      </c>
      <c r="S2113" s="53">
        <v>159650</v>
      </c>
      <c r="T2113" s="53">
        <v>16014.976100000002</v>
      </c>
      <c r="U2113" s="53">
        <v>41159.357200000006</v>
      </c>
      <c r="AH2113" s="53">
        <v>21089239</v>
      </c>
      <c r="AM2113" s="53">
        <v>40976000</v>
      </c>
      <c r="AO2113" s="53">
        <f t="shared" si="366"/>
        <v>18413550</v>
      </c>
      <c r="AP2113" s="53">
        <f t="shared" si="366"/>
        <v>22096260</v>
      </c>
      <c r="AQ2113" s="53">
        <f t="shared" si="366"/>
        <v>66364549.166666664</v>
      </c>
      <c r="AR2113" s="53">
        <f t="shared" si="366"/>
        <v>0</v>
      </c>
      <c r="AS2113" s="53">
        <f t="shared" si="366"/>
        <v>0</v>
      </c>
      <c r="AT2113" s="53">
        <f t="shared" si="366"/>
        <v>0</v>
      </c>
      <c r="AU2113" s="53">
        <f t="shared" si="366"/>
        <v>0</v>
      </c>
      <c r="AV2113" s="53">
        <f t="shared" si="366"/>
        <v>0</v>
      </c>
      <c r="AW2113" s="53">
        <f t="shared" si="366"/>
        <v>0</v>
      </c>
      <c r="AX2113" s="53">
        <f t="shared" si="367"/>
        <v>2166300000</v>
      </c>
      <c r="AY2113" s="41" t="s">
        <v>557</v>
      </c>
    </row>
    <row r="2114" spans="1:51" x14ac:dyDescent="0.2">
      <c r="A2114" s="41" t="s">
        <v>204</v>
      </c>
      <c r="B2114" s="41">
        <v>2009</v>
      </c>
      <c r="C2114" s="41" t="s">
        <v>87</v>
      </c>
      <c r="D2114" s="41" t="s">
        <v>88</v>
      </c>
      <c r="E2114" s="41">
        <v>100</v>
      </c>
      <c r="F2114" s="41" t="s">
        <v>556</v>
      </c>
      <c r="G2114" s="53">
        <v>22585000</v>
      </c>
      <c r="H2114" s="41">
        <v>0.86</v>
      </c>
      <c r="I2114" s="41">
        <v>1.04</v>
      </c>
      <c r="J2114" s="56">
        <v>3.4207039406685857</v>
      </c>
      <c r="R2114" s="53">
        <v>624275</v>
      </c>
      <c r="S2114" s="53">
        <v>166669</v>
      </c>
      <c r="T2114" s="53">
        <v>16038.176700000002</v>
      </c>
      <c r="U2114" s="53">
        <v>47914.588200000006</v>
      </c>
      <c r="AH2114" s="53">
        <v>21960725</v>
      </c>
      <c r="AM2114" s="53">
        <v>43777000</v>
      </c>
      <c r="AO2114" s="53">
        <f t="shared" si="366"/>
        <v>19423100</v>
      </c>
      <c r="AP2114" s="53">
        <f t="shared" si="366"/>
        <v>23488400</v>
      </c>
      <c r="AQ2114" s="53">
        <f t="shared" si="366"/>
        <v>77256598.500000015</v>
      </c>
      <c r="AR2114" s="53">
        <f t="shared" si="366"/>
        <v>0</v>
      </c>
      <c r="AS2114" s="53">
        <f t="shared" si="366"/>
        <v>0</v>
      </c>
      <c r="AT2114" s="53">
        <f t="shared" si="366"/>
        <v>0</v>
      </c>
      <c r="AU2114" s="53">
        <f t="shared" si="366"/>
        <v>0</v>
      </c>
      <c r="AV2114" s="53">
        <f t="shared" si="366"/>
        <v>0</v>
      </c>
      <c r="AW2114" s="53">
        <f t="shared" si="366"/>
        <v>0</v>
      </c>
      <c r="AX2114" s="53">
        <f t="shared" si="367"/>
        <v>2258500000</v>
      </c>
      <c r="AY2114" s="41" t="s">
        <v>557</v>
      </c>
    </row>
    <row r="2115" spans="1:51" x14ac:dyDescent="0.2">
      <c r="A2115" s="41" t="s">
        <v>204</v>
      </c>
      <c r="B2115" s="41">
        <v>2010</v>
      </c>
      <c r="C2115" s="41" t="s">
        <v>87</v>
      </c>
      <c r="D2115" s="41" t="s">
        <v>88</v>
      </c>
      <c r="E2115" s="41">
        <v>100</v>
      </c>
      <c r="F2115" s="41" t="s">
        <v>556</v>
      </c>
      <c r="G2115" s="53">
        <v>22191000</v>
      </c>
      <c r="H2115" s="41">
        <v>0.84</v>
      </c>
      <c r="I2115" s="41">
        <v>0.97</v>
      </c>
      <c r="J2115" s="56">
        <v>3.3255295915761649</v>
      </c>
      <c r="R2115" s="53">
        <v>620480</v>
      </c>
      <c r="S2115" s="53">
        <v>159821</v>
      </c>
      <c r="T2115" s="53">
        <v>15128.843800000001</v>
      </c>
      <c r="U2115" s="53">
        <v>45768.532700000003</v>
      </c>
      <c r="AH2115" s="53">
        <v>21570520</v>
      </c>
      <c r="AM2115" s="53">
        <v>30717000</v>
      </c>
      <c r="AO2115" s="53">
        <f t="shared" si="366"/>
        <v>18640440</v>
      </c>
      <c r="AP2115" s="53">
        <f t="shared" si="366"/>
        <v>21525270</v>
      </c>
      <c r="AQ2115" s="53">
        <f t="shared" si="366"/>
        <v>73796827.166666672</v>
      </c>
      <c r="AR2115" s="53">
        <f t="shared" si="366"/>
        <v>0</v>
      </c>
      <c r="AS2115" s="53">
        <f t="shared" si="366"/>
        <v>0</v>
      </c>
      <c r="AT2115" s="53">
        <f t="shared" si="366"/>
        <v>0</v>
      </c>
      <c r="AU2115" s="53">
        <f t="shared" si="366"/>
        <v>0</v>
      </c>
      <c r="AV2115" s="53">
        <f t="shared" si="366"/>
        <v>0</v>
      </c>
      <c r="AW2115" s="53">
        <f t="shared" si="366"/>
        <v>0</v>
      </c>
      <c r="AX2115" s="53">
        <f t="shared" si="367"/>
        <v>2219100000</v>
      </c>
      <c r="AY2115" s="41" t="s">
        <v>557</v>
      </c>
    </row>
    <row r="2116" spans="1:51" x14ac:dyDescent="0.2">
      <c r="A2116" s="41" t="s">
        <v>204</v>
      </c>
      <c r="B2116" s="41">
        <v>2011</v>
      </c>
      <c r="C2116" s="41" t="s">
        <v>87</v>
      </c>
      <c r="D2116" s="41" t="s">
        <v>88</v>
      </c>
      <c r="E2116" s="41">
        <v>100</v>
      </c>
      <c r="F2116" s="41" t="s">
        <v>556</v>
      </c>
      <c r="G2116" s="53">
        <v>19460000</v>
      </c>
      <c r="H2116" s="41">
        <v>0.78</v>
      </c>
      <c r="I2116" s="41">
        <v>0.91</v>
      </c>
      <c r="J2116" s="56">
        <v>2.7928897396368622</v>
      </c>
      <c r="R2116" s="53">
        <v>494879</v>
      </c>
      <c r="S2116" s="53">
        <v>130456</v>
      </c>
      <c r="T2116" s="53">
        <v>12976.039600000002</v>
      </c>
      <c r="U2116" s="53">
        <v>32609.780600000002</v>
      </c>
      <c r="AH2116" s="53">
        <v>18965121</v>
      </c>
      <c r="AM2116" s="53">
        <v>19987000</v>
      </c>
      <c r="AO2116" s="53">
        <f t="shared" si="366"/>
        <v>15178800</v>
      </c>
      <c r="AP2116" s="53">
        <f t="shared" si="366"/>
        <v>17708600</v>
      </c>
      <c r="AQ2116" s="53">
        <f t="shared" si="366"/>
        <v>54349634.333333336</v>
      </c>
      <c r="AR2116" s="53">
        <f t="shared" si="366"/>
        <v>0</v>
      </c>
      <c r="AS2116" s="53">
        <f t="shared" si="366"/>
        <v>0</v>
      </c>
      <c r="AT2116" s="53">
        <f t="shared" si="366"/>
        <v>0</v>
      </c>
      <c r="AU2116" s="53">
        <f t="shared" si="366"/>
        <v>0</v>
      </c>
      <c r="AV2116" s="53">
        <f t="shared" si="366"/>
        <v>0</v>
      </c>
      <c r="AW2116" s="53">
        <f t="shared" si="366"/>
        <v>0</v>
      </c>
      <c r="AX2116" s="53">
        <f t="shared" si="367"/>
        <v>1946000000</v>
      </c>
      <c r="AY2116" s="41" t="s">
        <v>557</v>
      </c>
    </row>
    <row r="2117" spans="1:51" x14ac:dyDescent="0.2">
      <c r="A2117" s="41" t="s">
        <v>204</v>
      </c>
      <c r="B2117" s="41">
        <v>2012</v>
      </c>
      <c r="C2117" s="41" t="s">
        <v>87</v>
      </c>
      <c r="D2117" s="41" t="s">
        <v>88</v>
      </c>
      <c r="E2117" s="41">
        <v>100</v>
      </c>
      <c r="F2117" s="41" t="s">
        <v>556</v>
      </c>
      <c r="G2117" s="53">
        <v>22602000</v>
      </c>
      <c r="H2117" s="41">
        <v>0.66</v>
      </c>
      <c r="I2117" s="41">
        <v>0.77</v>
      </c>
      <c r="J2117" s="56">
        <v>2.0554936952482086</v>
      </c>
      <c r="R2117" s="53">
        <v>482875</v>
      </c>
      <c r="S2117" s="53">
        <v>125325</v>
      </c>
      <c r="T2117" s="53">
        <v>12617.518800000002</v>
      </c>
      <c r="U2117" s="53">
        <v>27874.9611</v>
      </c>
      <c r="AH2117" s="53">
        <v>22119125</v>
      </c>
      <c r="AM2117" s="53">
        <v>32517000</v>
      </c>
      <c r="AO2117" s="53">
        <f t="shared" si="366"/>
        <v>14917320</v>
      </c>
      <c r="AP2117" s="53">
        <f t="shared" si="366"/>
        <v>17403540</v>
      </c>
      <c r="AQ2117" s="53">
        <f t="shared" si="366"/>
        <v>46458268.500000007</v>
      </c>
      <c r="AR2117" s="53">
        <f t="shared" ref="AR2117:AW2121" si="368">$G2117*K2117</f>
        <v>0</v>
      </c>
      <c r="AS2117" s="53">
        <f t="shared" si="368"/>
        <v>0</v>
      </c>
      <c r="AT2117" s="53">
        <f t="shared" si="368"/>
        <v>0</v>
      </c>
      <c r="AU2117" s="53">
        <f t="shared" si="368"/>
        <v>0</v>
      </c>
      <c r="AV2117" s="53">
        <f t="shared" si="368"/>
        <v>0</v>
      </c>
      <c r="AW2117" s="53">
        <f t="shared" si="368"/>
        <v>0</v>
      </c>
      <c r="AX2117" s="53">
        <f t="shared" si="367"/>
        <v>2260200000</v>
      </c>
      <c r="AY2117" s="41" t="s">
        <v>557</v>
      </c>
    </row>
    <row r="2118" spans="1:51" x14ac:dyDescent="0.2">
      <c r="A2118" s="41" t="s">
        <v>204</v>
      </c>
      <c r="B2118" s="41">
        <v>2013</v>
      </c>
      <c r="C2118" s="41" t="s">
        <v>87</v>
      </c>
      <c r="D2118" s="41" t="s">
        <v>88</v>
      </c>
      <c r="E2118" s="41">
        <v>100</v>
      </c>
      <c r="F2118" s="41" t="s">
        <v>556</v>
      </c>
      <c r="G2118" s="53">
        <v>19660000</v>
      </c>
      <c r="H2118" s="41">
        <v>0.63</v>
      </c>
      <c r="I2118" s="41">
        <v>0.96</v>
      </c>
      <c r="J2118" s="56">
        <v>2.5323509833841986</v>
      </c>
      <c r="R2118" s="53">
        <v>415713</v>
      </c>
      <c r="S2118" s="53">
        <v>105523</v>
      </c>
      <c r="T2118" s="53">
        <v>11344.720200000002</v>
      </c>
      <c r="U2118" s="53">
        <v>29871.612200000003</v>
      </c>
      <c r="AH2118" s="53">
        <v>19244287</v>
      </c>
      <c r="AM2118" s="53">
        <v>44177000</v>
      </c>
      <c r="AO2118" s="53">
        <f t="shared" ref="AO2118:AQ2121" si="369">$G2118*H2118</f>
        <v>12385800</v>
      </c>
      <c r="AP2118" s="53">
        <f t="shared" si="369"/>
        <v>18873600</v>
      </c>
      <c r="AQ2118" s="53">
        <f t="shared" si="369"/>
        <v>49786020.333333343</v>
      </c>
      <c r="AR2118" s="53">
        <f t="shared" si="368"/>
        <v>0</v>
      </c>
      <c r="AS2118" s="53">
        <f t="shared" si="368"/>
        <v>0</v>
      </c>
      <c r="AT2118" s="53">
        <f t="shared" si="368"/>
        <v>0</v>
      </c>
      <c r="AU2118" s="53">
        <f t="shared" si="368"/>
        <v>0</v>
      </c>
      <c r="AV2118" s="53">
        <f t="shared" si="368"/>
        <v>0</v>
      </c>
      <c r="AW2118" s="53">
        <f t="shared" si="368"/>
        <v>0</v>
      </c>
      <c r="AX2118" s="53">
        <f t="shared" si="367"/>
        <v>1966000000</v>
      </c>
      <c r="AY2118" s="41" t="s">
        <v>557</v>
      </c>
    </row>
    <row r="2119" spans="1:51" x14ac:dyDescent="0.2">
      <c r="A2119" s="41" t="s">
        <v>204</v>
      </c>
      <c r="B2119" s="41">
        <v>2014</v>
      </c>
      <c r="C2119" s="41" t="s">
        <v>87</v>
      </c>
      <c r="D2119" s="41" t="s">
        <v>88</v>
      </c>
      <c r="E2119" s="41">
        <v>100</v>
      </c>
      <c r="F2119" s="41" t="s">
        <v>556</v>
      </c>
      <c r="G2119" s="53">
        <v>16860120</v>
      </c>
      <c r="H2119" s="41">
        <v>0.54</v>
      </c>
      <c r="I2119" s="41">
        <v>0.68</v>
      </c>
      <c r="J2119" s="56">
        <v>1.8290088484937632</v>
      </c>
      <c r="R2119" s="53">
        <v>308387</v>
      </c>
      <c r="S2119" s="53">
        <v>75901</v>
      </c>
      <c r="T2119" s="53">
        <v>7496.3129000000008</v>
      </c>
      <c r="U2119" s="53">
        <v>18502.385200000001</v>
      </c>
      <c r="AH2119" s="53">
        <v>16551733</v>
      </c>
      <c r="AM2119" s="53">
        <v>51905000</v>
      </c>
      <c r="AO2119" s="53">
        <f t="shared" si="369"/>
        <v>9104464.8000000007</v>
      </c>
      <c r="AP2119" s="53">
        <f t="shared" si="369"/>
        <v>11464881.600000001</v>
      </c>
      <c r="AQ2119" s="53">
        <f t="shared" si="369"/>
        <v>30837308.666666668</v>
      </c>
      <c r="AR2119" s="53">
        <f t="shared" si="368"/>
        <v>0</v>
      </c>
      <c r="AS2119" s="53">
        <f t="shared" si="368"/>
        <v>0</v>
      </c>
      <c r="AT2119" s="53">
        <f t="shared" si="368"/>
        <v>0</v>
      </c>
      <c r="AU2119" s="53">
        <f t="shared" si="368"/>
        <v>0</v>
      </c>
      <c r="AV2119" s="53">
        <f t="shared" si="368"/>
        <v>0</v>
      </c>
      <c r="AW2119" s="53">
        <f t="shared" si="368"/>
        <v>0</v>
      </c>
      <c r="AX2119" s="53">
        <f t="shared" si="367"/>
        <v>1686012000</v>
      </c>
      <c r="AY2119" s="41" t="s">
        <v>557</v>
      </c>
    </row>
    <row r="2120" spans="1:51" x14ac:dyDescent="0.2">
      <c r="A2120" s="41" t="s">
        <v>204</v>
      </c>
      <c r="B2120" s="41">
        <v>2015</v>
      </c>
      <c r="C2120" s="41" t="s">
        <v>87</v>
      </c>
      <c r="D2120" s="41" t="s">
        <v>88</v>
      </c>
      <c r="E2120" s="41">
        <v>100</v>
      </c>
      <c r="F2120" s="41" t="s">
        <v>556</v>
      </c>
      <c r="G2120" s="53">
        <v>11800000</v>
      </c>
      <c r="H2120" s="41">
        <v>0.46</v>
      </c>
      <c r="I2120" s="41">
        <v>0.64</v>
      </c>
      <c r="J2120" s="56">
        <v>2.0206214689265538</v>
      </c>
      <c r="R2120" s="53">
        <v>186309</v>
      </c>
      <c r="S2120" s="53">
        <v>45185</v>
      </c>
      <c r="T2120" s="53">
        <v>4406.6522999999997</v>
      </c>
      <c r="U2120" s="53">
        <v>14306</v>
      </c>
      <c r="AH2120" s="53">
        <v>11613691</v>
      </c>
      <c r="AM2120" s="53">
        <v>30683000</v>
      </c>
      <c r="AO2120" s="53">
        <f t="shared" si="369"/>
        <v>5428000</v>
      </c>
      <c r="AP2120" s="53">
        <f t="shared" si="369"/>
        <v>7552000</v>
      </c>
      <c r="AQ2120" s="53">
        <f t="shared" si="369"/>
        <v>23843333.333333336</v>
      </c>
      <c r="AR2120" s="53">
        <f t="shared" si="368"/>
        <v>0</v>
      </c>
      <c r="AS2120" s="53">
        <f t="shared" si="368"/>
        <v>0</v>
      </c>
      <c r="AT2120" s="53">
        <f t="shared" si="368"/>
        <v>0</v>
      </c>
      <c r="AU2120" s="53">
        <f t="shared" si="368"/>
        <v>0</v>
      </c>
      <c r="AV2120" s="53">
        <f t="shared" si="368"/>
        <v>0</v>
      </c>
      <c r="AW2120" s="53">
        <f t="shared" si="368"/>
        <v>0</v>
      </c>
      <c r="AX2120" s="53">
        <f t="shared" si="367"/>
        <v>1180000000</v>
      </c>
      <c r="AY2120" s="41" t="s">
        <v>557</v>
      </c>
    </row>
    <row r="2121" spans="1:51" x14ac:dyDescent="0.2">
      <c r="A2121" s="41" t="s">
        <v>204</v>
      </c>
      <c r="B2121" s="41">
        <v>2016</v>
      </c>
      <c r="C2121" s="41" t="s">
        <v>87</v>
      </c>
      <c r="D2121" s="41" t="s">
        <v>88</v>
      </c>
      <c r="E2121" s="41">
        <v>100</v>
      </c>
      <c r="F2121" s="41" t="s">
        <v>556</v>
      </c>
      <c r="G2121" s="53">
        <v>16100000</v>
      </c>
      <c r="H2121" s="41">
        <v>0.57999999999999996</v>
      </c>
      <c r="I2121" s="41">
        <v>0.73</v>
      </c>
      <c r="J2121" s="56">
        <v>2.9039544513457556</v>
      </c>
      <c r="R2121" s="53">
        <v>320502</v>
      </c>
      <c r="S2121" s="53">
        <v>80022</v>
      </c>
      <c r="T2121" s="53">
        <v>6788.9745000000003</v>
      </c>
      <c r="U2121" s="53">
        <v>28052.2</v>
      </c>
      <c r="AH2121" s="53">
        <v>15779498</v>
      </c>
      <c r="AM2121" s="53">
        <v>34927000</v>
      </c>
      <c r="AO2121" s="53">
        <f t="shared" si="369"/>
        <v>9338000</v>
      </c>
      <c r="AP2121" s="53">
        <f t="shared" si="369"/>
        <v>11753000</v>
      </c>
      <c r="AQ2121" s="53">
        <f t="shared" si="369"/>
        <v>46753666.666666664</v>
      </c>
      <c r="AR2121" s="53">
        <f t="shared" si="368"/>
        <v>0</v>
      </c>
      <c r="AS2121" s="53">
        <f t="shared" si="368"/>
        <v>0</v>
      </c>
      <c r="AT2121" s="53">
        <f t="shared" si="368"/>
        <v>0</v>
      </c>
      <c r="AU2121" s="53">
        <f t="shared" si="368"/>
        <v>0</v>
      </c>
      <c r="AV2121" s="53">
        <f t="shared" si="368"/>
        <v>0</v>
      </c>
      <c r="AW2121" s="53">
        <f t="shared" si="368"/>
        <v>0</v>
      </c>
      <c r="AX2121" s="53">
        <f t="shared" si="367"/>
        <v>1610000000</v>
      </c>
      <c r="AY2121" s="41" t="s">
        <v>557</v>
      </c>
    </row>
    <row r="2122" spans="1:51" x14ac:dyDescent="0.2">
      <c r="A2122" s="84"/>
      <c r="B2122" s="85" t="s">
        <v>562</v>
      </c>
      <c r="C2122" s="60" t="s">
        <v>87</v>
      </c>
      <c r="D2122" s="60" t="s">
        <v>88</v>
      </c>
      <c r="E2122" s="60">
        <v>100</v>
      </c>
      <c r="F2122" s="60" t="s">
        <v>556</v>
      </c>
      <c r="G2122" s="79">
        <f>SUM(G2089:G2117)+0.5*G2118</f>
        <v>678103000</v>
      </c>
      <c r="H2122" s="80">
        <f>AO2122/SUM($G2089:$G2121)</f>
        <v>0.72932213997147832</v>
      </c>
      <c r="I2122" s="80">
        <f>AP2122/SUM($G2089:$G2121)</f>
        <v>0.82385116489497701</v>
      </c>
      <c r="J2122" s="80">
        <f>AQ2122/SUM($G2089:$G2121)</f>
        <v>1.9361600153963503</v>
      </c>
      <c r="R2122" s="79">
        <f>SUM(R2089:R2117)+0.5*R2118</f>
        <v>14584657.5</v>
      </c>
      <c r="S2122" s="79">
        <f>SUM(S2089:S2117)+0.5*S2118</f>
        <v>4393209.5</v>
      </c>
      <c r="T2122" s="79">
        <f>SUM(T2089:T2117)+0.5*T2118</f>
        <v>420370.14750000014</v>
      </c>
      <c r="U2122" s="79">
        <f>SUM(U2089:U2117)+0.5*U2118</f>
        <v>862301.70730000013</v>
      </c>
      <c r="AH2122" s="79">
        <f>SUM(AH2089:AH2117)+0.5*AH2118</f>
        <v>663518342.5</v>
      </c>
      <c r="AM2122" s="79">
        <f>SUM(AM2089:AM2117)+0.5*AM2118</f>
        <v>1029922500</v>
      </c>
      <c r="AO2122" s="79">
        <f t="shared" ref="AO2122:AX2122" si="370">SUM(AO2089:AO2117)+0.5*AO2118</f>
        <v>534369314.22077918</v>
      </c>
      <c r="AP2122" s="79">
        <f t="shared" si="370"/>
        <v>603630080.42253518</v>
      </c>
      <c r="AQ2122" s="79">
        <f t="shared" si="370"/>
        <v>1418611122.5</v>
      </c>
      <c r="AR2122" s="79">
        <f t="shared" si="370"/>
        <v>0</v>
      </c>
      <c r="AS2122" s="79">
        <f t="shared" si="370"/>
        <v>0</v>
      </c>
      <c r="AT2122" s="79">
        <f t="shared" si="370"/>
        <v>0</v>
      </c>
      <c r="AU2122" s="79">
        <f t="shared" si="370"/>
        <v>0</v>
      </c>
      <c r="AV2122" s="79">
        <f t="shared" si="370"/>
        <v>0</v>
      </c>
      <c r="AW2122" s="79">
        <f t="shared" si="370"/>
        <v>0</v>
      </c>
      <c r="AX2122" s="79">
        <f t="shared" si="370"/>
        <v>67810300000</v>
      </c>
      <c r="AY2122" s="41" t="s">
        <v>557</v>
      </c>
    </row>
    <row r="2123" spans="1:51" x14ac:dyDescent="0.2">
      <c r="A2123" s="41" t="s">
        <v>204</v>
      </c>
      <c r="B2123" s="43" t="s">
        <v>560</v>
      </c>
      <c r="G2123" s="53">
        <f>STDEV(G2089:G2118)</f>
        <v>8083802.7298952611</v>
      </c>
      <c r="H2123" s="46">
        <f>STDEV(H2089:H2118)</f>
        <v>0.11039410256270492</v>
      </c>
      <c r="I2123" s="46">
        <f>STDEV(I2089:I2118)</f>
        <v>0.76536411350969802</v>
      </c>
      <c r="J2123" s="46">
        <f>STDEV(J2089:J2118)</f>
        <v>0.77147452647746184</v>
      </c>
      <c r="R2123" s="53">
        <f>STDEV(R2089:R2118)</f>
        <v>146938.03942618219</v>
      </c>
      <c r="S2123" s="53">
        <f>STDEV(S2089:S2118)</f>
        <v>46103.136648054387</v>
      </c>
      <c r="T2123" s="53">
        <f>STDEV(T2089:T2118)</f>
        <v>3525.8728515645953</v>
      </c>
      <c r="U2123" s="53">
        <f>STDEV(U2089:U2118)</f>
        <v>12376.583974405319</v>
      </c>
      <c r="AH2123" s="53">
        <f>STDEV(AH2089:AH2118)</f>
        <v>7897955.0580741009</v>
      </c>
      <c r="AM2123" s="53">
        <f>STDEV(AM2089:AM2118)</f>
        <v>15512802.575855577</v>
      </c>
      <c r="AY2123" s="41" t="s">
        <v>557</v>
      </c>
    </row>
    <row r="2124" spans="1:51" x14ac:dyDescent="0.2">
      <c r="A2124" s="41" t="s">
        <v>204</v>
      </c>
      <c r="B2124" s="81" t="s">
        <v>249</v>
      </c>
      <c r="G2124" s="41">
        <f>COUNT(G2089:G2118)</f>
        <v>30</v>
      </c>
      <c r="H2124" s="41">
        <f>COUNT(H2089:H2118)</f>
        <v>27</v>
      </c>
      <c r="I2124" s="41">
        <f>COUNT(I2089:I2118)</f>
        <v>30</v>
      </c>
      <c r="J2124" s="41">
        <f>COUNT(J2089:J2118)</f>
        <v>30</v>
      </c>
      <c r="R2124" s="41">
        <f>COUNT(R2089:R2118)</f>
        <v>27</v>
      </c>
      <c r="S2124" s="41">
        <f>COUNT(S2089:S2118)</f>
        <v>27</v>
      </c>
      <c r="T2124" s="41">
        <f>COUNT(T2089:T2118)</f>
        <v>30</v>
      </c>
      <c r="U2124" s="41">
        <f>COUNT(U2089:U2118)</f>
        <v>30</v>
      </c>
      <c r="AH2124" s="41">
        <f>COUNT(AH2089:AH2118)</f>
        <v>30</v>
      </c>
      <c r="AM2124" s="41">
        <f>COUNT(AM2089:AM2118)</f>
        <v>30</v>
      </c>
      <c r="AY2124" s="41" t="s">
        <v>557</v>
      </c>
    </row>
    <row r="2125" spans="1:51" x14ac:dyDescent="0.2">
      <c r="A2125" s="82"/>
      <c r="B2125" s="82"/>
      <c r="C2125" s="82"/>
      <c r="D2125" s="82"/>
      <c r="E2125" s="82"/>
      <c r="F2125" s="82"/>
      <c r="G2125" s="82"/>
      <c r="H2125" s="82"/>
      <c r="I2125" s="82"/>
      <c r="J2125" s="82"/>
      <c r="K2125" s="82"/>
      <c r="L2125" s="82"/>
      <c r="M2125" s="82"/>
      <c r="N2125" s="82"/>
      <c r="O2125" s="82"/>
      <c r="P2125" s="82"/>
      <c r="Q2125" s="82"/>
      <c r="R2125" s="82"/>
      <c r="S2125" s="82"/>
      <c r="T2125" s="82"/>
      <c r="U2125" s="82"/>
      <c r="V2125" s="82"/>
      <c r="W2125" s="82"/>
      <c r="X2125" s="82"/>
      <c r="Y2125" s="82"/>
      <c r="Z2125" s="82"/>
      <c r="AA2125" s="82"/>
      <c r="AB2125" s="82"/>
      <c r="AC2125" s="82"/>
      <c r="AD2125" s="82"/>
      <c r="AE2125" s="82"/>
      <c r="AF2125" s="82"/>
      <c r="AG2125" s="82"/>
      <c r="AH2125" s="82"/>
      <c r="AI2125" s="82"/>
      <c r="AJ2125" s="82"/>
      <c r="AK2125" s="82"/>
      <c r="AL2125" s="82"/>
      <c r="AM2125" s="82"/>
      <c r="AN2125" s="82"/>
      <c r="AO2125" s="82"/>
      <c r="AP2125" s="82"/>
      <c r="AQ2125" s="82"/>
      <c r="AR2125" s="82"/>
      <c r="AS2125" s="82"/>
      <c r="AT2125" s="82"/>
      <c r="AU2125" s="82"/>
      <c r="AV2125" s="82"/>
      <c r="AW2125" s="82"/>
      <c r="AX2125" s="82"/>
      <c r="AY2125" s="41" t="s">
        <v>557</v>
      </c>
    </row>
    <row r="2126" spans="1:51" x14ac:dyDescent="0.2">
      <c r="A2126" s="41" t="s">
        <v>89</v>
      </c>
      <c r="B2126" s="41" t="s">
        <v>665</v>
      </c>
      <c r="C2126" s="41" t="s">
        <v>91</v>
      </c>
      <c r="D2126" s="41" t="s">
        <v>92</v>
      </c>
      <c r="E2126" s="41">
        <v>0</v>
      </c>
      <c r="F2126" s="41" t="s">
        <v>666</v>
      </c>
      <c r="G2126" s="53">
        <v>1129507</v>
      </c>
      <c r="H2126" s="46">
        <v>3.5735492652989316</v>
      </c>
      <c r="I2126" s="46">
        <v>0.63434628559185546</v>
      </c>
      <c r="J2126" s="47">
        <v>22.161287003976071</v>
      </c>
      <c r="P2126" s="42">
        <v>0.1264923333808467</v>
      </c>
      <c r="Q2126" s="41" t="s">
        <v>93</v>
      </c>
      <c r="S2126" s="53">
        <v>16868</v>
      </c>
      <c r="T2126" s="53">
        <v>65.403300000000002</v>
      </c>
      <c r="U2126" s="53">
        <v>0</v>
      </c>
      <c r="AE2126" s="53">
        <v>912</v>
      </c>
      <c r="AH2126" s="53">
        <v>1026608.9123000001</v>
      </c>
      <c r="AM2126" s="53">
        <v>90360.56</v>
      </c>
      <c r="AO2126" s="53">
        <f t="shared" ref="AO2126:AW2153" si="371">$G2126*H2126</f>
        <v>4036348.91</v>
      </c>
      <c r="AP2126" s="53">
        <f t="shared" si="371"/>
        <v>716498.56999999983</v>
      </c>
      <c r="AQ2126" s="53">
        <f t="shared" si="371"/>
        <v>25031328.800000001</v>
      </c>
      <c r="AR2126" s="53">
        <f t="shared" si="371"/>
        <v>0</v>
      </c>
      <c r="AS2126" s="53">
        <f t="shared" si="371"/>
        <v>0</v>
      </c>
      <c r="AT2126" s="53">
        <f t="shared" si="371"/>
        <v>0</v>
      </c>
      <c r="AU2126" s="53">
        <f t="shared" si="371"/>
        <v>0</v>
      </c>
      <c r="AV2126" s="53">
        <f t="shared" si="371"/>
        <v>0</v>
      </c>
      <c r="AW2126" s="53">
        <f t="shared" si="371"/>
        <v>142873.97600000002</v>
      </c>
      <c r="AX2126" s="53">
        <f>$G2126*E2126</f>
        <v>0</v>
      </c>
      <c r="AY2126" s="41" t="s">
        <v>557</v>
      </c>
    </row>
    <row r="2127" spans="1:51" x14ac:dyDescent="0.2">
      <c r="A2127" s="41" t="s">
        <v>89</v>
      </c>
      <c r="B2127" s="41" t="s">
        <v>667</v>
      </c>
      <c r="C2127" s="41" t="s">
        <v>91</v>
      </c>
      <c r="D2127" s="41" t="s">
        <v>92</v>
      </c>
      <c r="E2127" s="41">
        <v>0</v>
      </c>
      <c r="F2127" s="41" t="s">
        <v>666</v>
      </c>
      <c r="G2127" s="53">
        <v>1528257</v>
      </c>
      <c r="H2127" s="46">
        <v>3.0655612374096766</v>
      </c>
      <c r="I2127" s="46">
        <v>0.92756781745478678</v>
      </c>
      <c r="J2127" s="47">
        <v>16.335489502092909</v>
      </c>
      <c r="P2127" s="42">
        <v>9.8110789611956642E-2</v>
      </c>
      <c r="Q2127" s="41" t="s">
        <v>93</v>
      </c>
      <c r="S2127" s="53">
        <v>37799</v>
      </c>
      <c r="T2127" s="53">
        <v>563.74970000000008</v>
      </c>
      <c r="U2127" s="53">
        <v>1315.0324000000001</v>
      </c>
      <c r="AE2127" s="53">
        <v>1004.5</v>
      </c>
      <c r="AH2127" s="53">
        <v>1389032.7873</v>
      </c>
      <c r="AM2127" s="53">
        <v>122260.56</v>
      </c>
      <c r="AO2127" s="53">
        <f t="shared" si="371"/>
        <v>4684965.42</v>
      </c>
      <c r="AP2127" s="53">
        <f t="shared" si="371"/>
        <v>1417562.01</v>
      </c>
      <c r="AQ2127" s="53">
        <f t="shared" si="371"/>
        <v>24964826.180000003</v>
      </c>
      <c r="AR2127" s="53">
        <f t="shared" si="371"/>
        <v>0</v>
      </c>
      <c r="AS2127" s="53">
        <f t="shared" si="371"/>
        <v>0</v>
      </c>
      <c r="AT2127" s="53">
        <f t="shared" si="371"/>
        <v>0</v>
      </c>
      <c r="AU2127" s="53">
        <f t="shared" si="371"/>
        <v>0</v>
      </c>
      <c r="AV2127" s="53">
        <f t="shared" si="371"/>
        <v>0</v>
      </c>
      <c r="AW2127" s="53">
        <f t="shared" si="371"/>
        <v>149938.50100000002</v>
      </c>
      <c r="AX2127" s="53">
        <f>$G2127*E2127</f>
        <v>0</v>
      </c>
      <c r="AY2127" s="41" t="s">
        <v>557</v>
      </c>
    </row>
    <row r="2128" spans="1:51" x14ac:dyDescent="0.2">
      <c r="A2128" s="41" t="s">
        <v>89</v>
      </c>
      <c r="B2128" s="41" t="s">
        <v>668</v>
      </c>
      <c r="C2128" s="41" t="s">
        <v>91</v>
      </c>
      <c r="D2128" s="41" t="s">
        <v>92</v>
      </c>
      <c r="E2128" s="41">
        <v>0</v>
      </c>
      <c r="F2128" s="41" t="s">
        <v>666</v>
      </c>
      <c r="G2128" s="53">
        <v>1714300</v>
      </c>
      <c r="H2128" s="46">
        <v>3.2019745377121853</v>
      </c>
      <c r="I2128" s="46">
        <v>0.73075369538587187</v>
      </c>
      <c r="J2128" s="47">
        <v>14.12753234556379</v>
      </c>
      <c r="P2128" s="42">
        <v>0.11356960158665345</v>
      </c>
      <c r="Q2128" s="41" t="s">
        <v>93</v>
      </c>
      <c r="S2128" s="53">
        <v>48249</v>
      </c>
      <c r="T2128" s="53">
        <v>991.43690000000004</v>
      </c>
      <c r="U2128" s="53">
        <v>12503.319600000001</v>
      </c>
      <c r="AE2128" s="53">
        <v>1482</v>
      </c>
      <c r="AH2128" s="53">
        <v>1558127.27</v>
      </c>
      <c r="AM2128" s="53">
        <v>137144</v>
      </c>
      <c r="AO2128" s="53">
        <f t="shared" si="371"/>
        <v>5489144.9499999993</v>
      </c>
      <c r="AP2128" s="53">
        <f t="shared" si="371"/>
        <v>1252731.06</v>
      </c>
      <c r="AQ2128" s="53">
        <f t="shared" si="371"/>
        <v>24218828.700000003</v>
      </c>
      <c r="AR2128" s="53">
        <f t="shared" si="371"/>
        <v>0</v>
      </c>
      <c r="AS2128" s="53">
        <f t="shared" si="371"/>
        <v>0</v>
      </c>
      <c r="AT2128" s="53">
        <f t="shared" si="371"/>
        <v>0</v>
      </c>
      <c r="AU2128" s="53">
        <f t="shared" si="371"/>
        <v>0</v>
      </c>
      <c r="AV2128" s="53">
        <f t="shared" si="371"/>
        <v>0</v>
      </c>
      <c r="AW2128" s="53">
        <f t="shared" si="371"/>
        <v>194692.36800000002</v>
      </c>
      <c r="AX2128" s="53">
        <f>$G2128*E2128</f>
        <v>0</v>
      </c>
      <c r="AY2128" s="41" t="s">
        <v>557</v>
      </c>
    </row>
    <row r="2129" spans="1:51" x14ac:dyDescent="0.2">
      <c r="A2129" s="41" t="s">
        <v>89</v>
      </c>
      <c r="B2129" s="41" t="s">
        <v>630</v>
      </c>
      <c r="C2129" s="41" t="s">
        <v>91</v>
      </c>
      <c r="D2129" s="41" t="s">
        <v>92</v>
      </c>
      <c r="E2129" s="41">
        <v>0</v>
      </c>
      <c r="F2129" s="41" t="s">
        <v>666</v>
      </c>
      <c r="G2129" s="53">
        <v>1929855</v>
      </c>
      <c r="H2129" s="46">
        <v>3.2201038212715463</v>
      </c>
      <c r="I2129" s="46">
        <v>0.57001660746532767</v>
      </c>
      <c r="J2129" s="47">
        <v>10.006616662909908</v>
      </c>
      <c r="P2129" s="42">
        <v>0.10704918556057322</v>
      </c>
      <c r="Q2129" s="41" t="s">
        <v>93</v>
      </c>
      <c r="S2129" s="53">
        <v>62082</v>
      </c>
      <c r="T2129" s="53">
        <v>710.66610000000003</v>
      </c>
      <c r="U2129" s="53">
        <v>14529.671200000001</v>
      </c>
      <c r="AE2129" s="53">
        <v>1369</v>
      </c>
      <c r="AH2129" s="53">
        <v>1754045.2095000001</v>
      </c>
      <c r="AM2129" s="53">
        <v>154388.4</v>
      </c>
      <c r="AO2129" s="53">
        <f t="shared" si="371"/>
        <v>6214333.46</v>
      </c>
      <c r="AP2129" s="53">
        <f t="shared" si="371"/>
        <v>1100049.3999999999</v>
      </c>
      <c r="AQ2129" s="53">
        <f t="shared" si="371"/>
        <v>19311319.199999999</v>
      </c>
      <c r="AR2129" s="53">
        <f t="shared" si="371"/>
        <v>0</v>
      </c>
      <c r="AS2129" s="53">
        <f t="shared" si="371"/>
        <v>0</v>
      </c>
      <c r="AT2129" s="53">
        <f t="shared" si="371"/>
        <v>0</v>
      </c>
      <c r="AU2129" s="53">
        <f t="shared" si="371"/>
        <v>0</v>
      </c>
      <c r="AV2129" s="53">
        <f t="shared" si="371"/>
        <v>0</v>
      </c>
      <c r="AW2129" s="53">
        <f t="shared" si="371"/>
        <v>206589.40600000002</v>
      </c>
      <c r="AX2129" s="53">
        <f>$G2129*E2129</f>
        <v>0</v>
      </c>
      <c r="AY2129" s="41" t="s">
        <v>557</v>
      </c>
    </row>
    <row r="2130" spans="1:51" x14ac:dyDescent="0.2">
      <c r="A2130" s="41" t="s">
        <v>89</v>
      </c>
      <c r="B2130" s="41" t="s">
        <v>631</v>
      </c>
      <c r="C2130" s="41" t="s">
        <v>91</v>
      </c>
      <c r="D2130" s="41" t="s">
        <v>92</v>
      </c>
      <c r="E2130" s="41">
        <v>0</v>
      </c>
      <c r="F2130" s="41" t="s">
        <v>666</v>
      </c>
      <c r="G2130" s="53">
        <v>2385231</v>
      </c>
      <c r="H2130" s="46">
        <v>3.0552765748893926</v>
      </c>
      <c r="I2130" s="46">
        <v>0.60611823341219362</v>
      </c>
      <c r="J2130" s="47">
        <v>9.2310974702240589</v>
      </c>
      <c r="P2130" s="42">
        <v>8.2690393089809758E-2</v>
      </c>
      <c r="Q2130" s="41" t="s">
        <v>93</v>
      </c>
      <c r="S2130" s="53">
        <v>69501.534999999989</v>
      </c>
      <c r="T2130" s="53">
        <v>992.46320000000003</v>
      </c>
      <c r="U2130" s="53">
        <v>12209.300200000001</v>
      </c>
      <c r="AE2130" s="53">
        <v>1350.8999999999999</v>
      </c>
      <c r="AH2130" s="53">
        <v>2167936.4558999999</v>
      </c>
      <c r="AM2130" s="53">
        <v>190818.48</v>
      </c>
      <c r="AO2130" s="53">
        <f t="shared" si="371"/>
        <v>7287540.4000000013</v>
      </c>
      <c r="AP2130" s="53">
        <f t="shared" si="371"/>
        <v>1445732</v>
      </c>
      <c r="AQ2130" s="53">
        <f t="shared" si="371"/>
        <v>22018299.850000001</v>
      </c>
      <c r="AR2130" s="53">
        <f t="shared" si="371"/>
        <v>0</v>
      </c>
      <c r="AS2130" s="53">
        <f t="shared" si="371"/>
        <v>0</v>
      </c>
      <c r="AT2130" s="53">
        <f t="shared" si="371"/>
        <v>0</v>
      </c>
      <c r="AU2130" s="53">
        <f t="shared" si="371"/>
        <v>0</v>
      </c>
      <c r="AV2130" s="53">
        <f t="shared" si="371"/>
        <v>0</v>
      </c>
      <c r="AW2130" s="53">
        <f t="shared" si="371"/>
        <v>197235.68900000001</v>
      </c>
      <c r="AX2130" s="53">
        <f t="shared" ref="AX2130:AX2219" si="372">$G2130*E2130</f>
        <v>0</v>
      </c>
      <c r="AY2130" s="41" t="s">
        <v>557</v>
      </c>
    </row>
    <row r="2131" spans="1:51" x14ac:dyDescent="0.2">
      <c r="A2131" s="41" t="s">
        <v>89</v>
      </c>
      <c r="B2131" s="41" t="s">
        <v>632</v>
      </c>
      <c r="C2131" s="41" t="s">
        <v>91</v>
      </c>
      <c r="D2131" s="41" t="s">
        <v>92</v>
      </c>
      <c r="E2131" s="41">
        <v>0</v>
      </c>
      <c r="F2131" s="41" t="s">
        <v>666</v>
      </c>
      <c r="G2131" s="53">
        <v>2390160</v>
      </c>
      <c r="H2131" s="46">
        <v>2.9569322974194194</v>
      </c>
      <c r="I2131" s="46">
        <v>0.4497485147437828</v>
      </c>
      <c r="J2131" s="47">
        <v>7.7983997347457912</v>
      </c>
      <c r="P2131" s="42">
        <v>7.915175385748234E-2</v>
      </c>
      <c r="Q2131" s="41" t="s">
        <v>93</v>
      </c>
      <c r="S2131" s="53">
        <v>66683.502999999997</v>
      </c>
      <c r="T2131" s="53">
        <v>806.82730000000004</v>
      </c>
      <c r="U2131" s="53">
        <v>13166.931399999999</v>
      </c>
      <c r="AE2131" s="53">
        <v>1271.5999999999999</v>
      </c>
      <c r="AH2131" s="53">
        <v>2172416.4240000001</v>
      </c>
      <c r="AM2131" s="53">
        <v>191212.80000000002</v>
      </c>
      <c r="AO2131" s="53">
        <f t="shared" si="371"/>
        <v>7067541.2999999998</v>
      </c>
      <c r="AP2131" s="53">
        <f t="shared" si="371"/>
        <v>1074970.9099999999</v>
      </c>
      <c r="AQ2131" s="53">
        <f t="shared" si="371"/>
        <v>18639423.109999999</v>
      </c>
      <c r="AR2131" s="53">
        <f t="shared" si="371"/>
        <v>0</v>
      </c>
      <c r="AS2131" s="53">
        <f t="shared" si="371"/>
        <v>0</v>
      </c>
      <c r="AT2131" s="53">
        <f t="shared" si="371"/>
        <v>0</v>
      </c>
      <c r="AU2131" s="53">
        <f t="shared" si="371"/>
        <v>0</v>
      </c>
      <c r="AV2131" s="53">
        <f t="shared" si="371"/>
        <v>0</v>
      </c>
      <c r="AW2131" s="53">
        <f t="shared" si="371"/>
        <v>189185.356</v>
      </c>
      <c r="AX2131" s="53">
        <f t="shared" si="372"/>
        <v>0</v>
      </c>
      <c r="AY2131" s="41" t="s">
        <v>557</v>
      </c>
    </row>
    <row r="2132" spans="1:51" x14ac:dyDescent="0.2">
      <c r="A2132" s="41" t="s">
        <v>89</v>
      </c>
      <c r="B2132" s="41" t="s">
        <v>633</v>
      </c>
      <c r="C2132" s="41" t="s">
        <v>91</v>
      </c>
      <c r="D2132" s="41" t="s">
        <v>92</v>
      </c>
      <c r="E2132" s="41">
        <v>0</v>
      </c>
      <c r="F2132" s="41" t="s">
        <v>666</v>
      </c>
      <c r="G2132" s="53">
        <v>2377060</v>
      </c>
      <c r="H2132" s="46">
        <v>3.0188541770085737</v>
      </c>
      <c r="I2132" s="46">
        <v>0.56187794586590156</v>
      </c>
      <c r="J2132" s="47">
        <v>6.6560325317829578</v>
      </c>
      <c r="P2132" s="42">
        <v>7.0712784279740509E-2</v>
      </c>
      <c r="Q2132" s="41" t="s">
        <v>93</v>
      </c>
      <c r="S2132" s="53">
        <v>68540.971000000005</v>
      </c>
      <c r="T2132" s="53">
        <v>971.4085</v>
      </c>
      <c r="U2132" s="53">
        <v>9781.3543000000009</v>
      </c>
      <c r="AE2132" s="53">
        <v>1073.4000000000001</v>
      </c>
      <c r="AH2132" s="53">
        <v>2160509.8340000003</v>
      </c>
      <c r="AM2132" s="53">
        <v>190164.80000000002</v>
      </c>
      <c r="AO2132" s="53">
        <f t="shared" si="371"/>
        <v>7175997.5100000007</v>
      </c>
      <c r="AP2132" s="53">
        <f t="shared" si="371"/>
        <v>1335617.5900000001</v>
      </c>
      <c r="AQ2132" s="53">
        <f t="shared" si="371"/>
        <v>15821788.689999998</v>
      </c>
      <c r="AR2132" s="53">
        <f t="shared" si="371"/>
        <v>0</v>
      </c>
      <c r="AS2132" s="53">
        <f t="shared" si="371"/>
        <v>0</v>
      </c>
      <c r="AT2132" s="53">
        <f t="shared" si="371"/>
        <v>0</v>
      </c>
      <c r="AU2132" s="53">
        <f t="shared" si="371"/>
        <v>0</v>
      </c>
      <c r="AV2132" s="53">
        <f t="shared" si="371"/>
        <v>0</v>
      </c>
      <c r="AW2132" s="53">
        <f t="shared" si="371"/>
        <v>168088.53099999999</v>
      </c>
      <c r="AX2132" s="53">
        <f t="shared" si="372"/>
        <v>0</v>
      </c>
      <c r="AY2132" s="41" t="s">
        <v>557</v>
      </c>
    </row>
    <row r="2133" spans="1:51" x14ac:dyDescent="0.2">
      <c r="A2133" s="41" t="s">
        <v>89</v>
      </c>
      <c r="B2133" s="41" t="s">
        <v>634</v>
      </c>
      <c r="C2133" s="41" t="s">
        <v>91</v>
      </c>
      <c r="D2133" s="41" t="s">
        <v>92</v>
      </c>
      <c r="E2133" s="41">
        <v>0</v>
      </c>
      <c r="F2133" s="41" t="s">
        <v>666</v>
      </c>
      <c r="G2133" s="53">
        <v>3107985</v>
      </c>
      <c r="H2133" s="46">
        <v>3.0270265783136021</v>
      </c>
      <c r="I2133" s="46">
        <v>0.57987173039766915</v>
      </c>
      <c r="J2133" s="47">
        <v>6.6503613209201458</v>
      </c>
      <c r="P2133" s="42">
        <v>7.5766763996608741E-2</v>
      </c>
      <c r="Q2133" s="41" t="s">
        <v>93</v>
      </c>
      <c r="S2133" s="53">
        <v>83050.472000000009</v>
      </c>
      <c r="T2133" s="53">
        <v>1032.9243000000001</v>
      </c>
      <c r="U2133" s="53">
        <v>11863.9969</v>
      </c>
      <c r="AE2133" s="53">
        <v>1634.5</v>
      </c>
      <c r="AH2133" s="53">
        <v>2824847.5665000002</v>
      </c>
      <c r="AM2133" s="53">
        <v>248638.80000000002</v>
      </c>
      <c r="AO2133" s="53">
        <f t="shared" si="371"/>
        <v>9407953.2000000011</v>
      </c>
      <c r="AP2133" s="53">
        <f t="shared" si="371"/>
        <v>1802232.6399999997</v>
      </c>
      <c r="AQ2133" s="53">
        <f t="shared" si="371"/>
        <v>20669223.23</v>
      </c>
      <c r="AR2133" s="53">
        <f t="shared" si="371"/>
        <v>0</v>
      </c>
      <c r="AS2133" s="53">
        <f t="shared" si="371"/>
        <v>0</v>
      </c>
      <c r="AT2133" s="53">
        <f t="shared" si="371"/>
        <v>0</v>
      </c>
      <c r="AU2133" s="53">
        <f t="shared" si="371"/>
        <v>0</v>
      </c>
      <c r="AV2133" s="53">
        <f t="shared" si="371"/>
        <v>0</v>
      </c>
      <c r="AW2133" s="53">
        <f t="shared" si="371"/>
        <v>235481.96600000001</v>
      </c>
      <c r="AX2133" s="53">
        <f t="shared" si="372"/>
        <v>0</v>
      </c>
      <c r="AY2133" s="41" t="s">
        <v>557</v>
      </c>
    </row>
    <row r="2134" spans="1:51" x14ac:dyDescent="0.2">
      <c r="A2134" s="41" t="s">
        <v>89</v>
      </c>
      <c r="B2134" s="41" t="s">
        <v>635</v>
      </c>
      <c r="C2134" s="41" t="s">
        <v>91</v>
      </c>
      <c r="D2134" s="41" t="s">
        <v>92</v>
      </c>
      <c r="E2134" s="41">
        <v>0</v>
      </c>
      <c r="F2134" s="41" t="s">
        <v>666</v>
      </c>
      <c r="G2134" s="53">
        <v>3003886</v>
      </c>
      <c r="H2134" s="46">
        <v>2.9922871939880538</v>
      </c>
      <c r="I2134" s="46">
        <v>0.53440552670773789</v>
      </c>
      <c r="J2134" s="47">
        <v>6.3571684444749241</v>
      </c>
      <c r="P2134" s="42">
        <v>8.5245431750738884E-2</v>
      </c>
      <c r="Q2134" s="41" t="s">
        <v>93</v>
      </c>
      <c r="S2134" s="53">
        <v>75444</v>
      </c>
      <c r="T2134" s="53">
        <v>883.55100000000004</v>
      </c>
      <c r="U2134" s="53">
        <v>10786.7862</v>
      </c>
      <c r="AE2134" s="53">
        <v>1758</v>
      </c>
      <c r="AH2134" s="53">
        <v>2730231.9854000001</v>
      </c>
      <c r="AM2134" s="53">
        <v>240310.88</v>
      </c>
      <c r="AO2134" s="53">
        <f t="shared" si="371"/>
        <v>8988489.6099999994</v>
      </c>
      <c r="AP2134" s="53">
        <f t="shared" si="371"/>
        <v>1605293.28</v>
      </c>
      <c r="AQ2134" s="53">
        <f t="shared" si="371"/>
        <v>19096209.290000003</v>
      </c>
      <c r="AR2134" s="53">
        <f t="shared" si="371"/>
        <v>0</v>
      </c>
      <c r="AS2134" s="53">
        <f t="shared" si="371"/>
        <v>0</v>
      </c>
      <c r="AT2134" s="53">
        <f t="shared" si="371"/>
        <v>0</v>
      </c>
      <c r="AU2134" s="53">
        <f t="shared" si="371"/>
        <v>0</v>
      </c>
      <c r="AV2134" s="53">
        <f t="shared" si="371"/>
        <v>0</v>
      </c>
      <c r="AW2134" s="53">
        <f t="shared" si="371"/>
        <v>256067.55900000004</v>
      </c>
      <c r="AX2134" s="53">
        <f t="shared" si="372"/>
        <v>0</v>
      </c>
      <c r="AY2134" s="41" t="s">
        <v>557</v>
      </c>
    </row>
    <row r="2135" spans="1:51" x14ac:dyDescent="0.2">
      <c r="A2135" s="41" t="s">
        <v>89</v>
      </c>
      <c r="B2135" s="41" t="s">
        <v>598</v>
      </c>
      <c r="C2135" s="41" t="s">
        <v>91</v>
      </c>
      <c r="D2135" s="41" t="s">
        <v>92</v>
      </c>
      <c r="E2135" s="41">
        <v>0</v>
      </c>
      <c r="F2135" s="41" t="s">
        <v>666</v>
      </c>
      <c r="G2135" s="53">
        <v>3314727</v>
      </c>
      <c r="H2135" s="46">
        <v>2.8072303842820241</v>
      </c>
      <c r="I2135" s="46">
        <v>0.58505704089658062</v>
      </c>
      <c r="J2135" s="47">
        <v>5.7283440717742371</v>
      </c>
      <c r="P2135" s="42">
        <v>7.7959231936747725E-2</v>
      </c>
      <c r="Q2135" s="41" t="s">
        <v>93</v>
      </c>
      <c r="S2135" s="53">
        <v>80109</v>
      </c>
      <c r="T2135" s="53">
        <v>1053.2948000000001</v>
      </c>
      <c r="U2135" s="53">
        <v>11192.205800000002</v>
      </c>
      <c r="AE2135" s="53">
        <v>1635</v>
      </c>
      <c r="AH2135" s="53">
        <v>3012755.3703000001</v>
      </c>
      <c r="AM2135" s="53">
        <v>265178.16000000003</v>
      </c>
      <c r="AO2135" s="53">
        <f t="shared" si="371"/>
        <v>9305202.3500000015</v>
      </c>
      <c r="AP2135" s="53">
        <f t="shared" si="371"/>
        <v>1939304.3699999999</v>
      </c>
      <c r="AQ2135" s="53">
        <f t="shared" si="371"/>
        <v>18987896.760000002</v>
      </c>
      <c r="AR2135" s="53">
        <f t="shared" si="371"/>
        <v>0</v>
      </c>
      <c r="AS2135" s="53">
        <f t="shared" si="371"/>
        <v>0</v>
      </c>
      <c r="AT2135" s="53">
        <f t="shared" si="371"/>
        <v>0</v>
      </c>
      <c r="AU2135" s="53">
        <f t="shared" si="371"/>
        <v>0</v>
      </c>
      <c r="AV2135" s="53">
        <f t="shared" si="371"/>
        <v>0</v>
      </c>
      <c r="AW2135" s="53">
        <f t="shared" si="371"/>
        <v>258413.57099999997</v>
      </c>
      <c r="AX2135" s="53">
        <f t="shared" si="372"/>
        <v>0</v>
      </c>
      <c r="AY2135" s="41" t="s">
        <v>557</v>
      </c>
    </row>
    <row r="2136" spans="1:51" x14ac:dyDescent="0.2">
      <c r="A2136" s="41" t="s">
        <v>89</v>
      </c>
      <c r="B2136" s="41" t="s">
        <v>586</v>
      </c>
      <c r="C2136" s="41" t="s">
        <v>91</v>
      </c>
      <c r="D2136" s="41" t="s">
        <v>92</v>
      </c>
      <c r="E2136" s="41">
        <v>0</v>
      </c>
      <c r="F2136" s="41" t="s">
        <v>666</v>
      </c>
      <c r="G2136" s="53">
        <v>4468887</v>
      </c>
      <c r="H2136" s="46">
        <v>2.765535649032969</v>
      </c>
      <c r="I2136" s="46">
        <v>0.57454128287423689</v>
      </c>
      <c r="J2136" s="47">
        <v>4.946005114920113</v>
      </c>
      <c r="P2136" s="42">
        <v>7.7627256630118407E-2</v>
      </c>
      <c r="Q2136" s="41" t="s">
        <v>93</v>
      </c>
      <c r="S2136" s="53">
        <v>83789</v>
      </c>
      <c r="T2136" s="53">
        <v>1032.7377000000001</v>
      </c>
      <c r="U2136" s="53">
        <v>9526.7385999999988</v>
      </c>
      <c r="AE2136" s="53">
        <v>2021</v>
      </c>
      <c r="AH2136" s="53">
        <v>4061771.3943000003</v>
      </c>
      <c r="AM2136" s="53">
        <v>357510.96</v>
      </c>
      <c r="AO2136" s="53">
        <f t="shared" si="371"/>
        <v>12358866.309999999</v>
      </c>
      <c r="AP2136" s="53">
        <f t="shared" si="371"/>
        <v>2567560.0699999998</v>
      </c>
      <c r="AQ2136" s="53">
        <f t="shared" si="371"/>
        <v>22103137.959999997</v>
      </c>
      <c r="AR2136" s="53">
        <f t="shared" si="371"/>
        <v>0</v>
      </c>
      <c r="AS2136" s="53">
        <f t="shared" si="371"/>
        <v>0</v>
      </c>
      <c r="AT2136" s="53">
        <f t="shared" si="371"/>
        <v>0</v>
      </c>
      <c r="AU2136" s="53">
        <f t="shared" si="371"/>
        <v>0</v>
      </c>
      <c r="AV2136" s="53">
        <f t="shared" si="371"/>
        <v>0</v>
      </c>
      <c r="AW2136" s="53">
        <f t="shared" si="371"/>
        <v>346907.43799999997</v>
      </c>
      <c r="AX2136" s="53">
        <f t="shared" si="372"/>
        <v>0</v>
      </c>
      <c r="AY2136" s="41" t="s">
        <v>557</v>
      </c>
    </row>
    <row r="2137" spans="1:51" x14ac:dyDescent="0.2">
      <c r="A2137" s="41" t="s">
        <v>89</v>
      </c>
      <c r="B2137" s="41" t="s">
        <v>588</v>
      </c>
      <c r="C2137" s="41" t="s">
        <v>91</v>
      </c>
      <c r="D2137" s="41" t="s">
        <v>92</v>
      </c>
      <c r="E2137" s="41">
        <v>0</v>
      </c>
      <c r="F2137" s="41" t="s">
        <v>666</v>
      </c>
      <c r="G2137" s="53">
        <v>8245762</v>
      </c>
      <c r="H2137" s="46">
        <v>2.5878697808644002</v>
      </c>
      <c r="I2137" s="46">
        <v>0.63218759406347169</v>
      </c>
      <c r="J2137" s="47">
        <v>5.445665971198296</v>
      </c>
      <c r="P2137" s="42">
        <v>8.354110159861515E-2</v>
      </c>
      <c r="Q2137" s="41" t="s">
        <v>93</v>
      </c>
      <c r="S2137" s="53">
        <v>183604</v>
      </c>
      <c r="T2137" s="53">
        <v>908.46210000000008</v>
      </c>
      <c r="U2137" s="53">
        <v>8081.1795000000002</v>
      </c>
      <c r="AE2137" s="53">
        <v>4055</v>
      </c>
      <c r="AH2137" s="53">
        <v>7494573.0818000007</v>
      </c>
      <c r="AM2137" s="53">
        <v>659660.96</v>
      </c>
      <c r="AO2137" s="53">
        <f t="shared" si="371"/>
        <v>21338958.299999997</v>
      </c>
      <c r="AP2137" s="53">
        <f t="shared" si="371"/>
        <v>5212868.4400000004</v>
      </c>
      <c r="AQ2137" s="53">
        <f t="shared" si="371"/>
        <v>44903665.530000001</v>
      </c>
      <c r="AR2137" s="53">
        <f t="shared" si="371"/>
        <v>0</v>
      </c>
      <c r="AS2137" s="53">
        <f t="shared" si="371"/>
        <v>0</v>
      </c>
      <c r="AT2137" s="53">
        <f t="shared" si="371"/>
        <v>0</v>
      </c>
      <c r="AU2137" s="53">
        <f t="shared" si="371"/>
        <v>0</v>
      </c>
      <c r="AV2137" s="53">
        <f t="shared" si="371"/>
        <v>0</v>
      </c>
      <c r="AW2137" s="53">
        <f t="shared" si="371"/>
        <v>688860.04100000008</v>
      </c>
      <c r="AX2137" s="53">
        <f t="shared" si="372"/>
        <v>0</v>
      </c>
      <c r="AY2137" s="41" t="s">
        <v>557</v>
      </c>
    </row>
    <row r="2138" spans="1:51" x14ac:dyDescent="0.2">
      <c r="A2138" s="41" t="s">
        <v>89</v>
      </c>
      <c r="B2138" s="41" t="s">
        <v>589</v>
      </c>
      <c r="C2138" s="41" t="s">
        <v>91</v>
      </c>
      <c r="D2138" s="41" t="s">
        <v>92</v>
      </c>
      <c r="E2138" s="41">
        <v>0</v>
      </c>
      <c r="F2138" s="41" t="s">
        <v>666</v>
      </c>
      <c r="G2138" s="53">
        <v>9331445</v>
      </c>
      <c r="H2138" s="46">
        <v>2.4497252783464942</v>
      </c>
      <c r="I2138" s="46">
        <v>0.56767577047284745</v>
      </c>
      <c r="J2138" s="47">
        <v>4.7915405020337154</v>
      </c>
      <c r="P2138" s="42">
        <v>7.174095533971428E-2</v>
      </c>
      <c r="Q2138" s="41" t="s">
        <v>93</v>
      </c>
      <c r="S2138" s="53">
        <v>209847</v>
      </c>
      <c r="T2138" s="53">
        <v>3429.1793000000002</v>
      </c>
      <c r="U2138" s="53">
        <v>27557.71</v>
      </c>
      <c r="AE2138" s="53">
        <v>4814</v>
      </c>
      <c r="AH2138" s="53">
        <v>8481350.3605000004</v>
      </c>
      <c r="AM2138" s="53">
        <v>746515.6</v>
      </c>
      <c r="AO2138" s="53">
        <f t="shared" si="371"/>
        <v>22859476.700000003</v>
      </c>
      <c r="AP2138" s="53">
        <f t="shared" si="371"/>
        <v>5297235.2300000004</v>
      </c>
      <c r="AQ2138" s="53">
        <f t="shared" si="371"/>
        <v>44711996.660000004</v>
      </c>
      <c r="AR2138" s="53">
        <f t="shared" si="371"/>
        <v>0</v>
      </c>
      <c r="AS2138" s="53">
        <f t="shared" si="371"/>
        <v>0</v>
      </c>
      <c r="AT2138" s="53">
        <f t="shared" si="371"/>
        <v>0</v>
      </c>
      <c r="AU2138" s="53">
        <f t="shared" si="371"/>
        <v>0</v>
      </c>
      <c r="AV2138" s="53">
        <f t="shared" si="371"/>
        <v>0</v>
      </c>
      <c r="AW2138" s="53">
        <f t="shared" si="371"/>
        <v>669446.7790000001</v>
      </c>
      <c r="AX2138" s="53">
        <f t="shared" si="372"/>
        <v>0</v>
      </c>
      <c r="AY2138" s="41" t="s">
        <v>557</v>
      </c>
    </row>
    <row r="2139" spans="1:51" x14ac:dyDescent="0.2">
      <c r="A2139" s="41" t="s">
        <v>89</v>
      </c>
      <c r="B2139" s="41" t="s">
        <v>590</v>
      </c>
      <c r="C2139" s="41" t="s">
        <v>91</v>
      </c>
      <c r="D2139" s="41" t="s">
        <v>92</v>
      </c>
      <c r="E2139" s="41">
        <v>0</v>
      </c>
      <c r="F2139" s="41" t="s">
        <v>666</v>
      </c>
      <c r="G2139" s="53">
        <v>9121729</v>
      </c>
      <c r="H2139" s="46">
        <v>2.5222328562929244</v>
      </c>
      <c r="I2139" s="46">
        <v>0.55411872135205953</v>
      </c>
      <c r="J2139" s="47">
        <v>4.2426231397578249</v>
      </c>
      <c r="P2139" s="42">
        <v>7.0626686234594338E-2</v>
      </c>
      <c r="Q2139" s="41" t="s">
        <v>93</v>
      </c>
      <c r="S2139" s="53">
        <v>184460</v>
      </c>
      <c r="T2139" s="53">
        <v>2862.9416000000001</v>
      </c>
      <c r="U2139" s="53">
        <v>24076.344900000004</v>
      </c>
      <c r="AE2139" s="53">
        <v>3260.3139999999999</v>
      </c>
      <c r="AH2139" s="53">
        <v>8290739.4881000007</v>
      </c>
      <c r="AM2139" s="53">
        <v>729738.32000000007</v>
      </c>
      <c r="AO2139" s="53">
        <f t="shared" si="371"/>
        <v>23007124.59</v>
      </c>
      <c r="AP2139" s="53">
        <f t="shared" si="371"/>
        <v>5054520.8100000005</v>
      </c>
      <c r="AQ2139" s="53">
        <f t="shared" si="371"/>
        <v>38700058.530000001</v>
      </c>
      <c r="AR2139" s="53">
        <f t="shared" si="371"/>
        <v>0</v>
      </c>
      <c r="AS2139" s="53">
        <f t="shared" si="371"/>
        <v>0</v>
      </c>
      <c r="AT2139" s="53">
        <f t="shared" si="371"/>
        <v>0</v>
      </c>
      <c r="AU2139" s="53">
        <f t="shared" si="371"/>
        <v>0</v>
      </c>
      <c r="AV2139" s="53">
        <f t="shared" si="371"/>
        <v>0</v>
      </c>
      <c r="AW2139" s="53">
        <f t="shared" si="371"/>
        <v>644237.49199999997</v>
      </c>
      <c r="AX2139" s="53">
        <f t="shared" si="372"/>
        <v>0</v>
      </c>
      <c r="AY2139" s="41" t="s">
        <v>557</v>
      </c>
    </row>
    <row r="2140" spans="1:51" x14ac:dyDescent="0.2">
      <c r="A2140" s="41" t="s">
        <v>89</v>
      </c>
      <c r="B2140" s="41" t="s">
        <v>591</v>
      </c>
      <c r="C2140" s="41" t="s">
        <v>91</v>
      </c>
      <c r="D2140" s="41" t="s">
        <v>92</v>
      </c>
      <c r="E2140" s="41">
        <v>0</v>
      </c>
      <c r="F2140" s="41" t="s">
        <v>666</v>
      </c>
      <c r="G2140" s="53">
        <v>8684581</v>
      </c>
      <c r="H2140" s="46">
        <v>2.4935844999315449</v>
      </c>
      <c r="I2140" s="46">
        <v>0.50003730634788257</v>
      </c>
      <c r="J2140" s="47">
        <v>4.386603372114326</v>
      </c>
      <c r="P2140" s="42">
        <v>6.7668948795572281E-2</v>
      </c>
      <c r="Q2140" s="41" t="s">
        <v>93</v>
      </c>
      <c r="S2140" s="53">
        <v>181616</v>
      </c>
      <c r="T2140" s="53">
        <v>2394.2957000000001</v>
      </c>
      <c r="U2140" s="53">
        <v>20081.643199999999</v>
      </c>
      <c r="AE2140" s="53">
        <v>3086</v>
      </c>
      <c r="AH2140" s="53">
        <v>7893415.6709000003</v>
      </c>
      <c r="AM2140" s="53">
        <v>694766.48</v>
      </c>
      <c r="AO2140" s="53">
        <f t="shared" si="371"/>
        <v>21655736.569999997</v>
      </c>
      <c r="AP2140" s="53">
        <f t="shared" si="371"/>
        <v>4342614.49</v>
      </c>
      <c r="AQ2140" s="53">
        <f t="shared" si="371"/>
        <v>38095812.300000004</v>
      </c>
      <c r="AR2140" s="53">
        <f t="shared" si="371"/>
        <v>0</v>
      </c>
      <c r="AS2140" s="53">
        <f t="shared" si="371"/>
        <v>0</v>
      </c>
      <c r="AT2140" s="53">
        <f t="shared" si="371"/>
        <v>0</v>
      </c>
      <c r="AU2140" s="53">
        <f t="shared" si="371"/>
        <v>0</v>
      </c>
      <c r="AV2140" s="53">
        <f t="shared" si="371"/>
        <v>0</v>
      </c>
      <c r="AW2140" s="53">
        <f t="shared" si="371"/>
        <v>587676.46699999995</v>
      </c>
      <c r="AX2140" s="53">
        <f t="shared" si="372"/>
        <v>0</v>
      </c>
      <c r="AY2140" s="41" t="s">
        <v>557</v>
      </c>
    </row>
    <row r="2141" spans="1:51" x14ac:dyDescent="0.2">
      <c r="A2141" s="41" t="s">
        <v>89</v>
      </c>
      <c r="B2141" s="41" t="s">
        <v>592</v>
      </c>
      <c r="C2141" s="41" t="s">
        <v>91</v>
      </c>
      <c r="D2141" s="41" t="s">
        <v>92</v>
      </c>
      <c r="E2141" s="41">
        <v>0</v>
      </c>
      <c r="F2141" s="41" t="s">
        <v>666</v>
      </c>
      <c r="G2141" s="53">
        <v>8574368</v>
      </c>
      <c r="H2141" s="46">
        <v>2.4255944029927337</v>
      </c>
      <c r="I2141" s="46">
        <v>0.45771524035357475</v>
      </c>
      <c r="J2141" s="47">
        <v>5.0009404343270552</v>
      </c>
      <c r="P2141" s="42">
        <v>6.3763137178157042E-2</v>
      </c>
      <c r="Q2141" s="41" t="s">
        <v>93</v>
      </c>
      <c r="S2141" s="53">
        <v>171515.95600000001</v>
      </c>
      <c r="T2141" s="53">
        <v>2182.9090000000001</v>
      </c>
      <c r="U2141" s="53">
        <v>19834.740300000001</v>
      </c>
      <c r="AE2141" s="53">
        <v>4009</v>
      </c>
      <c r="AH2141" s="53">
        <v>7793243.0752000008</v>
      </c>
      <c r="AM2141" s="53">
        <v>685949.44000000006</v>
      </c>
      <c r="AO2141" s="53">
        <f t="shared" si="371"/>
        <v>20797939.030000001</v>
      </c>
      <c r="AP2141" s="53">
        <f t="shared" si="371"/>
        <v>3924618.91</v>
      </c>
      <c r="AQ2141" s="53">
        <f t="shared" si="371"/>
        <v>42879903.630000003</v>
      </c>
      <c r="AR2141" s="53">
        <f t="shared" si="371"/>
        <v>0</v>
      </c>
      <c r="AS2141" s="53">
        <f t="shared" si="371"/>
        <v>0</v>
      </c>
      <c r="AT2141" s="53">
        <f t="shared" si="371"/>
        <v>0</v>
      </c>
      <c r="AU2141" s="53">
        <f t="shared" si="371"/>
        <v>0</v>
      </c>
      <c r="AV2141" s="53">
        <f t="shared" si="371"/>
        <v>0</v>
      </c>
      <c r="AW2141" s="53">
        <f t="shared" si="371"/>
        <v>546728.603</v>
      </c>
      <c r="AX2141" s="53">
        <f t="shared" si="372"/>
        <v>0</v>
      </c>
      <c r="AY2141" s="41" t="s">
        <v>557</v>
      </c>
    </row>
    <row r="2142" spans="1:51" x14ac:dyDescent="0.2">
      <c r="A2142" s="41" t="s">
        <v>89</v>
      </c>
      <c r="B2142" s="41" t="s">
        <v>593</v>
      </c>
      <c r="C2142" s="41" t="s">
        <v>91</v>
      </c>
      <c r="D2142" s="41" t="s">
        <v>92</v>
      </c>
      <c r="E2142" s="41">
        <v>0</v>
      </c>
      <c r="F2142" s="41" t="s">
        <v>666</v>
      </c>
      <c r="G2142" s="53">
        <v>9293702</v>
      </c>
      <c r="H2142" s="46">
        <v>2.2622918650327177</v>
      </c>
      <c r="I2142" s="46">
        <v>0.46049547962695597</v>
      </c>
      <c r="J2142" s="47">
        <v>4.1562590429518833</v>
      </c>
      <c r="P2142" s="42">
        <v>6.1991129283034907E-2</v>
      </c>
      <c r="Q2142" s="41" t="s">
        <v>93</v>
      </c>
      <c r="S2142" s="53">
        <v>231091</v>
      </c>
      <c r="T2142" s="53">
        <v>2642.7847000000002</v>
      </c>
      <c r="U2142" s="53">
        <v>24703.849600000001</v>
      </c>
      <c r="AE2142" s="53">
        <v>4349.7127664764594</v>
      </c>
      <c r="AH2142" s="53">
        <v>8447045.7478</v>
      </c>
      <c r="AM2142" s="53">
        <v>743496.16</v>
      </c>
      <c r="AO2142" s="53">
        <f t="shared" si="371"/>
        <v>21025066.430638298</v>
      </c>
      <c r="AP2142" s="53">
        <f t="shared" si="371"/>
        <v>4279707.76</v>
      </c>
      <c r="AQ2142" s="53">
        <f t="shared" si="371"/>
        <v>38627032.980000004</v>
      </c>
      <c r="AR2142" s="53">
        <f t="shared" si="371"/>
        <v>0</v>
      </c>
      <c r="AS2142" s="53">
        <f t="shared" si="371"/>
        <v>0</v>
      </c>
      <c r="AT2142" s="53">
        <f t="shared" si="371"/>
        <v>0</v>
      </c>
      <c r="AU2142" s="53">
        <f t="shared" si="371"/>
        <v>0</v>
      </c>
      <c r="AV2142" s="53">
        <f t="shared" si="371"/>
        <v>0</v>
      </c>
      <c r="AW2142" s="53">
        <f t="shared" si="371"/>
        <v>576127.08220000006</v>
      </c>
      <c r="AX2142" s="53">
        <f t="shared" si="372"/>
        <v>0</v>
      </c>
      <c r="AY2142" s="41" t="s">
        <v>557</v>
      </c>
    </row>
    <row r="2143" spans="1:51" x14ac:dyDescent="0.2">
      <c r="A2143" s="41" t="s">
        <v>89</v>
      </c>
      <c r="B2143" s="41" t="s">
        <v>594</v>
      </c>
      <c r="C2143" s="41" t="s">
        <v>91</v>
      </c>
      <c r="D2143" s="41" t="s">
        <v>92</v>
      </c>
      <c r="E2143" s="41">
        <v>0</v>
      </c>
      <c r="F2143" s="41" t="s">
        <v>666</v>
      </c>
      <c r="G2143" s="53">
        <v>9635000</v>
      </c>
      <c r="H2143" s="46">
        <v>2.1944265697976131</v>
      </c>
      <c r="I2143" s="46">
        <v>0.51811734271042298</v>
      </c>
      <c r="J2143" s="47">
        <v>4.2587890851915811</v>
      </c>
      <c r="P2143" s="42">
        <v>6.0928386092371563E-2</v>
      </c>
      <c r="Q2143" s="41" t="s">
        <v>93</v>
      </c>
      <c r="S2143" s="53">
        <v>204200</v>
      </c>
      <c r="T2143" s="53">
        <v>3344.6806000000001</v>
      </c>
      <c r="U2143" s="53">
        <v>27492.400000000001</v>
      </c>
      <c r="AE2143" s="53">
        <v>3908.0553810318324</v>
      </c>
      <c r="AH2143" s="53">
        <v>8757251.5</v>
      </c>
      <c r="AM2143" s="53">
        <v>770800</v>
      </c>
      <c r="AO2143" s="53">
        <f t="shared" si="371"/>
        <v>21143300.000000004</v>
      </c>
      <c r="AP2143" s="53">
        <f t="shared" si="371"/>
        <v>4992060.5970149254</v>
      </c>
      <c r="AQ2143" s="53">
        <f t="shared" si="371"/>
        <v>41033432.835820884</v>
      </c>
      <c r="AR2143" s="53">
        <f t="shared" si="371"/>
        <v>0</v>
      </c>
      <c r="AS2143" s="53">
        <f t="shared" si="371"/>
        <v>0</v>
      </c>
      <c r="AT2143" s="53">
        <f t="shared" si="371"/>
        <v>0</v>
      </c>
      <c r="AU2143" s="53">
        <f t="shared" si="371"/>
        <v>0</v>
      </c>
      <c r="AV2143" s="53">
        <f t="shared" si="371"/>
        <v>0</v>
      </c>
      <c r="AW2143" s="53">
        <f t="shared" si="371"/>
        <v>587045</v>
      </c>
      <c r="AX2143" s="53">
        <f t="shared" si="372"/>
        <v>0</v>
      </c>
      <c r="AY2143" s="41" t="s">
        <v>557</v>
      </c>
    </row>
    <row r="2144" spans="1:51" x14ac:dyDescent="0.2">
      <c r="A2144" s="41" t="s">
        <v>89</v>
      </c>
      <c r="B2144" s="41" t="s">
        <v>595</v>
      </c>
      <c r="C2144" s="41" t="s">
        <v>91</v>
      </c>
      <c r="D2144" s="41" t="s">
        <v>92</v>
      </c>
      <c r="E2144" s="41">
        <v>0</v>
      </c>
      <c r="F2144" s="41" t="s">
        <v>666</v>
      </c>
      <c r="G2144" s="53">
        <v>8614000</v>
      </c>
      <c r="H2144" s="46">
        <v>2.0207545855583935</v>
      </c>
      <c r="I2144" s="46">
        <v>0.50140820792086171</v>
      </c>
      <c r="J2144" s="47">
        <v>4.3863685981515683</v>
      </c>
      <c r="P2144" s="42">
        <v>5.8008590666357093E-2</v>
      </c>
      <c r="Q2144" s="41" t="s">
        <v>93</v>
      </c>
      <c r="S2144" s="53">
        <v>184500</v>
      </c>
      <c r="T2144" s="53">
        <v>2850.6260000000002</v>
      </c>
      <c r="U2144" s="53">
        <v>25315.4</v>
      </c>
      <c r="AE2144" s="53">
        <v>3469.0216049382716</v>
      </c>
      <c r="AH2144" s="53">
        <v>7829264.6000000006</v>
      </c>
      <c r="AM2144" s="53">
        <v>689120</v>
      </c>
      <c r="AO2144" s="53">
        <f t="shared" si="371"/>
        <v>17406780</v>
      </c>
      <c r="AP2144" s="53">
        <f t="shared" si="371"/>
        <v>4319130.3030303027</v>
      </c>
      <c r="AQ2144" s="53">
        <f t="shared" si="371"/>
        <v>37784179.104477607</v>
      </c>
      <c r="AR2144" s="53">
        <f t="shared" si="371"/>
        <v>0</v>
      </c>
      <c r="AS2144" s="53">
        <f t="shared" si="371"/>
        <v>0</v>
      </c>
      <c r="AT2144" s="53">
        <f t="shared" si="371"/>
        <v>0</v>
      </c>
      <c r="AU2144" s="53">
        <f t="shared" si="371"/>
        <v>0</v>
      </c>
      <c r="AV2144" s="53">
        <f t="shared" si="371"/>
        <v>0</v>
      </c>
      <c r="AW2144" s="53">
        <f t="shared" si="371"/>
        <v>499686</v>
      </c>
      <c r="AX2144" s="53">
        <f t="shared" si="372"/>
        <v>0</v>
      </c>
      <c r="AY2144" s="41" t="s">
        <v>557</v>
      </c>
    </row>
    <row r="2145" spans="1:51" x14ac:dyDescent="0.2">
      <c r="A2145" s="41" t="s">
        <v>89</v>
      </c>
      <c r="B2145" s="41" t="s">
        <v>596</v>
      </c>
      <c r="C2145" s="41" t="s">
        <v>91</v>
      </c>
      <c r="D2145" s="41" t="s">
        <v>92</v>
      </c>
      <c r="E2145" s="41">
        <v>0</v>
      </c>
      <c r="F2145" s="41" t="s">
        <v>666</v>
      </c>
      <c r="G2145" s="53">
        <v>9694000</v>
      </c>
      <c r="H2145" s="46">
        <v>1.9060934598720858</v>
      </c>
      <c r="I2145" s="46">
        <v>0.3913821576607836</v>
      </c>
      <c r="J2145" s="47">
        <v>3.7348844800137946</v>
      </c>
      <c r="P2145" s="42">
        <v>5.9325974829791621E-2</v>
      </c>
      <c r="Q2145" s="41" t="s">
        <v>93</v>
      </c>
      <c r="S2145" s="53">
        <v>170000</v>
      </c>
      <c r="T2145" s="53">
        <v>2504.0787</v>
      </c>
      <c r="U2145" s="53">
        <v>24258</v>
      </c>
      <c r="AE2145" s="53">
        <v>4144</v>
      </c>
      <c r="AH2145" s="53">
        <v>8810876.5999999996</v>
      </c>
      <c r="AM2145" s="53">
        <v>775520</v>
      </c>
      <c r="AO2145" s="53">
        <f t="shared" si="371"/>
        <v>18477670</v>
      </c>
      <c r="AP2145" s="53">
        <f t="shared" si="371"/>
        <v>3794058.6363636362</v>
      </c>
      <c r="AQ2145" s="53">
        <f t="shared" si="371"/>
        <v>36205970.149253726</v>
      </c>
      <c r="AR2145" s="53">
        <f t="shared" si="371"/>
        <v>0</v>
      </c>
      <c r="AS2145" s="53">
        <f t="shared" si="371"/>
        <v>0</v>
      </c>
      <c r="AT2145" s="53">
        <f t="shared" si="371"/>
        <v>0</v>
      </c>
      <c r="AU2145" s="53">
        <f t="shared" si="371"/>
        <v>0</v>
      </c>
      <c r="AV2145" s="53">
        <f t="shared" si="371"/>
        <v>0</v>
      </c>
      <c r="AW2145" s="53">
        <f t="shared" si="371"/>
        <v>575106</v>
      </c>
      <c r="AX2145" s="53">
        <f t="shared" si="372"/>
        <v>0</v>
      </c>
      <c r="AY2145" s="41" t="s">
        <v>557</v>
      </c>
    </row>
    <row r="2146" spans="1:51" x14ac:dyDescent="0.2">
      <c r="A2146" s="41" t="s">
        <v>89</v>
      </c>
      <c r="B2146" s="41" t="s">
        <v>576</v>
      </c>
      <c r="C2146" s="41" t="s">
        <v>91</v>
      </c>
      <c r="D2146" s="41" t="s">
        <v>92</v>
      </c>
      <c r="E2146" s="41">
        <v>0</v>
      </c>
      <c r="F2146" s="41" t="s">
        <v>666</v>
      </c>
      <c r="G2146" s="53">
        <v>9883000</v>
      </c>
      <c r="H2146" s="46">
        <v>1.8651290094100981</v>
      </c>
      <c r="I2146" s="46">
        <v>0.52304468434530149</v>
      </c>
      <c r="J2146" s="47">
        <v>4.5362588438577509</v>
      </c>
      <c r="P2146" s="42">
        <v>5.3841546089244158E-2</v>
      </c>
      <c r="Q2146" s="41" t="s">
        <v>93</v>
      </c>
      <c r="S2146" s="53">
        <v>194100</v>
      </c>
      <c r="T2146" s="53">
        <v>3360.0129000000002</v>
      </c>
      <c r="U2146" s="53">
        <v>29140.7</v>
      </c>
      <c r="AE2146" s="53">
        <v>4007</v>
      </c>
      <c r="AH2146" s="53">
        <v>8982658.7000000011</v>
      </c>
      <c r="AM2146" s="53">
        <v>790640</v>
      </c>
      <c r="AO2146" s="53">
        <f t="shared" si="371"/>
        <v>18433070</v>
      </c>
      <c r="AP2146" s="53">
        <f t="shared" si="371"/>
        <v>5169250.615384615</v>
      </c>
      <c r="AQ2146" s="53">
        <f t="shared" si="371"/>
        <v>44831846.153846152</v>
      </c>
      <c r="AR2146" s="53">
        <f t="shared" si="371"/>
        <v>0</v>
      </c>
      <c r="AS2146" s="53">
        <f t="shared" si="371"/>
        <v>0</v>
      </c>
      <c r="AT2146" s="53">
        <f t="shared" si="371"/>
        <v>0</v>
      </c>
      <c r="AU2146" s="53">
        <f t="shared" si="371"/>
        <v>0</v>
      </c>
      <c r="AV2146" s="53">
        <f t="shared" si="371"/>
        <v>0</v>
      </c>
      <c r="AW2146" s="53">
        <f t="shared" si="371"/>
        <v>532116</v>
      </c>
      <c r="AX2146" s="53">
        <f t="shared" si="372"/>
        <v>0</v>
      </c>
      <c r="AY2146" s="41" t="s">
        <v>557</v>
      </c>
    </row>
    <row r="2147" spans="1:51" x14ac:dyDescent="0.2">
      <c r="A2147" s="41" t="s">
        <v>89</v>
      </c>
      <c r="B2147" s="41" t="s">
        <v>578</v>
      </c>
      <c r="C2147" s="41" t="s">
        <v>91</v>
      </c>
      <c r="D2147" s="41" t="s">
        <v>92</v>
      </c>
      <c r="E2147" s="41">
        <v>0</v>
      </c>
      <c r="F2147" s="41" t="s">
        <v>666</v>
      </c>
      <c r="G2147" s="53">
        <v>5115000</v>
      </c>
      <c r="H2147" s="46">
        <v>1.848533724340176</v>
      </c>
      <c r="I2147" s="46">
        <v>0.61263655913978499</v>
      </c>
      <c r="J2147" s="47">
        <v>4.6770433867208059</v>
      </c>
      <c r="P2147" s="42">
        <v>5.795425219941349E-2</v>
      </c>
      <c r="Q2147" s="41" t="s">
        <v>93</v>
      </c>
      <c r="S2147" s="53">
        <v>103300</v>
      </c>
      <c r="T2147" s="53">
        <v>2036.8634000000002</v>
      </c>
      <c r="U2147" s="53">
        <v>15550</v>
      </c>
      <c r="AE2147" s="53">
        <v>2272.9230491329481</v>
      </c>
      <c r="AH2147" s="53">
        <v>4649023.5</v>
      </c>
      <c r="AM2147" s="53">
        <v>409200</v>
      </c>
      <c r="AO2147" s="53">
        <f t="shared" si="371"/>
        <v>9455250</v>
      </c>
      <c r="AP2147" s="53">
        <f t="shared" si="371"/>
        <v>3133636</v>
      </c>
      <c r="AQ2147" s="53">
        <f t="shared" si="371"/>
        <v>23923076.923076924</v>
      </c>
      <c r="AR2147" s="53">
        <f t="shared" si="371"/>
        <v>0</v>
      </c>
      <c r="AS2147" s="53">
        <f t="shared" si="371"/>
        <v>0</v>
      </c>
      <c r="AT2147" s="53">
        <f t="shared" si="371"/>
        <v>0</v>
      </c>
      <c r="AU2147" s="53">
        <f t="shared" si="371"/>
        <v>0</v>
      </c>
      <c r="AV2147" s="53">
        <f t="shared" si="371"/>
        <v>0</v>
      </c>
      <c r="AW2147" s="53">
        <f t="shared" si="371"/>
        <v>296436</v>
      </c>
      <c r="AX2147" s="53">
        <f t="shared" si="372"/>
        <v>0</v>
      </c>
      <c r="AY2147" s="41" t="s">
        <v>557</v>
      </c>
    </row>
    <row r="2148" spans="1:51" x14ac:dyDescent="0.2">
      <c r="A2148" s="41" t="s">
        <v>89</v>
      </c>
      <c r="B2148" s="41" t="s">
        <v>579</v>
      </c>
      <c r="C2148" s="41" t="s">
        <v>91</v>
      </c>
      <c r="D2148" s="41" t="s">
        <v>92</v>
      </c>
      <c r="E2148" s="41">
        <v>0</v>
      </c>
      <c r="F2148" s="41" t="s">
        <v>666</v>
      </c>
      <c r="G2148" s="53">
        <v>10330000</v>
      </c>
      <c r="H2148" s="46">
        <v>1.8613620522749275</v>
      </c>
      <c r="I2148" s="46">
        <v>0.4789855898216015</v>
      </c>
      <c r="J2148" s="47">
        <v>4.548395263980936</v>
      </c>
      <c r="P2148" s="42">
        <v>5.2984704743465637E-2</v>
      </c>
      <c r="Q2148" s="41" t="s">
        <v>93</v>
      </c>
      <c r="S2148" s="53">
        <v>194100</v>
      </c>
      <c r="T2148" s="53">
        <v>3463.5448000000001</v>
      </c>
      <c r="U2148" s="53">
        <v>30540.2</v>
      </c>
      <c r="AE2148" s="53">
        <v>4022.0122832369943</v>
      </c>
      <c r="AH2148" s="53">
        <v>9388937</v>
      </c>
      <c r="AM2148" s="53">
        <v>826400</v>
      </c>
      <c r="AO2148" s="53">
        <f t="shared" si="371"/>
        <v>19227870</v>
      </c>
      <c r="AP2148" s="53">
        <f t="shared" si="371"/>
        <v>4947921.1428571437</v>
      </c>
      <c r="AQ2148" s="53">
        <f t="shared" si="371"/>
        <v>46984923.076923065</v>
      </c>
      <c r="AR2148" s="53">
        <f t="shared" si="371"/>
        <v>0</v>
      </c>
      <c r="AS2148" s="53">
        <f t="shared" si="371"/>
        <v>0</v>
      </c>
      <c r="AT2148" s="53">
        <f t="shared" si="371"/>
        <v>0</v>
      </c>
      <c r="AU2148" s="53">
        <f t="shared" si="371"/>
        <v>0</v>
      </c>
      <c r="AV2148" s="53">
        <f t="shared" si="371"/>
        <v>0</v>
      </c>
      <c r="AW2148" s="53">
        <f t="shared" si="371"/>
        <v>547332</v>
      </c>
      <c r="AX2148" s="53">
        <f t="shared" si="372"/>
        <v>0</v>
      </c>
      <c r="AY2148" s="41" t="s">
        <v>557</v>
      </c>
    </row>
    <row r="2149" spans="1:51" x14ac:dyDescent="0.2">
      <c r="A2149" s="41" t="s">
        <v>89</v>
      </c>
      <c r="B2149" s="41" t="s">
        <v>571</v>
      </c>
      <c r="C2149" s="41" t="s">
        <v>91</v>
      </c>
      <c r="D2149" s="41" t="s">
        <v>92</v>
      </c>
      <c r="E2149" s="41">
        <v>0</v>
      </c>
      <c r="F2149" s="41" t="s">
        <v>666</v>
      </c>
      <c r="G2149" s="53">
        <v>9581000</v>
      </c>
      <c r="H2149" s="46">
        <v>1.9813411961173155</v>
      </c>
      <c r="I2149" s="46">
        <v>0.54646540027137047</v>
      </c>
      <c r="J2149" s="47">
        <v>4.4608015232167197</v>
      </c>
      <c r="P2149" s="42">
        <v>5.392693873290888E-2</v>
      </c>
      <c r="Q2149" s="41" t="s">
        <v>93</v>
      </c>
      <c r="S2149" s="53">
        <v>192600</v>
      </c>
      <c r="T2149" s="53">
        <v>3664.9794999999999</v>
      </c>
      <c r="U2149" s="53">
        <v>28207.7</v>
      </c>
      <c r="AE2149" s="53">
        <v>3876</v>
      </c>
      <c r="AH2149" s="53">
        <v>8708170.9000000004</v>
      </c>
      <c r="AM2149" s="53">
        <v>766480</v>
      </c>
      <c r="AO2149" s="53">
        <f t="shared" si="371"/>
        <v>18983230</v>
      </c>
      <c r="AP2149" s="53">
        <f t="shared" si="371"/>
        <v>5235685.0000000009</v>
      </c>
      <c r="AQ2149" s="53">
        <f t="shared" si="371"/>
        <v>42738939.393939391</v>
      </c>
      <c r="AR2149" s="53">
        <f t="shared" si="371"/>
        <v>0</v>
      </c>
      <c r="AS2149" s="53">
        <f t="shared" si="371"/>
        <v>0</v>
      </c>
      <c r="AT2149" s="53">
        <f t="shared" si="371"/>
        <v>0</v>
      </c>
      <c r="AU2149" s="53">
        <f t="shared" si="371"/>
        <v>0</v>
      </c>
      <c r="AV2149" s="53">
        <f t="shared" si="371"/>
        <v>0</v>
      </c>
      <c r="AW2149" s="53">
        <f t="shared" si="371"/>
        <v>516674</v>
      </c>
      <c r="AX2149" s="53">
        <f t="shared" si="372"/>
        <v>0</v>
      </c>
      <c r="AY2149" s="41" t="s">
        <v>557</v>
      </c>
    </row>
    <row r="2150" spans="1:51" x14ac:dyDescent="0.2">
      <c r="A2150" s="41" t="s">
        <v>89</v>
      </c>
      <c r="B2150" s="41" t="s">
        <v>573</v>
      </c>
      <c r="C2150" s="41" t="s">
        <v>91</v>
      </c>
      <c r="D2150" s="41" t="s">
        <v>92</v>
      </c>
      <c r="E2150" s="41">
        <v>0</v>
      </c>
      <c r="F2150" s="41" t="s">
        <v>666</v>
      </c>
      <c r="G2150" s="53">
        <v>9900000</v>
      </c>
      <c r="H2150" s="46">
        <v>1.8021919191919191</v>
      </c>
      <c r="I2150" s="46">
        <v>0.50819105339105342</v>
      </c>
      <c r="J2150" s="47">
        <v>4.1885521885521877</v>
      </c>
      <c r="P2150" s="42">
        <v>5.2844949494949493E-2</v>
      </c>
      <c r="Q2150" s="41" t="s">
        <v>93</v>
      </c>
      <c r="S2150" s="53">
        <v>166200</v>
      </c>
      <c r="T2150" s="53">
        <v>3521.7640000000001</v>
      </c>
      <c r="U2150" s="53">
        <v>27368</v>
      </c>
      <c r="AE2150" s="53">
        <v>4102</v>
      </c>
      <c r="AH2150" s="53">
        <v>8998110</v>
      </c>
      <c r="AM2150" s="53">
        <v>792000</v>
      </c>
      <c r="AO2150" s="53">
        <f t="shared" si="371"/>
        <v>17841700</v>
      </c>
      <c r="AP2150" s="53">
        <f t="shared" si="371"/>
        <v>5031091.4285714291</v>
      </c>
      <c r="AQ2150" s="53">
        <f t="shared" si="371"/>
        <v>41466666.666666657</v>
      </c>
      <c r="AR2150" s="53">
        <f t="shared" si="371"/>
        <v>0</v>
      </c>
      <c r="AS2150" s="53">
        <f t="shared" si="371"/>
        <v>0</v>
      </c>
      <c r="AT2150" s="53">
        <f t="shared" si="371"/>
        <v>0</v>
      </c>
      <c r="AU2150" s="53">
        <f t="shared" si="371"/>
        <v>0</v>
      </c>
      <c r="AV2150" s="53">
        <f t="shared" si="371"/>
        <v>0</v>
      </c>
      <c r="AW2150" s="53">
        <f t="shared" si="371"/>
        <v>523165</v>
      </c>
      <c r="AX2150" s="53">
        <f t="shared" si="372"/>
        <v>0</v>
      </c>
      <c r="AY2150" s="41" t="s">
        <v>557</v>
      </c>
    </row>
    <row r="2151" spans="1:51" x14ac:dyDescent="0.2">
      <c r="A2151" s="41" t="s">
        <v>89</v>
      </c>
      <c r="B2151" s="41" t="s">
        <v>580</v>
      </c>
      <c r="C2151" s="41" t="s">
        <v>91</v>
      </c>
      <c r="D2151" s="41" t="s">
        <v>92</v>
      </c>
      <c r="E2151" s="41">
        <v>0</v>
      </c>
      <c r="F2151" s="41" t="s">
        <v>666</v>
      </c>
      <c r="G2151" s="53">
        <v>10120000</v>
      </c>
      <c r="H2151" s="46">
        <v>1.8803063241106719</v>
      </c>
      <c r="I2151" s="46">
        <v>0.5326818887634106</v>
      </c>
      <c r="J2151" s="47">
        <v>4.6673048418972334</v>
      </c>
      <c r="P2151" s="42">
        <v>5.2453754940711465E-2</v>
      </c>
      <c r="Q2151" s="41" t="s">
        <v>93</v>
      </c>
      <c r="S2151" s="53">
        <v>184400</v>
      </c>
      <c r="T2151" s="53">
        <v>3773.5185000000001</v>
      </c>
      <c r="U2151" s="53">
        <v>30229.200000000001</v>
      </c>
      <c r="AE2151" s="53">
        <v>3988</v>
      </c>
      <c r="AH2151" s="53">
        <v>9198068</v>
      </c>
      <c r="AM2151" s="53">
        <v>809600</v>
      </c>
      <c r="AO2151" s="53">
        <f t="shared" si="371"/>
        <v>19028700</v>
      </c>
      <c r="AP2151" s="53">
        <f t="shared" si="371"/>
        <v>5390740.7142857155</v>
      </c>
      <c r="AQ2151" s="53">
        <f t="shared" si="371"/>
        <v>47233125</v>
      </c>
      <c r="AR2151" s="53">
        <f t="shared" si="371"/>
        <v>0</v>
      </c>
      <c r="AS2151" s="53">
        <f t="shared" si="371"/>
        <v>0</v>
      </c>
      <c r="AT2151" s="53">
        <f t="shared" si="371"/>
        <v>0</v>
      </c>
      <c r="AU2151" s="53">
        <f t="shared" si="371"/>
        <v>0</v>
      </c>
      <c r="AV2151" s="53">
        <f t="shared" si="371"/>
        <v>0</v>
      </c>
      <c r="AW2151" s="53">
        <f t="shared" si="371"/>
        <v>530832</v>
      </c>
      <c r="AX2151" s="53">
        <f t="shared" si="372"/>
        <v>0</v>
      </c>
      <c r="AY2151" s="41" t="s">
        <v>557</v>
      </c>
    </row>
    <row r="2152" spans="1:51" x14ac:dyDescent="0.2">
      <c r="A2152" s="41" t="s">
        <v>89</v>
      </c>
      <c r="B2152" s="41" t="s">
        <v>581</v>
      </c>
      <c r="C2152" s="41" t="s">
        <v>91</v>
      </c>
      <c r="D2152" s="41" t="s">
        <v>92</v>
      </c>
      <c r="E2152" s="41">
        <v>0</v>
      </c>
      <c r="F2152" s="41" t="s">
        <v>666</v>
      </c>
      <c r="G2152" s="53">
        <v>7928000</v>
      </c>
      <c r="H2152" s="46">
        <v>1.8586919778002018</v>
      </c>
      <c r="I2152" s="46">
        <v>0.57891765324540589</v>
      </c>
      <c r="J2152" s="47">
        <v>4.4376734359233101</v>
      </c>
      <c r="P2152" s="42">
        <v>5.7102421796165488E-2</v>
      </c>
      <c r="Q2152" s="41" t="s">
        <v>93</v>
      </c>
      <c r="S2152" s="53">
        <v>124500</v>
      </c>
      <c r="T2152" s="53">
        <v>3258.6579999999999</v>
      </c>
      <c r="U2152" s="53">
        <v>22516.400000000001</v>
      </c>
      <c r="AE2152" s="53">
        <v>3144</v>
      </c>
      <c r="AH2152" s="53">
        <v>7205759.2000000002</v>
      </c>
      <c r="AM2152" s="53">
        <v>634240</v>
      </c>
      <c r="AO2152" s="53">
        <f t="shared" si="371"/>
        <v>14735710</v>
      </c>
      <c r="AP2152" s="53">
        <f t="shared" si="371"/>
        <v>4589659.1549295783</v>
      </c>
      <c r="AQ2152" s="53">
        <f t="shared" si="371"/>
        <v>35181875</v>
      </c>
      <c r="AR2152" s="53">
        <f t="shared" si="371"/>
        <v>0</v>
      </c>
      <c r="AS2152" s="53">
        <f t="shared" si="371"/>
        <v>0</v>
      </c>
      <c r="AT2152" s="53">
        <f t="shared" si="371"/>
        <v>0</v>
      </c>
      <c r="AU2152" s="53">
        <f t="shared" si="371"/>
        <v>0</v>
      </c>
      <c r="AV2152" s="53">
        <f t="shared" si="371"/>
        <v>0</v>
      </c>
      <c r="AW2152" s="53">
        <f t="shared" si="371"/>
        <v>452708</v>
      </c>
      <c r="AX2152" s="53">
        <f t="shared" si="372"/>
        <v>0</v>
      </c>
      <c r="AY2152" s="41" t="s">
        <v>557</v>
      </c>
    </row>
    <row r="2153" spans="1:51" x14ac:dyDescent="0.2">
      <c r="A2153" s="41" t="s">
        <v>89</v>
      </c>
      <c r="B2153" s="41" t="s">
        <v>597</v>
      </c>
      <c r="C2153" s="41" t="s">
        <v>91</v>
      </c>
      <c r="D2153" s="41" t="s">
        <v>92</v>
      </c>
      <c r="E2153" s="41">
        <v>0</v>
      </c>
      <c r="F2153" s="41" t="s">
        <v>666</v>
      </c>
      <c r="G2153" s="53">
        <v>9699000</v>
      </c>
      <c r="H2153" s="46">
        <v>2.005666563563254</v>
      </c>
      <c r="I2153" s="46">
        <v>0.53149585625932105</v>
      </c>
      <c r="J2153" s="47">
        <v>4.5943364006598619</v>
      </c>
      <c r="P2153" s="42">
        <v>6.0585318074028248E-2</v>
      </c>
      <c r="Q2153" s="41" t="s">
        <v>93</v>
      </c>
      <c r="S2153" s="53">
        <v>202800</v>
      </c>
      <c r="T2153" s="53">
        <f>117686*31.1/1000</f>
        <v>3660.0346</v>
      </c>
      <c r="U2153" s="53">
        <f>917000*31.1/1000</f>
        <v>28518.7</v>
      </c>
      <c r="AE2153" s="53">
        <v>4384</v>
      </c>
      <c r="AH2153" s="53">
        <v>8815421.0999999996</v>
      </c>
      <c r="AM2153" s="53">
        <v>775920</v>
      </c>
      <c r="AO2153" s="53">
        <f t="shared" si="371"/>
        <v>19452960</v>
      </c>
      <c r="AP2153" s="53">
        <f t="shared" si="371"/>
        <v>5154978.3098591547</v>
      </c>
      <c r="AQ2153" s="53">
        <f t="shared" si="371"/>
        <v>44560468.75</v>
      </c>
      <c r="AR2153" s="53">
        <f t="shared" si="371"/>
        <v>0</v>
      </c>
      <c r="AS2153" s="53">
        <f t="shared" si="371"/>
        <v>0</v>
      </c>
      <c r="AT2153" s="53">
        <f t="shared" si="371"/>
        <v>0</v>
      </c>
      <c r="AU2153" s="53">
        <f t="shared" si="371"/>
        <v>0</v>
      </c>
      <c r="AV2153" s="53">
        <f t="shared" si="371"/>
        <v>0</v>
      </c>
      <c r="AW2153" s="53">
        <f t="shared" si="371"/>
        <v>587617</v>
      </c>
      <c r="AX2153" s="53">
        <f t="shared" si="372"/>
        <v>0</v>
      </c>
      <c r="AY2153" s="41" t="s">
        <v>557</v>
      </c>
    </row>
    <row r="2154" spans="1:51" x14ac:dyDescent="0.2">
      <c r="A2154" s="84"/>
      <c r="B2154" s="85" t="s">
        <v>669</v>
      </c>
      <c r="C2154" s="60" t="s">
        <v>91</v>
      </c>
      <c r="D2154" s="60" t="s">
        <v>92</v>
      </c>
      <c r="E2154" s="60">
        <v>0</v>
      </c>
      <c r="F2154" s="60" t="s">
        <v>666</v>
      </c>
      <c r="G2154" s="79">
        <f>SUM(G2126:G2152)+0.5*G2153</f>
        <v>176250942</v>
      </c>
      <c r="H2154" s="80">
        <f>AO2154/$G2154</f>
        <v>2.2533805523753641</v>
      </c>
      <c r="I2154" s="80">
        <f>AP2154/$G2154</f>
        <v>0.53077639884254879</v>
      </c>
      <c r="J2154" s="78">
        <f>AQ2154/$G2154</f>
        <v>5.0975331529235417</v>
      </c>
      <c r="P2154" s="89">
        <f>AW2154/$G2154</f>
        <v>6.4756869924700894E-2</v>
      </c>
      <c r="S2154" s="79">
        <f>SUM(S2126:S2152)+0.5*S2153</f>
        <v>3673550.4369999999</v>
      </c>
      <c r="T2154" s="79">
        <f>SUM(T2126:T2152)+0.5*T2153</f>
        <v>57133.778900000012</v>
      </c>
      <c r="U2154" s="79">
        <f>SUM(U2126:U2152)+0.5*U2153</f>
        <v>506088.15410000004</v>
      </c>
      <c r="AE2154" s="79">
        <f>SUM(AE2126:AE2152)+0.5*AE2153</f>
        <v>78210.93908481652</v>
      </c>
      <c r="AH2154" s="79">
        <f>SUM(AH2126:AH2152)+0.5*AH2153</f>
        <v>160194481.18379998</v>
      </c>
      <c r="AM2154" s="79">
        <f>SUM(AM2126:AM2152)+0.5*AM2153</f>
        <v>14100075.359999999</v>
      </c>
      <c r="AO2154" s="79">
        <f>SUM(AO2126:AO2152)+0.5*AO2153</f>
        <v>397160445.04063827</v>
      </c>
      <c r="AP2154" s="79">
        <f t="shared" ref="AP2154:AX2154" si="373">SUM(AP2126:AP2152)+0.5*AP2153</f>
        <v>93549840.287366927</v>
      </c>
      <c r="AQ2154" s="79">
        <f t="shared" si="373"/>
        <v>898445020.07900429</v>
      </c>
      <c r="AR2154" s="79">
        <f t="shared" si="373"/>
        <v>0</v>
      </c>
      <c r="AS2154" s="79">
        <f t="shared" si="373"/>
        <v>0</v>
      </c>
      <c r="AT2154" s="79">
        <f t="shared" si="373"/>
        <v>0</v>
      </c>
      <c r="AU2154" s="79">
        <f t="shared" si="373"/>
        <v>0</v>
      </c>
      <c r="AV2154" s="79">
        <f t="shared" si="373"/>
        <v>0</v>
      </c>
      <c r="AW2154" s="79">
        <f t="shared" si="373"/>
        <v>11413459.325200001</v>
      </c>
      <c r="AX2154" s="79">
        <f t="shared" si="373"/>
        <v>0</v>
      </c>
      <c r="AY2154" s="41" t="s">
        <v>557</v>
      </c>
    </row>
    <row r="2155" spans="1:51" x14ac:dyDescent="0.2">
      <c r="A2155" s="41" t="s">
        <v>89</v>
      </c>
      <c r="B2155" s="43" t="s">
        <v>560</v>
      </c>
      <c r="G2155" s="53">
        <f>STDEV(G2126:G2153)</f>
        <v>3442222.5401673787</v>
      </c>
      <c r="H2155" s="46">
        <f>STDEV(H2126:H2153)</f>
        <v>0.53507286530659004</v>
      </c>
      <c r="I2155" s="46">
        <f>STDEV(I2126:I2153)</f>
        <v>9.8957422202455875E-2</v>
      </c>
      <c r="J2155" s="46">
        <f>STDEV(J2126:J2153)</f>
        <v>4.2782211105437007</v>
      </c>
      <c r="P2155" s="42">
        <f>STDEV(P2126:P2153)</f>
        <v>1.9377110437974823E-2</v>
      </c>
      <c r="S2155" s="53">
        <f>STDEV(S2126:S2153)</f>
        <v>64562.352497813132</v>
      </c>
      <c r="T2155" s="53">
        <f>STDEV(T2126:T2153)</f>
        <v>1211.2812031562501</v>
      </c>
      <c r="U2155" s="53">
        <f>STDEV(U2126:U2153)</f>
        <v>9004.864793994755</v>
      </c>
      <c r="AE2155" s="53">
        <f>STDEV(AE2126:AE2153)</f>
        <v>1300.2113149390116</v>
      </c>
      <c r="AH2155" s="53">
        <f>STDEV(AH2126:AH2153)</f>
        <v>3128636.0667581353</v>
      </c>
      <c r="AM2155" s="53">
        <f>STDEV(AM2126:AM2153)</f>
        <v>275377.80321339041</v>
      </c>
      <c r="AY2155" s="41" t="s">
        <v>557</v>
      </c>
    </row>
    <row r="2156" spans="1:51" x14ac:dyDescent="0.2">
      <c r="A2156" s="41" t="s">
        <v>89</v>
      </c>
      <c r="B2156" s="81" t="s">
        <v>249</v>
      </c>
      <c r="G2156" s="41">
        <f>COUNT(G2126:G2153)</f>
        <v>28</v>
      </c>
      <c r="H2156" s="41">
        <f>COUNT(H2126:H2153)</f>
        <v>28</v>
      </c>
      <c r="I2156" s="41">
        <f>COUNT(I2126:I2153)</f>
        <v>28</v>
      </c>
      <c r="J2156" s="41">
        <f>COUNT(J2126:J2153)</f>
        <v>28</v>
      </c>
      <c r="P2156" s="41">
        <f>COUNT(P2126:P2153)</f>
        <v>28</v>
      </c>
      <c r="S2156" s="41">
        <f>COUNT(S2126:S2153)</f>
        <v>28</v>
      </c>
      <c r="T2156" s="41">
        <f>COUNT(T2126:T2153)</f>
        <v>28</v>
      </c>
      <c r="U2156" s="41">
        <f>COUNT(U2126:U2153)</f>
        <v>28</v>
      </c>
      <c r="AE2156" s="41">
        <f>COUNT(AE2126:AE2153)</f>
        <v>28</v>
      </c>
      <c r="AH2156" s="41">
        <f>COUNT(AH2126:AH2153)</f>
        <v>28</v>
      </c>
      <c r="AM2156" s="41">
        <f>COUNT(AM2126:AM2153)</f>
        <v>28</v>
      </c>
      <c r="AY2156" s="41" t="s">
        <v>557</v>
      </c>
    </row>
    <row r="2157" spans="1:51" x14ac:dyDescent="0.2">
      <c r="A2157" s="82"/>
      <c r="B2157" s="82"/>
      <c r="C2157" s="82"/>
      <c r="D2157" s="82"/>
      <c r="E2157" s="82"/>
      <c r="F2157" s="82"/>
      <c r="G2157" s="82"/>
      <c r="H2157" s="82"/>
      <c r="I2157" s="82"/>
      <c r="J2157" s="82"/>
      <c r="K2157" s="82"/>
      <c r="L2157" s="82"/>
      <c r="M2157" s="82"/>
      <c r="N2157" s="82"/>
      <c r="O2157" s="82"/>
      <c r="P2157" s="82"/>
      <c r="Q2157" s="82"/>
      <c r="R2157" s="82"/>
      <c r="S2157" s="82"/>
      <c r="T2157" s="82"/>
      <c r="U2157" s="82"/>
      <c r="V2157" s="82"/>
      <c r="W2157" s="82"/>
      <c r="X2157" s="82"/>
      <c r="Y2157" s="82"/>
      <c r="Z2157" s="82"/>
      <c r="AA2157" s="82"/>
      <c r="AB2157" s="82"/>
      <c r="AC2157" s="82"/>
      <c r="AD2157" s="82"/>
      <c r="AE2157" s="82"/>
      <c r="AF2157" s="82"/>
      <c r="AG2157" s="82"/>
      <c r="AH2157" s="82"/>
      <c r="AI2157" s="82"/>
      <c r="AJ2157" s="82"/>
      <c r="AK2157" s="82"/>
      <c r="AL2157" s="82"/>
      <c r="AM2157" s="82"/>
      <c r="AN2157" s="82"/>
      <c r="AO2157" s="82"/>
      <c r="AP2157" s="82"/>
      <c r="AQ2157" s="82"/>
      <c r="AR2157" s="82"/>
      <c r="AS2157" s="82"/>
      <c r="AT2157" s="82"/>
      <c r="AU2157" s="82"/>
      <c r="AV2157" s="82"/>
      <c r="AW2157" s="82"/>
      <c r="AX2157" s="82"/>
      <c r="AY2157" s="41" t="s">
        <v>557</v>
      </c>
    </row>
    <row r="2158" spans="1:51" x14ac:dyDescent="0.2">
      <c r="A2158" s="41" t="s">
        <v>108</v>
      </c>
      <c r="B2158" s="41">
        <v>1995</v>
      </c>
      <c r="C2158" s="41" t="s">
        <v>91</v>
      </c>
      <c r="D2158" s="41" t="s">
        <v>398</v>
      </c>
      <c r="E2158" s="47">
        <v>100</v>
      </c>
      <c r="F2158" s="41" t="s">
        <v>570</v>
      </c>
      <c r="G2158" s="53">
        <v>446000</v>
      </c>
      <c r="H2158" s="41">
        <v>4.37</v>
      </c>
      <c r="I2158" s="41">
        <v>1.74</v>
      </c>
      <c r="R2158" s="76">
        <f>S2158*3</f>
        <v>45540</v>
      </c>
      <c r="S2158" s="53">
        <v>15180</v>
      </c>
      <c r="T2158" s="53">
        <v>542</v>
      </c>
      <c r="AH2158" s="93">
        <f t="shared" ref="AH2158:AH2163" si="374">G2158-R2158</f>
        <v>400460</v>
      </c>
      <c r="AM2158" s="91">
        <v>5000000</v>
      </c>
      <c r="AO2158" s="53">
        <f t="shared" ref="AO2158:AW2176" si="375">$G2158*H2158</f>
        <v>1949020</v>
      </c>
      <c r="AP2158" s="53">
        <f t="shared" si="375"/>
        <v>776040</v>
      </c>
      <c r="AQ2158" s="53">
        <f t="shared" si="375"/>
        <v>0</v>
      </c>
      <c r="AR2158" s="53">
        <f t="shared" si="375"/>
        <v>0</v>
      </c>
      <c r="AS2158" s="53">
        <f t="shared" si="375"/>
        <v>0</v>
      </c>
      <c r="AT2158" s="53">
        <f t="shared" si="375"/>
        <v>0</v>
      </c>
      <c r="AU2158" s="53">
        <f t="shared" si="375"/>
        <v>0</v>
      </c>
      <c r="AV2158" s="53">
        <f t="shared" si="375"/>
        <v>0</v>
      </c>
      <c r="AW2158" s="53">
        <f t="shared" si="375"/>
        <v>0</v>
      </c>
      <c r="AX2158" s="53">
        <f t="shared" ref="AX2158:AX2176" si="376">$G2158*E2158</f>
        <v>44600000</v>
      </c>
      <c r="AY2158" s="41" t="s">
        <v>557</v>
      </c>
    </row>
    <row r="2159" spans="1:51" x14ac:dyDescent="0.2">
      <c r="A2159" s="41" t="s">
        <v>108</v>
      </c>
      <c r="B2159" s="41">
        <v>1996</v>
      </c>
      <c r="C2159" s="41" t="s">
        <v>91</v>
      </c>
      <c r="D2159" s="41" t="s">
        <v>398</v>
      </c>
      <c r="E2159" s="47">
        <v>60.410094637223978</v>
      </c>
      <c r="F2159" s="41" t="s">
        <v>570</v>
      </c>
      <c r="G2159" s="53">
        <v>1268000</v>
      </c>
      <c r="H2159" s="41">
        <v>3.69</v>
      </c>
      <c r="I2159" s="41">
        <v>1.68</v>
      </c>
      <c r="R2159" s="76">
        <f t="shared" ref="R2159:R2173" si="377">S2159*3</f>
        <v>132078</v>
      </c>
      <c r="S2159" s="53">
        <v>44026</v>
      </c>
      <c r="T2159" s="53">
        <v>1568</v>
      </c>
      <c r="AH2159" s="93">
        <f t="shared" si="374"/>
        <v>1135922</v>
      </c>
      <c r="AM2159" s="91">
        <v>9900000</v>
      </c>
      <c r="AO2159" s="53">
        <f t="shared" si="375"/>
        <v>4678920</v>
      </c>
      <c r="AP2159" s="53">
        <f t="shared" si="375"/>
        <v>2130240</v>
      </c>
      <c r="AQ2159" s="53">
        <f t="shared" si="375"/>
        <v>0</v>
      </c>
      <c r="AR2159" s="53">
        <f t="shared" si="375"/>
        <v>0</v>
      </c>
      <c r="AS2159" s="53">
        <f t="shared" si="375"/>
        <v>0</v>
      </c>
      <c r="AT2159" s="53">
        <f t="shared" si="375"/>
        <v>0</v>
      </c>
      <c r="AU2159" s="53">
        <f t="shared" si="375"/>
        <v>0</v>
      </c>
      <c r="AV2159" s="53">
        <f t="shared" si="375"/>
        <v>0</v>
      </c>
      <c r="AW2159" s="53">
        <f t="shared" si="375"/>
        <v>0</v>
      </c>
      <c r="AX2159" s="53">
        <f t="shared" si="376"/>
        <v>76600000</v>
      </c>
      <c r="AY2159" s="41" t="s">
        <v>557</v>
      </c>
    </row>
    <row r="2160" spans="1:51" x14ac:dyDescent="0.2">
      <c r="A2160" s="41" t="s">
        <v>108</v>
      </c>
      <c r="B2160" s="41">
        <v>1997</v>
      </c>
      <c r="C2160" s="41" t="s">
        <v>91</v>
      </c>
      <c r="D2160" s="41" t="s">
        <v>398</v>
      </c>
      <c r="E2160" s="41">
        <v>0</v>
      </c>
      <c r="F2160" s="41" t="s">
        <v>570</v>
      </c>
      <c r="G2160" s="53">
        <v>1465000</v>
      </c>
      <c r="H2160" s="41">
        <v>2.9</v>
      </c>
      <c r="I2160" s="41">
        <v>0.9</v>
      </c>
      <c r="R2160" s="76">
        <f t="shared" si="377"/>
        <v>109785</v>
      </c>
      <c r="S2160" s="53">
        <v>36595</v>
      </c>
      <c r="T2160" s="53">
        <v>766</v>
      </c>
      <c r="AH2160" s="93">
        <f t="shared" si="374"/>
        <v>1355215</v>
      </c>
      <c r="AM2160" s="53"/>
      <c r="AO2160" s="53">
        <f t="shared" si="375"/>
        <v>4248500</v>
      </c>
      <c r="AP2160" s="53">
        <f t="shared" si="375"/>
        <v>1318500</v>
      </c>
      <c r="AQ2160" s="53">
        <f t="shared" si="375"/>
        <v>0</v>
      </c>
      <c r="AR2160" s="53">
        <f t="shared" si="375"/>
        <v>0</v>
      </c>
      <c r="AS2160" s="53">
        <f t="shared" si="375"/>
        <v>0</v>
      </c>
      <c r="AT2160" s="53">
        <f t="shared" si="375"/>
        <v>0</v>
      </c>
      <c r="AU2160" s="53">
        <f t="shared" si="375"/>
        <v>0</v>
      </c>
      <c r="AV2160" s="53">
        <f t="shared" si="375"/>
        <v>0</v>
      </c>
      <c r="AW2160" s="53">
        <f t="shared" si="375"/>
        <v>0</v>
      </c>
      <c r="AX2160" s="53">
        <f t="shared" si="376"/>
        <v>0</v>
      </c>
      <c r="AY2160" s="41" t="s">
        <v>557</v>
      </c>
    </row>
    <row r="2161" spans="1:51" x14ac:dyDescent="0.2">
      <c r="A2161" s="41" t="s">
        <v>108</v>
      </c>
      <c r="B2161" s="41">
        <v>1998</v>
      </c>
      <c r="C2161" s="41" t="s">
        <v>91</v>
      </c>
      <c r="D2161" s="41" t="s">
        <v>398</v>
      </c>
      <c r="E2161" s="41">
        <v>0</v>
      </c>
      <c r="F2161" s="41" t="s">
        <v>570</v>
      </c>
      <c r="G2161" s="53">
        <v>1493000</v>
      </c>
      <c r="H2161" s="41">
        <v>2.6</v>
      </c>
      <c r="I2161" s="41">
        <v>0.9</v>
      </c>
      <c r="R2161" s="76">
        <f t="shared" si="377"/>
        <v>107967</v>
      </c>
      <c r="S2161" s="53">
        <v>35989</v>
      </c>
      <c r="T2161" s="53">
        <v>970</v>
      </c>
      <c r="AH2161" s="93">
        <f t="shared" si="374"/>
        <v>1385033</v>
      </c>
      <c r="AM2161" s="53"/>
      <c r="AO2161" s="53">
        <f t="shared" si="375"/>
        <v>3881800</v>
      </c>
      <c r="AP2161" s="53">
        <f t="shared" si="375"/>
        <v>1343700</v>
      </c>
      <c r="AQ2161" s="53">
        <f t="shared" si="375"/>
        <v>0</v>
      </c>
      <c r="AR2161" s="53">
        <f t="shared" si="375"/>
        <v>0</v>
      </c>
      <c r="AS2161" s="53">
        <f t="shared" si="375"/>
        <v>0</v>
      </c>
      <c r="AT2161" s="53">
        <f t="shared" si="375"/>
        <v>0</v>
      </c>
      <c r="AU2161" s="53">
        <f t="shared" si="375"/>
        <v>0</v>
      </c>
      <c r="AV2161" s="53">
        <f t="shared" si="375"/>
        <v>0</v>
      </c>
      <c r="AW2161" s="53">
        <f t="shared" si="375"/>
        <v>0</v>
      </c>
      <c r="AX2161" s="53">
        <f t="shared" si="376"/>
        <v>0</v>
      </c>
      <c r="AY2161" s="41" t="s">
        <v>557</v>
      </c>
    </row>
    <row r="2162" spans="1:51" x14ac:dyDescent="0.2">
      <c r="A2162" s="41" t="s">
        <v>108</v>
      </c>
      <c r="B2162" s="41">
        <v>1999</v>
      </c>
      <c r="C2162" s="41" t="s">
        <v>91</v>
      </c>
      <c r="D2162" s="41" t="s">
        <v>398</v>
      </c>
      <c r="E2162" s="41">
        <v>0</v>
      </c>
      <c r="F2162" s="41" t="s">
        <v>570</v>
      </c>
      <c r="G2162" s="93">
        <v>1512000</v>
      </c>
      <c r="H2162" s="41">
        <v>2.93</v>
      </c>
      <c r="I2162" s="41">
        <v>0.9</v>
      </c>
      <c r="R2162" s="76">
        <f t="shared" si="377"/>
        <v>126741</v>
      </c>
      <c r="S2162" s="53">
        <v>42247</v>
      </c>
      <c r="T2162" s="53">
        <v>1010</v>
      </c>
      <c r="AH2162" s="93">
        <f t="shared" si="374"/>
        <v>1385259</v>
      </c>
      <c r="AM2162" s="53"/>
      <c r="AO2162" s="53">
        <f t="shared" si="375"/>
        <v>4430160</v>
      </c>
      <c r="AP2162" s="53">
        <f t="shared" si="375"/>
        <v>1360800</v>
      </c>
      <c r="AQ2162" s="53">
        <f t="shared" si="375"/>
        <v>0</v>
      </c>
      <c r="AR2162" s="53">
        <f t="shared" si="375"/>
        <v>0</v>
      </c>
      <c r="AS2162" s="53">
        <f t="shared" si="375"/>
        <v>0</v>
      </c>
      <c r="AT2162" s="53">
        <f t="shared" si="375"/>
        <v>0</v>
      </c>
      <c r="AU2162" s="53">
        <f t="shared" si="375"/>
        <v>0</v>
      </c>
      <c r="AV2162" s="53">
        <f t="shared" si="375"/>
        <v>0</v>
      </c>
      <c r="AW2162" s="53">
        <f t="shared" si="375"/>
        <v>0</v>
      </c>
      <c r="AX2162" s="53">
        <f t="shared" si="376"/>
        <v>0</v>
      </c>
      <c r="AY2162" s="41" t="s">
        <v>557</v>
      </c>
    </row>
    <row r="2163" spans="1:51" x14ac:dyDescent="0.2">
      <c r="A2163" s="41" t="s">
        <v>108</v>
      </c>
      <c r="B2163" s="41">
        <v>2000</v>
      </c>
      <c r="C2163" s="41" t="s">
        <v>91</v>
      </c>
      <c r="D2163" s="41" t="s">
        <v>398</v>
      </c>
      <c r="E2163" s="41">
        <v>0</v>
      </c>
      <c r="F2163" s="41" t="s">
        <v>570</v>
      </c>
      <c r="G2163" s="93">
        <v>1470000</v>
      </c>
      <c r="H2163" s="62">
        <v>3.4</v>
      </c>
      <c r="I2163" s="62">
        <v>0.9</v>
      </c>
      <c r="R2163" s="76">
        <f t="shared" si="377"/>
        <v>142202.72108843536</v>
      </c>
      <c r="S2163" s="93">
        <v>47400.907029478454</v>
      </c>
      <c r="T2163" s="93">
        <v>1075.2825</v>
      </c>
      <c r="AH2163" s="93">
        <f t="shared" si="374"/>
        <v>1327797.2789115647</v>
      </c>
      <c r="AM2163" s="93">
        <v>210900</v>
      </c>
      <c r="AO2163" s="53">
        <f t="shared" si="375"/>
        <v>4998000</v>
      </c>
      <c r="AP2163" s="53">
        <f t="shared" si="375"/>
        <v>1323000</v>
      </c>
      <c r="AQ2163" s="53">
        <f t="shared" si="375"/>
        <v>0</v>
      </c>
      <c r="AR2163" s="53">
        <f t="shared" si="375"/>
        <v>0</v>
      </c>
      <c r="AS2163" s="53">
        <f t="shared" si="375"/>
        <v>0</v>
      </c>
      <c r="AT2163" s="53">
        <f t="shared" si="375"/>
        <v>0</v>
      </c>
      <c r="AU2163" s="53">
        <f t="shared" si="375"/>
        <v>0</v>
      </c>
      <c r="AV2163" s="53">
        <f t="shared" si="375"/>
        <v>0</v>
      </c>
      <c r="AW2163" s="53">
        <f t="shared" si="375"/>
        <v>0</v>
      </c>
      <c r="AX2163" s="53">
        <f t="shared" si="376"/>
        <v>0</v>
      </c>
      <c r="AY2163" s="41" t="s">
        <v>557</v>
      </c>
    </row>
    <row r="2164" spans="1:51" x14ac:dyDescent="0.2">
      <c r="A2164" s="41" t="s">
        <v>108</v>
      </c>
      <c r="B2164" s="41">
        <v>2001</v>
      </c>
      <c r="C2164" s="41" t="s">
        <v>91</v>
      </c>
      <c r="D2164" s="41" t="s">
        <v>398</v>
      </c>
      <c r="E2164" s="41">
        <v>0</v>
      </c>
      <c r="F2164" s="41" t="s">
        <v>570</v>
      </c>
      <c r="G2164" s="93">
        <v>1487000</v>
      </c>
      <c r="H2164" s="62">
        <v>3.5</v>
      </c>
      <c r="I2164" s="62">
        <v>1.1000000000000001</v>
      </c>
      <c r="R2164" s="76">
        <f t="shared" si="377"/>
        <v>147613.60544217686</v>
      </c>
      <c r="S2164" s="93">
        <v>49204.535147392286</v>
      </c>
      <c r="T2164" s="93">
        <v>1297.0566000000001</v>
      </c>
      <c r="AH2164" s="93">
        <f>G2164-R2164</f>
        <v>1339386.3945578232</v>
      </c>
      <c r="AM2164" s="93">
        <v>120000</v>
      </c>
      <c r="AO2164" s="53">
        <f t="shared" si="375"/>
        <v>5204500</v>
      </c>
      <c r="AP2164" s="53">
        <f t="shared" si="375"/>
        <v>1635700.0000000002</v>
      </c>
      <c r="AQ2164" s="53">
        <f t="shared" si="375"/>
        <v>0</v>
      </c>
      <c r="AR2164" s="53">
        <f t="shared" si="375"/>
        <v>0</v>
      </c>
      <c r="AS2164" s="53">
        <f t="shared" si="375"/>
        <v>0</v>
      </c>
      <c r="AT2164" s="53">
        <f t="shared" si="375"/>
        <v>0</v>
      </c>
      <c r="AU2164" s="53">
        <f t="shared" si="375"/>
        <v>0</v>
      </c>
      <c r="AV2164" s="53">
        <f t="shared" si="375"/>
        <v>0</v>
      </c>
      <c r="AW2164" s="53">
        <f t="shared" si="375"/>
        <v>0</v>
      </c>
      <c r="AX2164" s="53">
        <f t="shared" si="376"/>
        <v>0</v>
      </c>
      <c r="AY2164" s="41" t="s">
        <v>557</v>
      </c>
    </row>
    <row r="2165" spans="1:51" x14ac:dyDescent="0.2">
      <c r="A2165" s="41" t="s">
        <v>108</v>
      </c>
      <c r="B2165" s="41">
        <v>2002</v>
      </c>
      <c r="C2165" s="41" t="s">
        <v>91</v>
      </c>
      <c r="D2165" s="41" t="s">
        <v>398</v>
      </c>
      <c r="E2165" s="41">
        <v>0</v>
      </c>
      <c r="F2165" s="41" t="s">
        <v>570</v>
      </c>
      <c r="G2165" s="93">
        <v>1461000</v>
      </c>
      <c r="H2165" s="62">
        <v>3.3</v>
      </c>
      <c r="I2165" s="103">
        <v>1</v>
      </c>
      <c r="R2165" s="76">
        <f t="shared" si="377"/>
        <v>138302.04081632651</v>
      </c>
      <c r="S2165" s="93">
        <v>46100.680272108839</v>
      </c>
      <c r="T2165" s="93">
        <v>1186.4339000000002</v>
      </c>
      <c r="AH2165" s="93">
        <f t="shared" ref="AH2165:AH2176" si="378">G2165-R2165</f>
        <v>1322697.9591836734</v>
      </c>
      <c r="AM2165" s="93">
        <v>164688</v>
      </c>
      <c r="AO2165" s="53">
        <f t="shared" si="375"/>
        <v>4821300</v>
      </c>
      <c r="AP2165" s="53">
        <f t="shared" si="375"/>
        <v>1461000</v>
      </c>
      <c r="AQ2165" s="53">
        <f t="shared" si="375"/>
        <v>0</v>
      </c>
      <c r="AR2165" s="53">
        <f t="shared" si="375"/>
        <v>0</v>
      </c>
      <c r="AS2165" s="53">
        <f t="shared" si="375"/>
        <v>0</v>
      </c>
      <c r="AT2165" s="53">
        <f t="shared" si="375"/>
        <v>0</v>
      </c>
      <c r="AU2165" s="53">
        <f t="shared" si="375"/>
        <v>0</v>
      </c>
      <c r="AV2165" s="53">
        <f t="shared" si="375"/>
        <v>0</v>
      </c>
      <c r="AW2165" s="53">
        <f t="shared" si="375"/>
        <v>0</v>
      </c>
      <c r="AX2165" s="53">
        <f t="shared" si="376"/>
        <v>0</v>
      </c>
      <c r="AY2165" s="41" t="s">
        <v>557</v>
      </c>
    </row>
    <row r="2166" spans="1:51" x14ac:dyDescent="0.2">
      <c r="A2166" s="41" t="s">
        <v>108</v>
      </c>
      <c r="B2166" s="41">
        <v>2003</v>
      </c>
      <c r="C2166" s="41" t="s">
        <v>91</v>
      </c>
      <c r="D2166" s="41" t="s">
        <v>398</v>
      </c>
      <c r="E2166" s="41">
        <v>0</v>
      </c>
      <c r="F2166" s="41" t="s">
        <v>570</v>
      </c>
      <c r="G2166" s="93">
        <v>1485000</v>
      </c>
      <c r="H2166" s="103">
        <v>3</v>
      </c>
      <c r="I2166" s="103">
        <v>1</v>
      </c>
      <c r="R2166" s="76">
        <f t="shared" si="377"/>
        <v>127398.63945578231</v>
      </c>
      <c r="S2166" s="93">
        <v>42466.213151927434</v>
      </c>
      <c r="T2166" s="93">
        <v>1161.8027</v>
      </c>
      <c r="AH2166" s="93">
        <f t="shared" si="378"/>
        <v>1357601.3605442178</v>
      </c>
      <c r="AM2166" s="93">
        <v>207488</v>
      </c>
      <c r="AO2166" s="53">
        <f t="shared" si="375"/>
        <v>4455000</v>
      </c>
      <c r="AP2166" s="53">
        <f t="shared" si="375"/>
        <v>1485000</v>
      </c>
      <c r="AQ2166" s="53">
        <f t="shared" si="375"/>
        <v>0</v>
      </c>
      <c r="AR2166" s="53">
        <f t="shared" si="375"/>
        <v>0</v>
      </c>
      <c r="AS2166" s="53">
        <f t="shared" si="375"/>
        <v>0</v>
      </c>
      <c r="AT2166" s="53">
        <f t="shared" si="375"/>
        <v>0</v>
      </c>
      <c r="AU2166" s="53">
        <f t="shared" si="375"/>
        <v>0</v>
      </c>
      <c r="AV2166" s="53">
        <f t="shared" si="375"/>
        <v>0</v>
      </c>
      <c r="AW2166" s="53">
        <f t="shared" si="375"/>
        <v>0</v>
      </c>
      <c r="AX2166" s="53">
        <f t="shared" si="376"/>
        <v>0</v>
      </c>
      <c r="AY2166" s="41" t="s">
        <v>557</v>
      </c>
    </row>
    <row r="2167" spans="1:51" x14ac:dyDescent="0.2">
      <c r="A2167" s="41" t="s">
        <v>108</v>
      </c>
      <c r="B2167" s="41">
        <v>2004</v>
      </c>
      <c r="C2167" s="41" t="s">
        <v>91</v>
      </c>
      <c r="D2167" s="41" t="s">
        <v>398</v>
      </c>
      <c r="E2167" s="41">
        <v>0</v>
      </c>
      <c r="F2167" s="41" t="s">
        <v>570</v>
      </c>
      <c r="G2167" s="93">
        <v>1533000</v>
      </c>
      <c r="H2167" s="96">
        <v>2.7</v>
      </c>
      <c r="I2167" s="103">
        <v>1</v>
      </c>
      <c r="R2167" s="76">
        <f t="shared" si="377"/>
        <v>118917.00680272109</v>
      </c>
      <c r="S2167" s="93">
        <v>39639.002267573698</v>
      </c>
      <c r="T2167" s="93">
        <v>1294.693</v>
      </c>
      <c r="AH2167" s="93">
        <f t="shared" si="378"/>
        <v>1414082.9931972788</v>
      </c>
      <c r="AM2167" s="93"/>
      <c r="AO2167" s="53">
        <f t="shared" si="375"/>
        <v>4139100.0000000005</v>
      </c>
      <c r="AP2167" s="53">
        <f t="shared" si="375"/>
        <v>1533000</v>
      </c>
      <c r="AQ2167" s="53">
        <f t="shared" si="375"/>
        <v>0</v>
      </c>
      <c r="AR2167" s="53">
        <f t="shared" si="375"/>
        <v>0</v>
      </c>
      <c r="AS2167" s="53">
        <f t="shared" si="375"/>
        <v>0</v>
      </c>
      <c r="AT2167" s="53">
        <f t="shared" si="375"/>
        <v>0</v>
      </c>
      <c r="AU2167" s="53">
        <f t="shared" si="375"/>
        <v>0</v>
      </c>
      <c r="AV2167" s="53">
        <f t="shared" si="375"/>
        <v>0</v>
      </c>
      <c r="AW2167" s="53">
        <f t="shared" si="375"/>
        <v>0</v>
      </c>
      <c r="AX2167" s="53">
        <f t="shared" si="376"/>
        <v>0</v>
      </c>
      <c r="AY2167" s="41" t="s">
        <v>557</v>
      </c>
    </row>
    <row r="2168" spans="1:51" x14ac:dyDescent="0.2">
      <c r="A2168" s="41" t="s">
        <v>108</v>
      </c>
      <c r="B2168" s="41">
        <v>2005</v>
      </c>
      <c r="C2168" s="41" t="s">
        <v>91</v>
      </c>
      <c r="D2168" s="41" t="s">
        <v>398</v>
      </c>
      <c r="E2168" s="41">
        <v>0</v>
      </c>
      <c r="F2168" s="41" t="s">
        <v>570</v>
      </c>
      <c r="G2168" s="93">
        <f>1860000*0.9072</f>
        <v>1687392</v>
      </c>
      <c r="H2168" s="96">
        <v>2.2999999999999998</v>
      </c>
      <c r="I2168" s="96">
        <v>0.9</v>
      </c>
      <c r="R2168" s="76">
        <f t="shared" si="377"/>
        <v>118542.85714285713</v>
      </c>
      <c r="S2168" s="93">
        <v>39514.28571428571</v>
      </c>
      <c r="T2168" s="93">
        <v>1339.3215</v>
      </c>
      <c r="AH2168" s="93">
        <f t="shared" si="378"/>
        <v>1568849.142857143</v>
      </c>
      <c r="AM2168" s="93"/>
      <c r="AO2168" s="53">
        <f t="shared" si="375"/>
        <v>3881001.5999999996</v>
      </c>
      <c r="AP2168" s="53">
        <f t="shared" si="375"/>
        <v>1518652.8</v>
      </c>
      <c r="AQ2168" s="53">
        <f t="shared" si="375"/>
        <v>0</v>
      </c>
      <c r="AR2168" s="53">
        <f t="shared" si="375"/>
        <v>0</v>
      </c>
      <c r="AS2168" s="53">
        <f t="shared" si="375"/>
        <v>0</v>
      </c>
      <c r="AT2168" s="53">
        <f t="shared" si="375"/>
        <v>0</v>
      </c>
      <c r="AU2168" s="53">
        <f t="shared" si="375"/>
        <v>0</v>
      </c>
      <c r="AV2168" s="53">
        <f t="shared" si="375"/>
        <v>0</v>
      </c>
      <c r="AW2168" s="53">
        <f t="shared" si="375"/>
        <v>0</v>
      </c>
      <c r="AX2168" s="53">
        <f t="shared" si="376"/>
        <v>0</v>
      </c>
      <c r="AY2168" s="41" t="s">
        <v>557</v>
      </c>
    </row>
    <row r="2169" spans="1:51" x14ac:dyDescent="0.2">
      <c r="A2169" s="41" t="s">
        <v>108</v>
      </c>
      <c r="B2169" s="41">
        <v>2006</v>
      </c>
      <c r="C2169" s="41" t="s">
        <v>91</v>
      </c>
      <c r="D2169" s="41" t="s">
        <v>398</v>
      </c>
      <c r="E2169" s="111">
        <v>30</v>
      </c>
      <c r="F2169" s="41" t="s">
        <v>570</v>
      </c>
      <c r="G2169" s="93">
        <f>1762000*0.9072</f>
        <v>1598486.4</v>
      </c>
      <c r="H2169" s="96">
        <v>1.85</v>
      </c>
      <c r="I2169" s="88">
        <v>0.78847001763668434</v>
      </c>
      <c r="R2169" s="76">
        <f t="shared" si="377"/>
        <v>80272.108843537411</v>
      </c>
      <c r="S2169" s="92">
        <v>26757.36961451247</v>
      </c>
      <c r="T2169" s="93">
        <v>933</v>
      </c>
      <c r="AH2169" s="93">
        <f t="shared" si="378"/>
        <v>1518214.2911564624</v>
      </c>
      <c r="AM2169" s="92">
        <f>(9664000-1762000)*0.9072</f>
        <v>7168694.4000000004</v>
      </c>
      <c r="AO2169" s="53">
        <f t="shared" si="375"/>
        <v>2957199.84</v>
      </c>
      <c r="AP2169" s="53">
        <f t="shared" si="375"/>
        <v>1260358.6000000001</v>
      </c>
      <c r="AQ2169" s="53">
        <f t="shared" si="375"/>
        <v>0</v>
      </c>
      <c r="AR2169" s="53">
        <f t="shared" si="375"/>
        <v>0</v>
      </c>
      <c r="AS2169" s="53">
        <f t="shared" si="375"/>
        <v>0</v>
      </c>
      <c r="AT2169" s="53">
        <f t="shared" si="375"/>
        <v>0</v>
      </c>
      <c r="AU2169" s="53">
        <f t="shared" si="375"/>
        <v>0</v>
      </c>
      <c r="AV2169" s="53">
        <f t="shared" si="375"/>
        <v>0</v>
      </c>
      <c r="AW2169" s="53">
        <f t="shared" si="375"/>
        <v>0</v>
      </c>
      <c r="AX2169" s="53">
        <f t="shared" si="376"/>
        <v>47954592</v>
      </c>
      <c r="AY2169" s="41" t="s">
        <v>557</v>
      </c>
    </row>
    <row r="2170" spans="1:51" x14ac:dyDescent="0.2">
      <c r="A2170" s="41" t="s">
        <v>108</v>
      </c>
      <c r="B2170" s="41">
        <v>2007</v>
      </c>
      <c r="C2170" s="41" t="s">
        <v>91</v>
      </c>
      <c r="D2170" s="41" t="s">
        <v>398</v>
      </c>
      <c r="E2170" s="111">
        <v>50</v>
      </c>
      <c r="F2170" s="41" t="s">
        <v>570</v>
      </c>
      <c r="G2170" s="93">
        <f>2208000*0.9072</f>
        <v>2003097.6000000001</v>
      </c>
      <c r="H2170" s="41">
        <v>2.09</v>
      </c>
      <c r="I2170" s="88">
        <v>0.82275132275132279</v>
      </c>
      <c r="R2170" s="76">
        <f t="shared" si="377"/>
        <v>118367.3469387755</v>
      </c>
      <c r="S2170" s="92">
        <v>39455.78231292517</v>
      </c>
      <c r="T2170" s="93">
        <v>1306.2</v>
      </c>
      <c r="AH2170" s="93">
        <f t="shared" si="378"/>
        <v>1884730.2530612247</v>
      </c>
      <c r="AM2170" s="92">
        <f>(8270000-2208000)*0.9072</f>
        <v>5499446.4000000004</v>
      </c>
      <c r="AO2170" s="53">
        <f t="shared" si="375"/>
        <v>4186473.9839999997</v>
      </c>
      <c r="AP2170" s="53">
        <f t="shared" si="375"/>
        <v>1648051.2000000002</v>
      </c>
      <c r="AQ2170" s="53">
        <f t="shared" si="375"/>
        <v>0</v>
      </c>
      <c r="AR2170" s="53">
        <f t="shared" si="375"/>
        <v>0</v>
      </c>
      <c r="AS2170" s="53">
        <f t="shared" si="375"/>
        <v>0</v>
      </c>
      <c r="AT2170" s="53">
        <f t="shared" si="375"/>
        <v>0</v>
      </c>
      <c r="AU2170" s="53">
        <f t="shared" si="375"/>
        <v>0</v>
      </c>
      <c r="AV2170" s="53">
        <f t="shared" si="375"/>
        <v>0</v>
      </c>
      <c r="AW2170" s="53">
        <f t="shared" si="375"/>
        <v>0</v>
      </c>
      <c r="AX2170" s="53">
        <f t="shared" si="376"/>
        <v>100154880</v>
      </c>
      <c r="AY2170" s="41" t="s">
        <v>557</v>
      </c>
    </row>
    <row r="2171" spans="1:51" x14ac:dyDescent="0.2">
      <c r="A2171" s="41" t="s">
        <v>108</v>
      </c>
      <c r="B2171" s="41">
        <v>2008</v>
      </c>
      <c r="C2171" s="41" t="s">
        <v>91</v>
      </c>
      <c r="D2171" s="41" t="s">
        <v>398</v>
      </c>
      <c r="E2171" s="111">
        <v>100</v>
      </c>
      <c r="F2171" s="41" t="s">
        <v>570</v>
      </c>
      <c r="G2171" s="93">
        <f>2187000*0.9072</f>
        <v>1984046.4</v>
      </c>
      <c r="H2171" s="41">
        <v>1.83</v>
      </c>
      <c r="I2171" s="88">
        <v>0.65134479717813054</v>
      </c>
      <c r="R2171" s="76">
        <f t="shared" si="377"/>
        <v>102040.81632653062</v>
      </c>
      <c r="S2171" s="92">
        <v>34013.605442176871</v>
      </c>
      <c r="T2171" s="93">
        <v>1026.3</v>
      </c>
      <c r="AH2171" s="93">
        <f t="shared" si="378"/>
        <v>1882005.5836734693</v>
      </c>
      <c r="AM2171" s="92">
        <f>(8020000-2187000)*0.9072</f>
        <v>5291697.5999999996</v>
      </c>
      <c r="AO2171" s="53">
        <f t="shared" si="375"/>
        <v>3630804.912</v>
      </c>
      <c r="AP2171" s="53">
        <f t="shared" si="375"/>
        <v>1292298.3</v>
      </c>
      <c r="AQ2171" s="53">
        <f t="shared" si="375"/>
        <v>0</v>
      </c>
      <c r="AR2171" s="53">
        <f t="shared" si="375"/>
        <v>0</v>
      </c>
      <c r="AS2171" s="53">
        <f t="shared" si="375"/>
        <v>0</v>
      </c>
      <c r="AT2171" s="53">
        <f t="shared" si="375"/>
        <v>0</v>
      </c>
      <c r="AU2171" s="53">
        <f t="shared" si="375"/>
        <v>0</v>
      </c>
      <c r="AV2171" s="53">
        <f t="shared" si="375"/>
        <v>0</v>
      </c>
      <c r="AW2171" s="53">
        <f t="shared" si="375"/>
        <v>0</v>
      </c>
      <c r="AX2171" s="53">
        <f t="shared" si="376"/>
        <v>198404640</v>
      </c>
      <c r="AY2171" s="41" t="s">
        <v>557</v>
      </c>
    </row>
    <row r="2172" spans="1:51" x14ac:dyDescent="0.2">
      <c r="A2172" s="41" t="s">
        <v>108</v>
      </c>
      <c r="B2172" s="41">
        <v>2009</v>
      </c>
      <c r="C2172" s="41" t="s">
        <v>91</v>
      </c>
      <c r="D2172" s="41" t="s">
        <v>398</v>
      </c>
      <c r="E2172" s="111">
        <v>30</v>
      </c>
      <c r="F2172" s="41" t="s">
        <v>570</v>
      </c>
      <c r="G2172" s="93">
        <f>2265000*0.9072</f>
        <v>2054808</v>
      </c>
      <c r="H2172" s="41">
        <v>2.11</v>
      </c>
      <c r="I2172" s="88">
        <v>0.78847001763668434</v>
      </c>
      <c r="R2172" s="76">
        <f t="shared" si="377"/>
        <v>123809.52380952382</v>
      </c>
      <c r="S2172" s="92">
        <v>41269.841269841272</v>
      </c>
      <c r="T2172" s="93">
        <v>1337.3</v>
      </c>
      <c r="AH2172" s="93">
        <f t="shared" si="378"/>
        <v>1930998.4761904762</v>
      </c>
      <c r="AM2172" s="92">
        <f>(3648000-2265000)*0.9072</f>
        <v>1254657.6000000001</v>
      </c>
      <c r="AO2172" s="53">
        <f t="shared" si="375"/>
        <v>4335644.88</v>
      </c>
      <c r="AP2172" s="53">
        <f t="shared" si="375"/>
        <v>1620154.5</v>
      </c>
      <c r="AQ2172" s="53">
        <f t="shared" si="375"/>
        <v>0</v>
      </c>
      <c r="AR2172" s="53">
        <f t="shared" si="375"/>
        <v>0</v>
      </c>
      <c r="AS2172" s="53">
        <f t="shared" si="375"/>
        <v>0</v>
      </c>
      <c r="AT2172" s="53">
        <f t="shared" si="375"/>
        <v>0</v>
      </c>
      <c r="AU2172" s="53">
        <f t="shared" si="375"/>
        <v>0</v>
      </c>
      <c r="AV2172" s="53">
        <f t="shared" si="375"/>
        <v>0</v>
      </c>
      <c r="AW2172" s="53">
        <f t="shared" si="375"/>
        <v>0</v>
      </c>
      <c r="AX2172" s="53">
        <f t="shared" si="376"/>
        <v>61644240</v>
      </c>
      <c r="AY2172" s="41" t="s">
        <v>557</v>
      </c>
    </row>
    <row r="2173" spans="1:51" x14ac:dyDescent="0.2">
      <c r="A2173" s="41" t="s">
        <v>108</v>
      </c>
      <c r="B2173" s="41">
        <v>2010</v>
      </c>
      <c r="C2173" s="41" t="s">
        <v>91</v>
      </c>
      <c r="D2173" s="41" t="s">
        <v>398</v>
      </c>
      <c r="E2173" s="111">
        <v>0</v>
      </c>
      <c r="F2173" s="41" t="s">
        <v>570</v>
      </c>
      <c r="G2173" s="93">
        <f>1131000*0.9072</f>
        <v>1026043.2</v>
      </c>
      <c r="H2173" s="41">
        <v>2.33</v>
      </c>
      <c r="I2173" s="88">
        <v>0.89131393298059958</v>
      </c>
      <c r="R2173" s="76">
        <f t="shared" si="377"/>
        <v>68027.210884353743</v>
      </c>
      <c r="S2173" s="92">
        <v>22675.736961451246</v>
      </c>
      <c r="T2173" s="93">
        <v>839.7</v>
      </c>
      <c r="AH2173" s="93">
        <f t="shared" si="378"/>
        <v>958015.98911564623</v>
      </c>
      <c r="AO2173" s="53">
        <f t="shared" si="375"/>
        <v>2390680.656</v>
      </c>
      <c r="AP2173" s="53">
        <f t="shared" si="375"/>
        <v>914526.59999999986</v>
      </c>
      <c r="AQ2173" s="53">
        <f t="shared" si="375"/>
        <v>0</v>
      </c>
      <c r="AR2173" s="53">
        <f t="shared" si="375"/>
        <v>0</v>
      </c>
      <c r="AS2173" s="53">
        <f t="shared" si="375"/>
        <v>0</v>
      </c>
      <c r="AT2173" s="53">
        <f t="shared" si="375"/>
        <v>0</v>
      </c>
      <c r="AU2173" s="53">
        <f t="shared" si="375"/>
        <v>0</v>
      </c>
      <c r="AV2173" s="53">
        <f t="shared" si="375"/>
        <v>0</v>
      </c>
      <c r="AW2173" s="53">
        <f t="shared" si="375"/>
        <v>0</v>
      </c>
      <c r="AX2173" s="53">
        <f t="shared" si="376"/>
        <v>0</v>
      </c>
      <c r="AY2173" s="41" t="s">
        <v>557</v>
      </c>
    </row>
    <row r="2174" spans="1:51" x14ac:dyDescent="0.2">
      <c r="A2174" s="41" t="s">
        <v>108</v>
      </c>
      <c r="B2174" s="41">
        <v>2011</v>
      </c>
      <c r="C2174" s="41" t="s">
        <v>91</v>
      </c>
      <c r="D2174" s="41" t="s">
        <v>398</v>
      </c>
      <c r="E2174" s="41">
        <v>0</v>
      </c>
      <c r="F2174" s="41" t="s">
        <v>570</v>
      </c>
      <c r="AH2174" s="93">
        <f t="shared" si="378"/>
        <v>0</v>
      </c>
      <c r="AO2174" s="53">
        <f t="shared" si="375"/>
        <v>0</v>
      </c>
      <c r="AP2174" s="53">
        <f t="shared" si="375"/>
        <v>0</v>
      </c>
      <c r="AQ2174" s="53">
        <f t="shared" si="375"/>
        <v>0</v>
      </c>
      <c r="AR2174" s="53">
        <f t="shared" si="375"/>
        <v>0</v>
      </c>
      <c r="AS2174" s="53">
        <f t="shared" si="375"/>
        <v>0</v>
      </c>
      <c r="AT2174" s="53">
        <f t="shared" si="375"/>
        <v>0</v>
      </c>
      <c r="AU2174" s="53">
        <f t="shared" si="375"/>
        <v>0</v>
      </c>
      <c r="AV2174" s="53">
        <f t="shared" si="375"/>
        <v>0</v>
      </c>
      <c r="AW2174" s="53">
        <f t="shared" si="375"/>
        <v>0</v>
      </c>
      <c r="AX2174" s="53">
        <f t="shared" si="376"/>
        <v>0</v>
      </c>
      <c r="AY2174" s="41" t="s">
        <v>557</v>
      </c>
    </row>
    <row r="2175" spans="1:51" x14ac:dyDescent="0.2">
      <c r="A2175" s="41" t="s">
        <v>108</v>
      </c>
      <c r="B2175" s="41">
        <v>2012</v>
      </c>
      <c r="C2175" s="41" t="s">
        <v>91</v>
      </c>
      <c r="D2175" s="41" t="s">
        <v>398</v>
      </c>
      <c r="E2175" s="41">
        <v>0</v>
      </c>
      <c r="F2175" s="41" t="s">
        <v>570</v>
      </c>
      <c r="G2175" s="93">
        <f>59806+226400+249051+245209</f>
        <v>780466</v>
      </c>
      <c r="H2175" s="46">
        <v>1.6419970889186719</v>
      </c>
      <c r="I2175" s="88">
        <v>0.84915758021489729</v>
      </c>
      <c r="R2175" s="76">
        <f>S2175*3</f>
        <v>35964</v>
      </c>
      <c r="S2175" s="93">
        <v>11988</v>
      </c>
      <c r="T2175" s="93">
        <v>486.404</v>
      </c>
      <c r="AH2175" s="93">
        <f t="shared" si="378"/>
        <v>744502</v>
      </c>
      <c r="AO2175" s="53">
        <f t="shared" si="375"/>
        <v>1281522.9000000001</v>
      </c>
      <c r="AP2175" s="53">
        <f t="shared" si="375"/>
        <v>662738.62</v>
      </c>
      <c r="AQ2175" s="53">
        <f t="shared" si="375"/>
        <v>0</v>
      </c>
      <c r="AR2175" s="53">
        <f t="shared" si="375"/>
        <v>0</v>
      </c>
      <c r="AS2175" s="53">
        <f t="shared" si="375"/>
        <v>0</v>
      </c>
      <c r="AT2175" s="53">
        <f t="shared" si="375"/>
        <v>0</v>
      </c>
      <c r="AU2175" s="53">
        <f t="shared" si="375"/>
        <v>0</v>
      </c>
      <c r="AV2175" s="53">
        <f t="shared" si="375"/>
        <v>0</v>
      </c>
      <c r="AW2175" s="53">
        <f t="shared" si="375"/>
        <v>0</v>
      </c>
      <c r="AX2175" s="53">
        <f t="shared" si="376"/>
        <v>0</v>
      </c>
      <c r="AY2175" s="41" t="s">
        <v>557</v>
      </c>
    </row>
    <row r="2176" spans="1:51" x14ac:dyDescent="0.2">
      <c r="A2176" s="41" t="s">
        <v>108</v>
      </c>
      <c r="B2176" s="41">
        <v>2013</v>
      </c>
      <c r="C2176" s="41" t="s">
        <v>91</v>
      </c>
      <c r="D2176" s="41" t="s">
        <v>398</v>
      </c>
      <c r="E2176" s="41">
        <v>0</v>
      </c>
      <c r="F2176" s="41" t="s">
        <v>570</v>
      </c>
      <c r="G2176" s="76">
        <f>254639+393251+433421+500000</f>
        <v>1581311</v>
      </c>
      <c r="H2176" s="56">
        <v>1.5143280923233948</v>
      </c>
      <c r="I2176" s="56">
        <v>0.79522359611739868</v>
      </c>
      <c r="R2176" s="76">
        <f>S2176*3</f>
        <v>57897</v>
      </c>
      <c r="S2176" s="76">
        <v>19299</v>
      </c>
      <c r="T2176" s="76">
        <v>766.83270000000005</v>
      </c>
      <c r="AH2176" s="93">
        <f t="shared" si="378"/>
        <v>1523414</v>
      </c>
      <c r="AO2176" s="53">
        <f t="shared" si="375"/>
        <v>2394623.67</v>
      </c>
      <c r="AP2176" s="53">
        <f t="shared" si="375"/>
        <v>1257495.8199999998</v>
      </c>
      <c r="AQ2176" s="53">
        <f t="shared" si="375"/>
        <v>0</v>
      </c>
      <c r="AR2176" s="53">
        <f t="shared" si="375"/>
        <v>0</v>
      </c>
      <c r="AS2176" s="53">
        <f t="shared" si="375"/>
        <v>0</v>
      </c>
      <c r="AT2176" s="53">
        <f t="shared" si="375"/>
        <v>0</v>
      </c>
      <c r="AU2176" s="53">
        <f t="shared" si="375"/>
        <v>0</v>
      </c>
      <c r="AV2176" s="53">
        <f t="shared" si="375"/>
        <v>0</v>
      </c>
      <c r="AW2176" s="53">
        <f t="shared" si="375"/>
        <v>0</v>
      </c>
      <c r="AX2176" s="53">
        <f t="shared" si="376"/>
        <v>0</v>
      </c>
      <c r="AY2176" s="41" t="s">
        <v>557</v>
      </c>
    </row>
    <row r="2177" spans="1:51" x14ac:dyDescent="0.2">
      <c r="A2177" s="41" t="s">
        <v>108</v>
      </c>
      <c r="B2177" s="60" t="s">
        <v>559</v>
      </c>
      <c r="C2177" s="60" t="s">
        <v>91</v>
      </c>
      <c r="D2177" s="60" t="s">
        <v>398</v>
      </c>
      <c r="E2177" s="78">
        <f>AX2177/$G2177</f>
        <v>20.100447110275681</v>
      </c>
      <c r="F2177" s="60" t="s">
        <v>570</v>
      </c>
      <c r="G2177" s="79">
        <f>SUM(G2158:G2176)</f>
        <v>26335650.599999998</v>
      </c>
      <c r="H2177" s="80">
        <f>AO2177/$G2177</f>
        <v>2.57689675006548</v>
      </c>
      <c r="I2177" s="80">
        <f>AP2177/$G2177</f>
        <v>0.93186444537656521</v>
      </c>
      <c r="R2177" s="79">
        <f>SUM(R2158:R2176)</f>
        <v>1901465.8775510208</v>
      </c>
      <c r="S2177" s="79">
        <f>SUM(S2158:S2176)</f>
        <v>633821.95918367349</v>
      </c>
      <c r="T2177" s="79">
        <f>SUM(T2158:T2176)</f>
        <v>18906.3269</v>
      </c>
      <c r="AH2177" s="79">
        <f>SUM(AH2158:AH2176)</f>
        <v>24434184.722448982</v>
      </c>
      <c r="AM2177" s="79">
        <f>SUM(AM2158:AM2176)</f>
        <v>34817572</v>
      </c>
      <c r="AO2177" s="79">
        <f t="shared" ref="AO2177:AX2177" si="379">SUM(AO2158:AO2176)</f>
        <v>67864252.442000002</v>
      </c>
      <c r="AP2177" s="79">
        <f t="shared" si="379"/>
        <v>24541256.440000005</v>
      </c>
      <c r="AQ2177" s="79">
        <f t="shared" si="379"/>
        <v>0</v>
      </c>
      <c r="AR2177" s="79">
        <f t="shared" si="379"/>
        <v>0</v>
      </c>
      <c r="AS2177" s="79">
        <f t="shared" si="379"/>
        <v>0</v>
      </c>
      <c r="AT2177" s="79">
        <f t="shared" si="379"/>
        <v>0</v>
      </c>
      <c r="AU2177" s="79">
        <f t="shared" si="379"/>
        <v>0</v>
      </c>
      <c r="AV2177" s="79">
        <f t="shared" si="379"/>
        <v>0</v>
      </c>
      <c r="AW2177" s="79">
        <f t="shared" si="379"/>
        <v>0</v>
      </c>
      <c r="AX2177" s="79">
        <f t="shared" si="379"/>
        <v>529358352</v>
      </c>
      <c r="AY2177" s="41" t="s">
        <v>557</v>
      </c>
    </row>
    <row r="2178" spans="1:51" x14ac:dyDescent="0.2">
      <c r="A2178" s="41" t="s">
        <v>108</v>
      </c>
      <c r="B2178" s="43" t="s">
        <v>560</v>
      </c>
      <c r="G2178" s="53">
        <f>STDEV(G2158:G2176)</f>
        <v>401068.65036350908</v>
      </c>
      <c r="H2178" s="46">
        <f>STDEV(H2158:H2176)</f>
        <v>0.7843006173785404</v>
      </c>
      <c r="I2178" s="46">
        <f>STDEV(I2158:I2176)</f>
        <v>0.28495351989210527</v>
      </c>
      <c r="R2178" s="53">
        <f>STDEV(R2158:R2176)</f>
        <v>33831.688771534529</v>
      </c>
      <c r="S2178" s="53">
        <f>STDEV(S2158:S2176)</f>
        <v>11277.229590511528</v>
      </c>
      <c r="T2178" s="53">
        <f>STDEV(T2158:T2176)</f>
        <v>292.64456185866533</v>
      </c>
      <c r="AH2178" s="53">
        <f>STDEV(AH2158:AH2176)</f>
        <v>484953.41629289102</v>
      </c>
      <c r="AM2178" s="53">
        <f>STDEV(AM2158:AM2176)</f>
        <v>3545310.5099885496</v>
      </c>
      <c r="AY2178" s="41" t="s">
        <v>557</v>
      </c>
    </row>
    <row r="2179" spans="1:51" x14ac:dyDescent="0.2">
      <c r="A2179" s="41" t="s">
        <v>108</v>
      </c>
      <c r="B2179" s="81" t="s">
        <v>249</v>
      </c>
      <c r="G2179" s="41">
        <f>COUNT(G2158:G2176)</f>
        <v>18</v>
      </c>
      <c r="H2179" s="41">
        <f>COUNT(H2158:H2176)</f>
        <v>18</v>
      </c>
      <c r="I2179" s="41">
        <f>COUNT(I2158:I2176)</f>
        <v>18</v>
      </c>
      <c r="R2179" s="41">
        <f>COUNT(R2158:R2176)</f>
        <v>18</v>
      </c>
      <c r="S2179" s="41">
        <f>COUNT(S2158:S2176)</f>
        <v>18</v>
      </c>
      <c r="T2179" s="41">
        <f>COUNT(T2158:T2176)</f>
        <v>18</v>
      </c>
      <c r="AH2179" s="41">
        <f>COUNT(AH2158:AH2176)</f>
        <v>19</v>
      </c>
      <c r="AM2179" s="41">
        <f>COUNT(AM2158:AM2176)</f>
        <v>10</v>
      </c>
      <c r="AY2179" s="41" t="s">
        <v>557</v>
      </c>
    </row>
    <row r="2180" spans="1:51" x14ac:dyDescent="0.2">
      <c r="A2180" s="82"/>
      <c r="B2180" s="82"/>
      <c r="C2180" s="82"/>
      <c r="D2180" s="82"/>
      <c r="E2180" s="82"/>
      <c r="F2180" s="82"/>
      <c r="G2180" s="82"/>
      <c r="H2180" s="82"/>
      <c r="I2180" s="82"/>
      <c r="J2180" s="82"/>
      <c r="K2180" s="82"/>
      <c r="L2180" s="82"/>
      <c r="M2180" s="82"/>
      <c r="N2180" s="82"/>
      <c r="O2180" s="82"/>
      <c r="P2180" s="82"/>
      <c r="Q2180" s="82"/>
      <c r="R2180" s="82"/>
      <c r="S2180" s="82"/>
      <c r="T2180" s="82"/>
      <c r="U2180" s="82"/>
      <c r="V2180" s="82"/>
      <c r="W2180" s="82"/>
      <c r="X2180" s="82"/>
      <c r="Y2180" s="82"/>
      <c r="Z2180" s="82"/>
      <c r="AA2180" s="82"/>
      <c r="AB2180" s="82"/>
      <c r="AC2180" s="82"/>
      <c r="AD2180" s="82"/>
      <c r="AE2180" s="82"/>
      <c r="AF2180" s="82"/>
      <c r="AG2180" s="82"/>
      <c r="AH2180" s="82"/>
      <c r="AI2180" s="82"/>
      <c r="AJ2180" s="82"/>
      <c r="AK2180" s="82"/>
      <c r="AL2180" s="82"/>
      <c r="AM2180" s="82"/>
      <c r="AN2180" s="82"/>
      <c r="AO2180" s="82"/>
      <c r="AP2180" s="82"/>
      <c r="AQ2180" s="82"/>
      <c r="AR2180" s="82"/>
      <c r="AS2180" s="82"/>
      <c r="AT2180" s="82"/>
      <c r="AU2180" s="82"/>
      <c r="AV2180" s="82"/>
      <c r="AW2180" s="82"/>
      <c r="AX2180" s="82"/>
      <c r="AY2180" s="41" t="s">
        <v>557</v>
      </c>
    </row>
    <row r="2181" spans="1:51" x14ac:dyDescent="0.2">
      <c r="A2181" s="41" t="s">
        <v>201</v>
      </c>
      <c r="B2181" s="41">
        <v>2013</v>
      </c>
      <c r="C2181" s="41" t="s">
        <v>87</v>
      </c>
      <c r="D2181" s="41" t="s">
        <v>88</v>
      </c>
      <c r="E2181" s="41">
        <v>100</v>
      </c>
      <c r="F2181" s="41" t="s">
        <v>556</v>
      </c>
      <c r="G2181" s="53">
        <v>20317000</v>
      </c>
      <c r="H2181" s="41">
        <v>0.47</v>
      </c>
      <c r="I2181" s="41">
        <v>0.36</v>
      </c>
      <c r="J2181" s="41">
        <v>1.37</v>
      </c>
      <c r="R2181" s="53">
        <v>290000</v>
      </c>
      <c r="S2181" s="53">
        <v>76700</v>
      </c>
      <c r="T2181" s="53">
        <v>157000</v>
      </c>
      <c r="U2181" s="53">
        <v>489000</v>
      </c>
      <c r="AH2181" s="53">
        <f>G2181-R2181</f>
        <v>20027000</v>
      </c>
      <c r="AM2181" s="53">
        <v>51715000</v>
      </c>
      <c r="AO2181" s="53">
        <f t="shared" ref="AO2181:AW2184" si="380">$G2181*H2181</f>
        <v>9548990</v>
      </c>
      <c r="AP2181" s="53">
        <f t="shared" si="380"/>
        <v>7314120</v>
      </c>
      <c r="AQ2181" s="53">
        <f t="shared" si="380"/>
        <v>27834290.000000004</v>
      </c>
      <c r="AR2181" s="53">
        <f t="shared" si="380"/>
        <v>0</v>
      </c>
      <c r="AS2181" s="53">
        <f t="shared" si="380"/>
        <v>0</v>
      </c>
      <c r="AT2181" s="53">
        <f t="shared" si="380"/>
        <v>0</v>
      </c>
      <c r="AU2181" s="53">
        <f t="shared" si="380"/>
        <v>0</v>
      </c>
      <c r="AV2181" s="53">
        <f t="shared" si="380"/>
        <v>0</v>
      </c>
      <c r="AW2181" s="53">
        <f t="shared" si="380"/>
        <v>0</v>
      </c>
      <c r="AX2181" s="53">
        <f t="shared" si="372"/>
        <v>2031700000</v>
      </c>
      <c r="AY2181" s="41" t="s">
        <v>557</v>
      </c>
    </row>
    <row r="2182" spans="1:51" x14ac:dyDescent="0.2">
      <c r="A2182" s="41" t="s">
        <v>201</v>
      </c>
      <c r="B2182" s="41">
        <v>2014</v>
      </c>
      <c r="C2182" s="41" t="s">
        <v>87</v>
      </c>
      <c r="D2182" s="41" t="s">
        <v>88</v>
      </c>
      <c r="E2182" s="41">
        <v>100</v>
      </c>
      <c r="F2182" s="41" t="s">
        <v>556</v>
      </c>
      <c r="G2182" s="53">
        <v>27872000</v>
      </c>
      <c r="H2182" s="46">
        <v>0.6</v>
      </c>
      <c r="I2182" s="41">
        <v>0.86</v>
      </c>
      <c r="J2182" s="46">
        <v>1.6</v>
      </c>
      <c r="R2182" s="53">
        <v>563600</v>
      </c>
      <c r="S2182" s="53">
        <v>148400</v>
      </c>
      <c r="T2182" s="53">
        <v>588700</v>
      </c>
      <c r="U2182" s="53">
        <v>893000</v>
      </c>
      <c r="AH2182" s="53">
        <f>G2182-R2182</f>
        <v>27308400</v>
      </c>
      <c r="AM2182" s="53">
        <v>49047000</v>
      </c>
      <c r="AO2182" s="53">
        <f t="shared" si="380"/>
        <v>16723200</v>
      </c>
      <c r="AP2182" s="53">
        <f t="shared" si="380"/>
        <v>23969920</v>
      </c>
      <c r="AQ2182" s="53">
        <f t="shared" si="380"/>
        <v>44595200</v>
      </c>
      <c r="AR2182" s="53">
        <f t="shared" si="380"/>
        <v>0</v>
      </c>
      <c r="AS2182" s="53">
        <f t="shared" si="380"/>
        <v>0</v>
      </c>
      <c r="AT2182" s="53">
        <f t="shared" si="380"/>
        <v>0</v>
      </c>
      <c r="AU2182" s="53">
        <f t="shared" si="380"/>
        <v>0</v>
      </c>
      <c r="AV2182" s="53">
        <f t="shared" si="380"/>
        <v>0</v>
      </c>
      <c r="AW2182" s="53">
        <f t="shared" si="380"/>
        <v>0</v>
      </c>
      <c r="AX2182" s="53">
        <f t="shared" si="372"/>
        <v>2787200000</v>
      </c>
      <c r="AY2182" s="41" t="s">
        <v>557</v>
      </c>
    </row>
    <row r="2183" spans="1:51" x14ac:dyDescent="0.2">
      <c r="A2183" s="41" t="s">
        <v>201</v>
      </c>
      <c r="B2183" s="41">
        <v>2015</v>
      </c>
      <c r="C2183" s="41" t="s">
        <v>87</v>
      </c>
      <c r="D2183" s="41" t="s">
        <v>88</v>
      </c>
      <c r="E2183" s="41">
        <v>100</v>
      </c>
      <c r="F2183" s="41" t="s">
        <v>556</v>
      </c>
      <c r="G2183" s="53">
        <v>34537000</v>
      </c>
      <c r="H2183" s="41">
        <v>0.67</v>
      </c>
      <c r="I2183" s="41">
        <v>0.78</v>
      </c>
      <c r="J2183" s="41">
        <v>1.56</v>
      </c>
      <c r="R2183" s="53">
        <v>788500</v>
      </c>
      <c r="S2183" s="53">
        <v>202200</v>
      </c>
      <c r="T2183" s="53">
        <v>653400</v>
      </c>
      <c r="U2183" s="53">
        <v>1223000</v>
      </c>
      <c r="AH2183" s="53">
        <f>G2183-R2183</f>
        <v>33748500</v>
      </c>
      <c r="AM2183" s="53">
        <v>57234000</v>
      </c>
      <c r="AO2183" s="53">
        <f t="shared" si="380"/>
        <v>23139790</v>
      </c>
      <c r="AP2183" s="53">
        <f t="shared" si="380"/>
        <v>26938860</v>
      </c>
      <c r="AQ2183" s="53">
        <f t="shared" si="380"/>
        <v>53877720</v>
      </c>
      <c r="AR2183" s="53">
        <f t="shared" si="380"/>
        <v>0</v>
      </c>
      <c r="AS2183" s="53">
        <f t="shared" si="380"/>
        <v>0</v>
      </c>
      <c r="AT2183" s="53">
        <f t="shared" si="380"/>
        <v>0</v>
      </c>
      <c r="AU2183" s="53">
        <f t="shared" si="380"/>
        <v>0</v>
      </c>
      <c r="AV2183" s="53">
        <f t="shared" si="380"/>
        <v>0</v>
      </c>
      <c r="AW2183" s="53">
        <f t="shared" si="380"/>
        <v>0</v>
      </c>
      <c r="AX2183" s="53">
        <f t="shared" si="372"/>
        <v>3453700000</v>
      </c>
      <c r="AY2183" s="41" t="s">
        <v>557</v>
      </c>
    </row>
    <row r="2184" spans="1:51" x14ac:dyDescent="0.2">
      <c r="A2184" s="41" t="s">
        <v>201</v>
      </c>
      <c r="B2184" s="41">
        <v>2016</v>
      </c>
      <c r="C2184" s="41" t="s">
        <v>87</v>
      </c>
      <c r="D2184" s="41" t="s">
        <v>88</v>
      </c>
      <c r="E2184" s="41">
        <v>100</v>
      </c>
      <c r="F2184" s="41" t="s">
        <v>556</v>
      </c>
      <c r="G2184" s="53">
        <v>38152000</v>
      </c>
      <c r="H2184" s="41">
        <v>0.65</v>
      </c>
      <c r="I2184" s="41">
        <v>0.36</v>
      </c>
      <c r="J2184" s="41">
        <v>1.83</v>
      </c>
      <c r="R2184" s="53">
        <v>846600</v>
      </c>
      <c r="S2184" s="53">
        <v>201300</v>
      </c>
      <c r="T2184" s="53">
        <v>300000</v>
      </c>
      <c r="U2184" s="53">
        <v>1420000</v>
      </c>
      <c r="AH2184" s="53">
        <f>G2184-R2184</f>
        <v>37305400</v>
      </c>
      <c r="AM2184" s="53">
        <v>58786000</v>
      </c>
      <c r="AO2184" s="53">
        <f t="shared" si="380"/>
        <v>24798800</v>
      </c>
      <c r="AP2184" s="53">
        <f t="shared" si="380"/>
        <v>13734720</v>
      </c>
      <c r="AQ2184" s="53">
        <f t="shared" si="380"/>
        <v>69818160</v>
      </c>
      <c r="AR2184" s="53">
        <f t="shared" si="380"/>
        <v>0</v>
      </c>
      <c r="AS2184" s="53">
        <f t="shared" si="380"/>
        <v>0</v>
      </c>
      <c r="AT2184" s="53">
        <f t="shared" si="380"/>
        <v>0</v>
      </c>
      <c r="AU2184" s="53">
        <f t="shared" si="380"/>
        <v>0</v>
      </c>
      <c r="AV2184" s="53">
        <f t="shared" si="380"/>
        <v>0</v>
      </c>
      <c r="AW2184" s="53">
        <f t="shared" si="380"/>
        <v>0</v>
      </c>
      <c r="AX2184" s="53">
        <f t="shared" si="372"/>
        <v>3815200000</v>
      </c>
      <c r="AY2184" s="41" t="s">
        <v>557</v>
      </c>
    </row>
    <row r="2185" spans="1:51" x14ac:dyDescent="0.2">
      <c r="A2185" s="84"/>
      <c r="B2185" s="85" t="s">
        <v>670</v>
      </c>
      <c r="C2185" s="60" t="s">
        <v>87</v>
      </c>
      <c r="D2185" s="60" t="s">
        <v>88</v>
      </c>
      <c r="E2185" s="60">
        <v>100</v>
      </c>
      <c r="F2185" s="60" t="s">
        <v>556</v>
      </c>
      <c r="G2185" s="79">
        <f>SUM(G2181:G2183)+(7/12)*G2184</f>
        <v>104981333.33333334</v>
      </c>
      <c r="H2185" s="80">
        <f>AO2185/$G2185</f>
        <v>0.60846956919325335</v>
      </c>
      <c r="I2185" s="80">
        <f>AP2185/$G2185</f>
        <v>0.63091997307457826</v>
      </c>
      <c r="J2185" s="80">
        <f>AQ2185/$G2185</f>
        <v>1.5910873361613491</v>
      </c>
      <c r="R2185" s="79">
        <f>SUM(R2181:R2183)+(7/12)*R2184</f>
        <v>2135950</v>
      </c>
      <c r="S2185" s="79">
        <f>SUM(S2181:S2183)+(7/12)*S2184</f>
        <v>544725</v>
      </c>
      <c r="T2185" s="79">
        <f>SUM(T2181:T2183)+(7/12)*T2184</f>
        <v>1574100</v>
      </c>
      <c r="U2185" s="79">
        <f>SUM(U2181:U2183)+(7/12)*U2184</f>
        <v>3433333.3333333335</v>
      </c>
      <c r="AH2185" s="79">
        <f>SUM(AH2181:AH2183)+(7/12)*AH2184</f>
        <v>102845383.33333334</v>
      </c>
      <c r="AM2185" s="79">
        <f>SUM(AM2181:AM2183)+(7/12)*AM2184</f>
        <v>192287833.33333334</v>
      </c>
      <c r="AO2185" s="79">
        <f t="shared" ref="AO2185:AX2185" si="381">SUM(AO2181:AO2183)+(7/12)*AO2184</f>
        <v>63877946.666666672</v>
      </c>
      <c r="AP2185" s="79">
        <f t="shared" si="381"/>
        <v>66234820</v>
      </c>
      <c r="AQ2185" s="79">
        <f t="shared" si="381"/>
        <v>167034470</v>
      </c>
      <c r="AR2185" s="79">
        <f t="shared" si="381"/>
        <v>0</v>
      </c>
      <c r="AS2185" s="79">
        <f t="shared" si="381"/>
        <v>0</v>
      </c>
      <c r="AT2185" s="79">
        <f t="shared" si="381"/>
        <v>0</v>
      </c>
      <c r="AU2185" s="79">
        <f t="shared" si="381"/>
        <v>0</v>
      </c>
      <c r="AV2185" s="79">
        <f t="shared" si="381"/>
        <v>0</v>
      </c>
      <c r="AW2185" s="79">
        <f t="shared" si="381"/>
        <v>0</v>
      </c>
      <c r="AX2185" s="79">
        <f t="shared" si="381"/>
        <v>10498133333.333334</v>
      </c>
      <c r="AY2185" s="41" t="s">
        <v>557</v>
      </c>
    </row>
    <row r="2186" spans="1:51" x14ac:dyDescent="0.2">
      <c r="A2186" s="41" t="s">
        <v>201</v>
      </c>
      <c r="B2186" s="43" t="s">
        <v>560</v>
      </c>
      <c r="G2186" s="53">
        <f>STDEV(G2181:G2184)</f>
        <v>7855690.6125432411</v>
      </c>
      <c r="H2186" s="46">
        <f>STDEV(H2181:H2184)</f>
        <v>8.9953691790091814E-2</v>
      </c>
      <c r="I2186" s="46">
        <f>STDEV(I2181:I2184)</f>
        <v>0.26758176320519311</v>
      </c>
      <c r="J2186" s="46">
        <f>STDEV(J2181:J2184)</f>
        <v>0.18885620632286998</v>
      </c>
      <c r="R2186" s="53">
        <f>STDEV(R2181:R2184)</f>
        <v>252851.63469249447</v>
      </c>
      <c r="S2186" s="53">
        <f>STDEV(S2181:S2184)</f>
        <v>59238.191509644632</v>
      </c>
      <c r="T2186" s="53">
        <f>STDEV(T2181:T2184)</f>
        <v>235522.85628646179</v>
      </c>
      <c r="U2186" s="53">
        <f>STDEV(U2181:U2184)</f>
        <v>407652.93653629755</v>
      </c>
      <c r="AH2186" s="53">
        <f>STDEV(AH2181:AH2184)</f>
        <v>7604318.3421768099</v>
      </c>
      <c r="AM2186" s="53">
        <f>STDEV(AM2181:AM2184)</f>
        <v>4581306.4002894778</v>
      </c>
      <c r="AY2186" s="41" t="s">
        <v>557</v>
      </c>
    </row>
    <row r="2187" spans="1:51" x14ac:dyDescent="0.2">
      <c r="A2187" s="41" t="s">
        <v>201</v>
      </c>
      <c r="B2187" s="81" t="s">
        <v>249</v>
      </c>
      <c r="G2187" s="41">
        <f>COUNT(G2181:G2184)</f>
        <v>4</v>
      </c>
      <c r="H2187" s="41">
        <f>COUNT(H2181:H2184)</f>
        <v>4</v>
      </c>
      <c r="I2187" s="41">
        <f>COUNT(I2181:I2184)</f>
        <v>4</v>
      </c>
      <c r="J2187" s="41">
        <f>COUNT(J2181:J2184)</f>
        <v>4</v>
      </c>
      <c r="R2187" s="41">
        <f>COUNT(R2181:R2184)</f>
        <v>4</v>
      </c>
      <c r="S2187" s="41">
        <f>COUNT(S2181:S2184)</f>
        <v>4</v>
      </c>
      <c r="T2187" s="41">
        <f>COUNT(T2181:T2184)</f>
        <v>4</v>
      </c>
      <c r="U2187" s="41">
        <f>COUNT(U2181:U2184)</f>
        <v>4</v>
      </c>
      <c r="AH2187" s="41">
        <f>COUNT(AH2181:AH2184)</f>
        <v>4</v>
      </c>
      <c r="AM2187" s="41">
        <f>COUNT(AM2181:AM2184)</f>
        <v>4</v>
      </c>
      <c r="AY2187" s="41" t="s">
        <v>557</v>
      </c>
    </row>
    <row r="2188" spans="1:51" x14ac:dyDescent="0.2">
      <c r="A2188" s="82"/>
      <c r="B2188" s="82"/>
      <c r="C2188" s="82"/>
      <c r="D2188" s="82"/>
      <c r="E2188" s="82"/>
      <c r="F2188" s="82"/>
      <c r="G2188" s="82"/>
      <c r="H2188" s="82"/>
      <c r="I2188" s="82"/>
      <c r="J2188" s="82"/>
      <c r="K2188" s="82"/>
      <c r="L2188" s="82"/>
      <c r="M2188" s="82"/>
      <c r="N2188" s="82"/>
      <c r="O2188" s="82"/>
      <c r="P2188" s="82"/>
      <c r="Q2188" s="82"/>
      <c r="R2188" s="82"/>
      <c r="S2188" s="82"/>
      <c r="T2188" s="82"/>
      <c r="U2188" s="82"/>
      <c r="V2188" s="82"/>
      <c r="W2188" s="82"/>
      <c r="X2188" s="82"/>
      <c r="Y2188" s="82"/>
      <c r="Z2188" s="82"/>
      <c r="AA2188" s="82"/>
      <c r="AB2188" s="82"/>
      <c r="AC2188" s="82"/>
      <c r="AD2188" s="82"/>
      <c r="AE2188" s="82"/>
      <c r="AF2188" s="82"/>
      <c r="AG2188" s="82"/>
      <c r="AH2188" s="82"/>
      <c r="AI2188" s="82"/>
      <c r="AJ2188" s="82"/>
      <c r="AK2188" s="82"/>
      <c r="AL2188" s="82"/>
      <c r="AM2188" s="82"/>
      <c r="AN2188" s="82"/>
      <c r="AO2188" s="82"/>
      <c r="AP2188" s="82"/>
      <c r="AQ2188" s="82"/>
      <c r="AR2188" s="82"/>
      <c r="AS2188" s="82"/>
      <c r="AT2188" s="82"/>
      <c r="AU2188" s="82"/>
      <c r="AV2188" s="82"/>
      <c r="AW2188" s="82"/>
      <c r="AX2188" s="82"/>
      <c r="AY2188" s="41" t="s">
        <v>557</v>
      </c>
    </row>
    <row r="2189" spans="1:51" x14ac:dyDescent="0.2">
      <c r="A2189" s="86" t="s">
        <v>221</v>
      </c>
      <c r="B2189" s="121" t="s">
        <v>671</v>
      </c>
      <c r="AY2189" s="41" t="s">
        <v>557</v>
      </c>
    </row>
    <row r="2190" spans="1:51" x14ac:dyDescent="0.2">
      <c r="A2190" s="86" t="s">
        <v>221</v>
      </c>
      <c r="B2190" s="41">
        <v>1994</v>
      </c>
      <c r="C2190" s="41" t="s">
        <v>96</v>
      </c>
      <c r="D2190" s="41" t="s">
        <v>220</v>
      </c>
      <c r="E2190" s="41">
        <v>100</v>
      </c>
      <c r="F2190" s="41" t="s">
        <v>672</v>
      </c>
      <c r="G2190" s="53">
        <v>28352000</v>
      </c>
      <c r="H2190" s="41">
        <v>0.54</v>
      </c>
      <c r="I2190" s="56">
        <v>0.15</v>
      </c>
      <c r="R2190" s="53">
        <v>380400</v>
      </c>
      <c r="S2190" s="53">
        <v>127600</v>
      </c>
      <c r="T2190" s="76">
        <f>0.25*G2190*I2190/1000</f>
        <v>1063.2</v>
      </c>
      <c r="AC2190" s="52">
        <v>144.75</v>
      </c>
      <c r="AE2190" s="41">
        <v>162</v>
      </c>
      <c r="AF2190" s="53">
        <v>363500</v>
      </c>
      <c r="AG2190" s="41" t="s">
        <v>673</v>
      </c>
      <c r="AH2190" s="53">
        <f t="shared" ref="AH2190:AH2208" si="382">G2190-R2190</f>
        <v>27971600</v>
      </c>
      <c r="AL2190" s="52"/>
      <c r="AM2190" s="53">
        <v>34022400</v>
      </c>
      <c r="AO2190" s="53">
        <f t="shared" ref="AO2190:AW2208" si="383">$G2190*H2190</f>
        <v>15310080.000000002</v>
      </c>
      <c r="AP2190" s="53">
        <f t="shared" si="383"/>
        <v>4252800</v>
      </c>
      <c r="AQ2190" s="53">
        <f t="shared" si="383"/>
        <v>0</v>
      </c>
      <c r="AR2190" s="53">
        <f t="shared" si="383"/>
        <v>0</v>
      </c>
      <c r="AS2190" s="53">
        <f t="shared" si="383"/>
        <v>0</v>
      </c>
      <c r="AT2190" s="53">
        <f t="shared" si="383"/>
        <v>0</v>
      </c>
      <c r="AU2190" s="53">
        <f t="shared" si="383"/>
        <v>0</v>
      </c>
      <c r="AV2190" s="53">
        <f t="shared" si="383"/>
        <v>0</v>
      </c>
      <c r="AW2190" s="53">
        <f t="shared" si="383"/>
        <v>0</v>
      </c>
      <c r="AX2190" s="53">
        <f t="shared" si="372"/>
        <v>2835200000</v>
      </c>
      <c r="AY2190" s="41" t="s">
        <v>557</v>
      </c>
    </row>
    <row r="2191" spans="1:51" x14ac:dyDescent="0.2">
      <c r="A2191" s="86" t="s">
        <v>221</v>
      </c>
      <c r="B2191" s="41">
        <v>1995</v>
      </c>
      <c r="C2191" s="41" t="s">
        <v>96</v>
      </c>
      <c r="D2191" s="41" t="s">
        <v>220</v>
      </c>
      <c r="E2191" s="41">
        <v>100</v>
      </c>
      <c r="F2191" s="41" t="s">
        <v>672</v>
      </c>
      <c r="G2191" s="53">
        <v>29551000</v>
      </c>
      <c r="H2191" s="41">
        <v>0.57999999999999996</v>
      </c>
      <c r="I2191" s="56">
        <v>0.15</v>
      </c>
      <c r="R2191" s="53">
        <v>418900</v>
      </c>
      <c r="S2191" s="53">
        <v>141700</v>
      </c>
      <c r="T2191" s="76">
        <f t="shared" ref="T2191:T2206" si="384">0.25*G2191*I2191/1000</f>
        <v>1108.1624999999999</v>
      </c>
      <c r="AC2191" s="52">
        <v>44.25</v>
      </c>
      <c r="AE2191" s="41">
        <v>133</v>
      </c>
      <c r="AF2191" s="53">
        <v>360500</v>
      </c>
      <c r="AG2191" s="41" t="s">
        <v>673</v>
      </c>
      <c r="AH2191" s="53">
        <f t="shared" si="382"/>
        <v>29132100</v>
      </c>
      <c r="AL2191" s="52"/>
      <c r="AM2191" s="53">
        <v>35461200</v>
      </c>
      <c r="AO2191" s="53">
        <f t="shared" si="383"/>
        <v>17139580</v>
      </c>
      <c r="AP2191" s="53">
        <f t="shared" si="383"/>
        <v>4432650</v>
      </c>
      <c r="AQ2191" s="53">
        <f t="shared" si="383"/>
        <v>0</v>
      </c>
      <c r="AR2191" s="53">
        <f t="shared" si="383"/>
        <v>0</v>
      </c>
      <c r="AS2191" s="53">
        <f t="shared" si="383"/>
        <v>0</v>
      </c>
      <c r="AT2191" s="53">
        <f t="shared" si="383"/>
        <v>0</v>
      </c>
      <c r="AU2191" s="53">
        <f t="shared" si="383"/>
        <v>0</v>
      </c>
      <c r="AV2191" s="53">
        <f t="shared" si="383"/>
        <v>0</v>
      </c>
      <c r="AW2191" s="53">
        <f t="shared" si="383"/>
        <v>0</v>
      </c>
      <c r="AX2191" s="53">
        <f t="shared" si="372"/>
        <v>2955100000</v>
      </c>
      <c r="AY2191" s="41" t="s">
        <v>557</v>
      </c>
    </row>
    <row r="2192" spans="1:51" x14ac:dyDescent="0.2">
      <c r="A2192" s="86" t="s">
        <v>221</v>
      </c>
      <c r="B2192" s="41">
        <v>1996</v>
      </c>
      <c r="C2192" s="41" t="s">
        <v>96</v>
      </c>
      <c r="D2192" s="41" t="s">
        <v>220</v>
      </c>
      <c r="E2192" s="41">
        <v>100</v>
      </c>
      <c r="F2192" s="41" t="s">
        <v>672</v>
      </c>
      <c r="G2192" s="53">
        <v>29153000</v>
      </c>
      <c r="H2192" s="41">
        <v>0.57999999999999996</v>
      </c>
      <c r="I2192" s="56">
        <v>0.15</v>
      </c>
      <c r="R2192" s="53">
        <v>421700</v>
      </c>
      <c r="S2192" s="53">
        <v>143400</v>
      </c>
      <c r="T2192" s="76">
        <f t="shared" si="384"/>
        <v>1093.2375</v>
      </c>
      <c r="AC2192" s="52">
        <v>53.75</v>
      </c>
      <c r="AE2192" s="41">
        <v>100</v>
      </c>
      <c r="AF2192" s="53">
        <v>321600</v>
      </c>
      <c r="AG2192" s="41" t="s">
        <v>673</v>
      </c>
      <c r="AH2192" s="53">
        <f t="shared" si="382"/>
        <v>28731300</v>
      </c>
      <c r="AL2192" s="52"/>
      <c r="AM2192" s="53">
        <v>33193000</v>
      </c>
      <c r="AO2192" s="53">
        <f t="shared" si="383"/>
        <v>16908740</v>
      </c>
      <c r="AP2192" s="53">
        <f t="shared" si="383"/>
        <v>4372950</v>
      </c>
      <c r="AQ2192" s="53">
        <f t="shared" si="383"/>
        <v>0</v>
      </c>
      <c r="AR2192" s="53">
        <f t="shared" si="383"/>
        <v>0</v>
      </c>
      <c r="AS2192" s="53">
        <f t="shared" si="383"/>
        <v>0</v>
      </c>
      <c r="AT2192" s="53">
        <f t="shared" si="383"/>
        <v>0</v>
      </c>
      <c r="AU2192" s="53">
        <f t="shared" si="383"/>
        <v>0</v>
      </c>
      <c r="AV2192" s="53">
        <f t="shared" si="383"/>
        <v>0</v>
      </c>
      <c r="AW2192" s="53">
        <f t="shared" si="383"/>
        <v>0</v>
      </c>
      <c r="AX2192" s="53">
        <f t="shared" si="372"/>
        <v>2915300000</v>
      </c>
      <c r="AY2192" s="41" t="s">
        <v>557</v>
      </c>
    </row>
    <row r="2193" spans="1:51" x14ac:dyDescent="0.2">
      <c r="A2193" s="86" t="s">
        <v>221</v>
      </c>
      <c r="B2193" s="41">
        <v>1997</v>
      </c>
      <c r="C2193" s="41" t="s">
        <v>96</v>
      </c>
      <c r="D2193" s="41" t="s">
        <v>220</v>
      </c>
      <c r="E2193" s="41">
        <v>100</v>
      </c>
      <c r="F2193" s="41" t="s">
        <v>672</v>
      </c>
      <c r="G2193" s="53">
        <v>28846000</v>
      </c>
      <c r="H2193" s="41">
        <v>0.55000000000000004</v>
      </c>
      <c r="I2193" s="56">
        <v>0.15</v>
      </c>
      <c r="R2193" s="53">
        <v>375800</v>
      </c>
      <c r="S2193" s="53">
        <v>133700</v>
      </c>
      <c r="T2193" s="76">
        <f t="shared" si="384"/>
        <v>1081.7249999999999</v>
      </c>
      <c r="AC2193" s="52">
        <v>76</v>
      </c>
      <c r="AE2193" s="41">
        <v>92</v>
      </c>
      <c r="AF2193" s="53">
        <v>402000</v>
      </c>
      <c r="AG2193" s="41" t="s">
        <v>673</v>
      </c>
      <c r="AH2193" s="53">
        <f t="shared" si="382"/>
        <v>28470200</v>
      </c>
      <c r="AL2193" s="52"/>
      <c r="AM2193" s="53">
        <v>30794000</v>
      </c>
      <c r="AO2193" s="53">
        <f t="shared" si="383"/>
        <v>15865300.000000002</v>
      </c>
      <c r="AP2193" s="53">
        <f t="shared" si="383"/>
        <v>4326900</v>
      </c>
      <c r="AQ2193" s="53">
        <f t="shared" si="383"/>
        <v>0</v>
      </c>
      <c r="AR2193" s="53">
        <f t="shared" si="383"/>
        <v>0</v>
      </c>
      <c r="AS2193" s="53">
        <f t="shared" si="383"/>
        <v>0</v>
      </c>
      <c r="AT2193" s="53">
        <f t="shared" si="383"/>
        <v>0</v>
      </c>
      <c r="AU2193" s="53">
        <f t="shared" si="383"/>
        <v>0</v>
      </c>
      <c r="AV2193" s="53">
        <f t="shared" si="383"/>
        <v>0</v>
      </c>
      <c r="AW2193" s="53">
        <f t="shared" si="383"/>
        <v>0</v>
      </c>
      <c r="AX2193" s="53">
        <f t="shared" si="372"/>
        <v>2884600000</v>
      </c>
      <c r="AY2193" s="41" t="s">
        <v>557</v>
      </c>
    </row>
    <row r="2194" spans="1:51" x14ac:dyDescent="0.2">
      <c r="A2194" s="86" t="s">
        <v>221</v>
      </c>
      <c r="B2194" s="41">
        <v>1998</v>
      </c>
      <c r="C2194" s="41" t="s">
        <v>96</v>
      </c>
      <c r="D2194" s="41" t="s">
        <v>220</v>
      </c>
      <c r="E2194" s="41">
        <v>100</v>
      </c>
      <c r="F2194" s="41" t="s">
        <v>672</v>
      </c>
      <c r="G2194" s="53">
        <v>28759000</v>
      </c>
      <c r="H2194" s="41">
        <v>0.57999999999999996</v>
      </c>
      <c r="I2194" s="56">
        <v>0.15</v>
      </c>
      <c r="R2194" s="53">
        <v>418300</v>
      </c>
      <c r="S2194" s="53">
        <v>140600</v>
      </c>
      <c r="T2194" s="76">
        <f t="shared" si="384"/>
        <v>1078.4625000000001</v>
      </c>
      <c r="AC2194" s="52">
        <v>72</v>
      </c>
      <c r="AE2194" s="41">
        <v>74</v>
      </c>
      <c r="AF2194" s="53">
        <v>433700</v>
      </c>
      <c r="AG2194" s="41" t="s">
        <v>673</v>
      </c>
      <c r="AH2194" s="53">
        <f t="shared" si="382"/>
        <v>28340700</v>
      </c>
      <c r="AL2194" s="52"/>
      <c r="AM2194" s="53">
        <v>30342000</v>
      </c>
      <c r="AO2194" s="53">
        <f t="shared" si="383"/>
        <v>16680219.999999998</v>
      </c>
      <c r="AP2194" s="53">
        <f t="shared" si="383"/>
        <v>4313850</v>
      </c>
      <c r="AQ2194" s="53">
        <f t="shared" si="383"/>
        <v>0</v>
      </c>
      <c r="AR2194" s="53">
        <f t="shared" si="383"/>
        <v>0</v>
      </c>
      <c r="AS2194" s="53">
        <f t="shared" si="383"/>
        <v>0</v>
      </c>
      <c r="AT2194" s="53">
        <f t="shared" si="383"/>
        <v>0</v>
      </c>
      <c r="AU2194" s="53">
        <f t="shared" si="383"/>
        <v>0</v>
      </c>
      <c r="AV2194" s="53">
        <f t="shared" si="383"/>
        <v>0</v>
      </c>
      <c r="AW2194" s="53">
        <f t="shared" si="383"/>
        <v>0</v>
      </c>
      <c r="AX2194" s="53">
        <f t="shared" si="372"/>
        <v>2875900000</v>
      </c>
      <c r="AY2194" s="41" t="s">
        <v>557</v>
      </c>
    </row>
    <row r="2195" spans="1:51" x14ac:dyDescent="0.2">
      <c r="A2195" s="86" t="s">
        <v>221</v>
      </c>
      <c r="B2195" s="41">
        <v>1999</v>
      </c>
      <c r="C2195" s="41" t="s">
        <v>96</v>
      </c>
      <c r="D2195" s="41" t="s">
        <v>220</v>
      </c>
      <c r="E2195" s="41">
        <v>100</v>
      </c>
      <c r="F2195" s="41" t="s">
        <v>672</v>
      </c>
      <c r="G2195" s="53">
        <v>28343000</v>
      </c>
      <c r="H2195" s="41">
        <v>0.47</v>
      </c>
      <c r="I2195" s="56">
        <v>0.15</v>
      </c>
      <c r="R2195" s="53">
        <v>333400</v>
      </c>
      <c r="S2195" s="53">
        <v>111900</v>
      </c>
      <c r="T2195" s="76">
        <f t="shared" si="384"/>
        <v>1062.8625</v>
      </c>
      <c r="AC2195" s="52">
        <v>61.5</v>
      </c>
      <c r="AE2195" s="41">
        <v>90</v>
      </c>
      <c r="AF2195" s="53">
        <v>409700</v>
      </c>
      <c r="AG2195" s="41" t="s">
        <v>673</v>
      </c>
      <c r="AH2195" s="53">
        <f t="shared" si="382"/>
        <v>28009600</v>
      </c>
      <c r="AL2195" s="52"/>
      <c r="AM2195" s="53">
        <v>25419000</v>
      </c>
      <c r="AO2195" s="53">
        <f t="shared" si="383"/>
        <v>13321210</v>
      </c>
      <c r="AP2195" s="53">
        <f t="shared" si="383"/>
        <v>4251450</v>
      </c>
      <c r="AQ2195" s="53">
        <f t="shared" si="383"/>
        <v>0</v>
      </c>
      <c r="AR2195" s="53">
        <f t="shared" si="383"/>
        <v>0</v>
      </c>
      <c r="AS2195" s="53">
        <f t="shared" si="383"/>
        <v>0</v>
      </c>
      <c r="AT2195" s="53">
        <f t="shared" si="383"/>
        <v>0</v>
      </c>
      <c r="AU2195" s="53">
        <f t="shared" si="383"/>
        <v>0</v>
      </c>
      <c r="AV2195" s="53">
        <f t="shared" si="383"/>
        <v>0</v>
      </c>
      <c r="AW2195" s="53">
        <f t="shared" si="383"/>
        <v>0</v>
      </c>
      <c r="AX2195" s="53">
        <f t="shared" si="372"/>
        <v>2834300000</v>
      </c>
      <c r="AY2195" s="41" t="s">
        <v>557</v>
      </c>
    </row>
    <row r="2196" spans="1:51" x14ac:dyDescent="0.2">
      <c r="A2196" s="86" t="s">
        <v>221</v>
      </c>
      <c r="B2196" s="41">
        <v>2000</v>
      </c>
      <c r="C2196" s="41" t="s">
        <v>96</v>
      </c>
      <c r="D2196" s="41" t="s">
        <v>220</v>
      </c>
      <c r="E2196" s="41">
        <v>100</v>
      </c>
      <c r="F2196" s="41" t="s">
        <v>672</v>
      </c>
      <c r="G2196" s="53">
        <v>25737000</v>
      </c>
      <c r="H2196" s="41">
        <v>0.59</v>
      </c>
      <c r="I2196" s="56">
        <v>0.15</v>
      </c>
      <c r="R2196" s="53">
        <v>358700</v>
      </c>
      <c r="S2196" s="53">
        <v>117000</v>
      </c>
      <c r="T2196" s="76">
        <f t="shared" si="384"/>
        <v>965.13750000000005</v>
      </c>
      <c r="AC2196" s="52">
        <v>65.75</v>
      </c>
      <c r="AE2196" s="41">
        <v>95</v>
      </c>
      <c r="AF2196" s="53">
        <v>455300</v>
      </c>
      <c r="AG2196" s="41" t="s">
        <v>673</v>
      </c>
      <c r="AH2196" s="53">
        <f t="shared" si="382"/>
        <v>25378300</v>
      </c>
      <c r="AL2196" s="52"/>
      <c r="AM2196" s="53">
        <v>19591000</v>
      </c>
      <c r="AO2196" s="53">
        <f t="shared" si="383"/>
        <v>15184830</v>
      </c>
      <c r="AP2196" s="53">
        <f t="shared" si="383"/>
        <v>3860550</v>
      </c>
      <c r="AQ2196" s="53">
        <f t="shared" si="383"/>
        <v>0</v>
      </c>
      <c r="AR2196" s="53">
        <f t="shared" si="383"/>
        <v>0</v>
      </c>
      <c r="AS2196" s="53">
        <f t="shared" si="383"/>
        <v>0</v>
      </c>
      <c r="AT2196" s="53">
        <f t="shared" si="383"/>
        <v>0</v>
      </c>
      <c r="AU2196" s="53">
        <f t="shared" si="383"/>
        <v>0</v>
      </c>
      <c r="AV2196" s="53">
        <f t="shared" si="383"/>
        <v>0</v>
      </c>
      <c r="AW2196" s="53">
        <f t="shared" si="383"/>
        <v>0</v>
      </c>
      <c r="AX2196" s="53">
        <f t="shared" si="372"/>
        <v>2573700000</v>
      </c>
      <c r="AY2196" s="41" t="s">
        <v>557</v>
      </c>
    </row>
    <row r="2197" spans="1:51" x14ac:dyDescent="0.2">
      <c r="A2197" s="86" t="s">
        <v>221</v>
      </c>
      <c r="B2197" s="41">
        <v>2001</v>
      </c>
      <c r="C2197" s="41" t="s">
        <v>96</v>
      </c>
      <c r="D2197" s="41" t="s">
        <v>220</v>
      </c>
      <c r="E2197" s="41">
        <v>100</v>
      </c>
      <c r="F2197" s="41" t="s">
        <v>672</v>
      </c>
      <c r="G2197" s="53">
        <v>14522000</v>
      </c>
      <c r="H2197" s="41">
        <v>0.66</v>
      </c>
      <c r="I2197" s="56">
        <v>0.15</v>
      </c>
      <c r="R2197" s="53">
        <v>233500</v>
      </c>
      <c r="S2197" s="53">
        <v>78400</v>
      </c>
      <c r="T2197" s="76">
        <f t="shared" si="384"/>
        <v>544.57500000000005</v>
      </c>
      <c r="AC2197" s="52">
        <v>61.25</v>
      </c>
      <c r="AE2197" s="41">
        <v>31</v>
      </c>
      <c r="AF2197" s="53">
        <v>365300</v>
      </c>
      <c r="AG2197" s="41" t="s">
        <v>673</v>
      </c>
      <c r="AH2197" s="53">
        <f t="shared" si="382"/>
        <v>14288500</v>
      </c>
      <c r="AL2197" s="52"/>
      <c r="AM2197" s="53">
        <v>12345000</v>
      </c>
      <c r="AO2197" s="53">
        <f t="shared" si="383"/>
        <v>9584520</v>
      </c>
      <c r="AP2197" s="53">
        <f t="shared" si="383"/>
        <v>2178300</v>
      </c>
      <c r="AQ2197" s="53">
        <f t="shared" si="383"/>
        <v>0</v>
      </c>
      <c r="AR2197" s="53">
        <f t="shared" si="383"/>
        <v>0</v>
      </c>
      <c r="AS2197" s="53">
        <f t="shared" si="383"/>
        <v>0</v>
      </c>
      <c r="AT2197" s="53">
        <f t="shared" si="383"/>
        <v>0</v>
      </c>
      <c r="AU2197" s="53">
        <f t="shared" si="383"/>
        <v>0</v>
      </c>
      <c r="AV2197" s="53">
        <f t="shared" si="383"/>
        <v>0</v>
      </c>
      <c r="AW2197" s="53">
        <f t="shared" si="383"/>
        <v>0</v>
      </c>
      <c r="AX2197" s="53">
        <f t="shared" si="372"/>
        <v>1452200000</v>
      </c>
      <c r="AY2197" s="41" t="s">
        <v>557</v>
      </c>
    </row>
    <row r="2198" spans="1:51" x14ac:dyDescent="0.2">
      <c r="A2198" s="86" t="s">
        <v>221</v>
      </c>
      <c r="B2198" s="41">
        <v>2002</v>
      </c>
      <c r="C2198" s="41" t="s">
        <v>96</v>
      </c>
      <c r="D2198" s="41" t="s">
        <v>220</v>
      </c>
      <c r="E2198" s="58">
        <v>75</v>
      </c>
      <c r="F2198" s="41" t="s">
        <v>672</v>
      </c>
      <c r="G2198" s="53">
        <v>9933000</v>
      </c>
      <c r="H2198" s="41">
        <v>0.63</v>
      </c>
      <c r="I2198" s="56">
        <v>0.15</v>
      </c>
      <c r="R2198" s="53">
        <v>167900</v>
      </c>
      <c r="S2198" s="53">
        <v>52200</v>
      </c>
      <c r="T2198" s="76">
        <f t="shared" si="384"/>
        <v>372.48750000000001</v>
      </c>
      <c r="AC2198" s="52">
        <v>78.5</v>
      </c>
      <c r="AF2198" s="53">
        <v>395500</v>
      </c>
      <c r="AG2198" s="41" t="s">
        <v>674</v>
      </c>
      <c r="AH2198" s="53">
        <f t="shared" si="382"/>
        <v>9765100</v>
      </c>
      <c r="AL2198" s="52"/>
      <c r="AM2198" s="53">
        <v>8940000</v>
      </c>
      <c r="AO2198" s="53">
        <f t="shared" si="383"/>
        <v>6257790</v>
      </c>
      <c r="AP2198" s="53">
        <f t="shared" si="383"/>
        <v>1489950</v>
      </c>
      <c r="AQ2198" s="53">
        <f t="shared" si="383"/>
        <v>0</v>
      </c>
      <c r="AR2198" s="53">
        <f t="shared" si="383"/>
        <v>0</v>
      </c>
      <c r="AS2198" s="53">
        <f t="shared" si="383"/>
        <v>0</v>
      </c>
      <c r="AT2198" s="53">
        <f t="shared" si="383"/>
        <v>0</v>
      </c>
      <c r="AU2198" s="53">
        <f t="shared" si="383"/>
        <v>0</v>
      </c>
      <c r="AV2198" s="53">
        <f t="shared" si="383"/>
        <v>0</v>
      </c>
      <c r="AW2198" s="53">
        <f t="shared" si="383"/>
        <v>0</v>
      </c>
      <c r="AX2198" s="53">
        <f t="shared" si="372"/>
        <v>744975000</v>
      </c>
      <c r="AY2198" s="41" t="s">
        <v>557</v>
      </c>
    </row>
    <row r="2199" spans="1:51" x14ac:dyDescent="0.2">
      <c r="A2199" s="86" t="s">
        <v>221</v>
      </c>
      <c r="B2199" s="41">
        <v>2003</v>
      </c>
      <c r="C2199" s="41" t="s">
        <v>96</v>
      </c>
      <c r="D2199" s="41" t="s">
        <v>220</v>
      </c>
      <c r="E2199" s="58">
        <v>50</v>
      </c>
      <c r="F2199" s="41" t="s">
        <v>672</v>
      </c>
      <c r="G2199" s="53">
        <v>11415000</v>
      </c>
      <c r="H2199" s="41">
        <v>0.59</v>
      </c>
      <c r="I2199" s="56">
        <v>0.15</v>
      </c>
      <c r="R2199" s="53">
        <v>163300</v>
      </c>
      <c r="S2199" s="53">
        <v>52400</v>
      </c>
      <c r="T2199" s="76">
        <f t="shared" si="384"/>
        <v>428.0625</v>
      </c>
      <c r="AC2199" s="41">
        <v>152</v>
      </c>
      <c r="AF2199" s="53">
        <v>388200</v>
      </c>
      <c r="AG2199" s="41" t="s">
        <v>674</v>
      </c>
      <c r="AH2199" s="53">
        <f t="shared" si="382"/>
        <v>11251700</v>
      </c>
      <c r="AM2199" s="53">
        <v>1462000</v>
      </c>
      <c r="AO2199" s="53">
        <f t="shared" si="383"/>
        <v>6734850</v>
      </c>
      <c r="AP2199" s="53">
        <f t="shared" si="383"/>
        <v>1712250</v>
      </c>
      <c r="AQ2199" s="53">
        <f t="shared" si="383"/>
        <v>0</v>
      </c>
      <c r="AR2199" s="53">
        <f t="shared" si="383"/>
        <v>0</v>
      </c>
      <c r="AS2199" s="53">
        <f t="shared" si="383"/>
        <v>0</v>
      </c>
      <c r="AT2199" s="53">
        <f t="shared" si="383"/>
        <v>0</v>
      </c>
      <c r="AU2199" s="53">
        <f t="shared" si="383"/>
        <v>0</v>
      </c>
      <c r="AV2199" s="53">
        <f t="shared" si="383"/>
        <v>0</v>
      </c>
      <c r="AW2199" s="53">
        <f t="shared" si="383"/>
        <v>0</v>
      </c>
      <c r="AX2199" s="53">
        <f t="shared" si="372"/>
        <v>570750000</v>
      </c>
      <c r="AY2199" s="41" t="s">
        <v>557</v>
      </c>
    </row>
    <row r="2200" spans="1:51" x14ac:dyDescent="0.2">
      <c r="A2200" s="86" t="s">
        <v>221</v>
      </c>
      <c r="B2200" s="41">
        <v>2004</v>
      </c>
      <c r="C2200" s="41" t="s">
        <v>96</v>
      </c>
      <c r="D2200" s="41" t="s">
        <v>220</v>
      </c>
      <c r="E2200" s="41">
        <v>0</v>
      </c>
      <c r="F2200" s="41" t="s">
        <v>672</v>
      </c>
      <c r="G2200" s="53">
        <v>8657000</v>
      </c>
      <c r="H2200" s="41">
        <v>0.74</v>
      </c>
      <c r="I2200" s="56">
        <v>0.15</v>
      </c>
      <c r="R2200" s="53">
        <v>187700</v>
      </c>
      <c r="S2200" s="53">
        <v>54400</v>
      </c>
      <c r="T2200" s="76">
        <f t="shared" si="384"/>
        <v>324.63749999999999</v>
      </c>
      <c r="AC2200" s="41">
        <v>167</v>
      </c>
      <c r="AF2200" s="53">
        <v>767400</v>
      </c>
      <c r="AG2200" s="41" t="s">
        <v>674</v>
      </c>
      <c r="AH2200" s="53">
        <f t="shared" si="382"/>
        <v>8469300</v>
      </c>
      <c r="AM2200" s="53">
        <v>962000</v>
      </c>
      <c r="AO2200" s="53">
        <f t="shared" si="383"/>
        <v>6406180</v>
      </c>
      <c r="AP2200" s="53">
        <f t="shared" si="383"/>
        <v>1298550</v>
      </c>
      <c r="AQ2200" s="53">
        <f t="shared" si="383"/>
        <v>0</v>
      </c>
      <c r="AR2200" s="53">
        <f t="shared" si="383"/>
        <v>0</v>
      </c>
      <c r="AS2200" s="53">
        <f t="shared" si="383"/>
        <v>0</v>
      </c>
      <c r="AT2200" s="53">
        <f t="shared" si="383"/>
        <v>0</v>
      </c>
      <c r="AU2200" s="53">
        <f t="shared" si="383"/>
        <v>0</v>
      </c>
      <c r="AV2200" s="53">
        <f t="shared" si="383"/>
        <v>0</v>
      </c>
      <c r="AW2200" s="53">
        <f t="shared" si="383"/>
        <v>0</v>
      </c>
      <c r="AX2200" s="53">
        <f t="shared" si="372"/>
        <v>0</v>
      </c>
      <c r="AY2200" s="41" t="s">
        <v>557</v>
      </c>
    </row>
    <row r="2201" spans="1:51" x14ac:dyDescent="0.2">
      <c r="A2201" s="86" t="s">
        <v>221</v>
      </c>
      <c r="B2201" s="41">
        <v>2005</v>
      </c>
      <c r="C2201" s="41" t="s">
        <v>96</v>
      </c>
      <c r="D2201" s="41" t="s">
        <v>220</v>
      </c>
      <c r="E2201" s="41">
        <v>0</v>
      </c>
      <c r="F2201" s="41" t="s">
        <v>672</v>
      </c>
      <c r="G2201" s="53">
        <v>9536000</v>
      </c>
      <c r="H2201" s="41">
        <v>0.72</v>
      </c>
      <c r="I2201" s="56">
        <v>0.15</v>
      </c>
      <c r="R2201" s="53">
        <v>197100</v>
      </c>
      <c r="S2201" s="53">
        <v>61200</v>
      </c>
      <c r="T2201" s="76">
        <f t="shared" si="384"/>
        <v>357.6</v>
      </c>
      <c r="AC2201" s="41">
        <v>186</v>
      </c>
      <c r="AF2201" s="53">
        <v>1098000</v>
      </c>
      <c r="AG2201" s="41" t="s">
        <v>674</v>
      </c>
      <c r="AH2201" s="53">
        <f t="shared" si="382"/>
        <v>9338900</v>
      </c>
      <c r="AM2201" s="53">
        <v>786000</v>
      </c>
      <c r="AO2201" s="53">
        <f t="shared" si="383"/>
        <v>6865920</v>
      </c>
      <c r="AP2201" s="53">
        <f t="shared" si="383"/>
        <v>1430400</v>
      </c>
      <c r="AQ2201" s="53">
        <f t="shared" si="383"/>
        <v>0</v>
      </c>
      <c r="AR2201" s="53">
        <f t="shared" si="383"/>
        <v>0</v>
      </c>
      <c r="AS2201" s="53">
        <f t="shared" si="383"/>
        <v>0</v>
      </c>
      <c r="AT2201" s="53">
        <f t="shared" si="383"/>
        <v>0</v>
      </c>
      <c r="AU2201" s="53">
        <f t="shared" si="383"/>
        <v>0</v>
      </c>
      <c r="AV2201" s="53">
        <f t="shared" si="383"/>
        <v>0</v>
      </c>
      <c r="AW2201" s="53">
        <f t="shared" si="383"/>
        <v>0</v>
      </c>
      <c r="AX2201" s="53">
        <f t="shared" si="372"/>
        <v>0</v>
      </c>
      <c r="AY2201" s="41" t="s">
        <v>557</v>
      </c>
    </row>
    <row r="2202" spans="1:51" x14ac:dyDescent="0.2">
      <c r="A2202" s="86" t="s">
        <v>221</v>
      </c>
      <c r="B2202" s="41">
        <v>2006</v>
      </c>
      <c r="C2202" s="41" t="s">
        <v>96</v>
      </c>
      <c r="D2202" s="41" t="s">
        <v>220</v>
      </c>
      <c r="E2202" s="41">
        <v>0</v>
      </c>
      <c r="F2202" s="41" t="s">
        <v>672</v>
      </c>
      <c r="G2202" s="53">
        <v>10730000</v>
      </c>
      <c r="H2202" s="41">
        <v>0.71</v>
      </c>
      <c r="I2202" s="56">
        <v>0.15</v>
      </c>
      <c r="R2202" s="53">
        <v>208900</v>
      </c>
      <c r="S2202" s="53">
        <v>61500</v>
      </c>
      <c r="T2202" s="76">
        <f t="shared" si="384"/>
        <v>402.375</v>
      </c>
      <c r="AC2202" s="41">
        <v>120</v>
      </c>
      <c r="AF2202" s="53">
        <v>1325000</v>
      </c>
      <c r="AG2202" s="41" t="s">
        <v>674</v>
      </c>
      <c r="AH2202" s="53">
        <f t="shared" si="382"/>
        <v>10521100</v>
      </c>
      <c r="AM2202" s="53">
        <v>828000</v>
      </c>
      <c r="AO2202" s="53">
        <f t="shared" si="383"/>
        <v>7618300</v>
      </c>
      <c r="AP2202" s="53">
        <f t="shared" si="383"/>
        <v>1609500</v>
      </c>
      <c r="AQ2202" s="53">
        <f t="shared" si="383"/>
        <v>0</v>
      </c>
      <c r="AR2202" s="53">
        <f t="shared" si="383"/>
        <v>0</v>
      </c>
      <c r="AS2202" s="53">
        <f t="shared" si="383"/>
        <v>0</v>
      </c>
      <c r="AT2202" s="53">
        <f t="shared" si="383"/>
        <v>0</v>
      </c>
      <c r="AU2202" s="53">
        <f t="shared" si="383"/>
        <v>0</v>
      </c>
      <c r="AV2202" s="53">
        <f t="shared" si="383"/>
        <v>0</v>
      </c>
      <c r="AW2202" s="53">
        <f t="shared" si="383"/>
        <v>0</v>
      </c>
      <c r="AX2202" s="53">
        <f t="shared" si="372"/>
        <v>0</v>
      </c>
      <c r="AY2202" s="41" t="s">
        <v>557</v>
      </c>
    </row>
    <row r="2203" spans="1:51" x14ac:dyDescent="0.2">
      <c r="A2203" s="86" t="s">
        <v>221</v>
      </c>
      <c r="B2203" s="41">
        <v>2007</v>
      </c>
      <c r="C2203" s="41" t="s">
        <v>96</v>
      </c>
      <c r="D2203" s="41" t="s">
        <v>220</v>
      </c>
      <c r="E2203" s="41">
        <v>0</v>
      </c>
      <c r="F2203" s="41" t="s">
        <v>672</v>
      </c>
      <c r="G2203" s="53">
        <v>12915000</v>
      </c>
      <c r="H2203" s="46">
        <v>0.7</v>
      </c>
      <c r="I2203" s="56">
        <v>0.15</v>
      </c>
      <c r="R2203" s="53">
        <v>239200</v>
      </c>
      <c r="S2203" s="53">
        <v>71400</v>
      </c>
      <c r="T2203" s="76">
        <f t="shared" si="384"/>
        <v>484.3125</v>
      </c>
      <c r="AC2203" s="41">
        <v>105</v>
      </c>
      <c r="AF2203" s="53">
        <v>1506000</v>
      </c>
      <c r="AG2203" s="41" t="s">
        <v>674</v>
      </c>
      <c r="AH2203" s="53">
        <f t="shared" si="382"/>
        <v>12675800</v>
      </c>
      <c r="AO2203" s="53">
        <f t="shared" si="383"/>
        <v>9040500</v>
      </c>
      <c r="AP2203" s="53">
        <f t="shared" si="383"/>
        <v>1937250</v>
      </c>
      <c r="AQ2203" s="53">
        <f t="shared" si="383"/>
        <v>0</v>
      </c>
      <c r="AR2203" s="53">
        <f t="shared" si="383"/>
        <v>0</v>
      </c>
      <c r="AS2203" s="53">
        <f t="shared" si="383"/>
        <v>0</v>
      </c>
      <c r="AT2203" s="53">
        <f t="shared" si="383"/>
        <v>0</v>
      </c>
      <c r="AU2203" s="53">
        <f t="shared" si="383"/>
        <v>0</v>
      </c>
      <c r="AV2203" s="53">
        <f t="shared" si="383"/>
        <v>0</v>
      </c>
      <c r="AW2203" s="53">
        <f t="shared" si="383"/>
        <v>0</v>
      </c>
      <c r="AX2203" s="53">
        <f t="shared" si="372"/>
        <v>0</v>
      </c>
      <c r="AY2203" s="41" t="s">
        <v>557</v>
      </c>
    </row>
    <row r="2204" spans="1:51" x14ac:dyDescent="0.2">
      <c r="A2204" s="86" t="s">
        <v>221</v>
      </c>
      <c r="B2204" s="41">
        <v>2008</v>
      </c>
      <c r="C2204" s="41" t="s">
        <v>96</v>
      </c>
      <c r="D2204" s="41" t="s">
        <v>220</v>
      </c>
      <c r="E2204" s="41">
        <v>0</v>
      </c>
      <c r="F2204" s="41" t="s">
        <v>672</v>
      </c>
      <c r="G2204" s="53">
        <v>12454000</v>
      </c>
      <c r="H2204" s="46">
        <v>0.69</v>
      </c>
      <c r="I2204" s="56">
        <v>0.15</v>
      </c>
      <c r="R2204" s="53">
        <v>286500</v>
      </c>
      <c r="S2204" s="53">
        <v>85100</v>
      </c>
      <c r="T2204" s="76">
        <f t="shared" si="384"/>
        <v>467.02499999999998</v>
      </c>
      <c r="AC2204" s="41">
        <v>100</v>
      </c>
      <c r="AF2204" s="53">
        <v>2150000</v>
      </c>
      <c r="AG2204" s="41" t="s">
        <v>674</v>
      </c>
      <c r="AH2204" s="53">
        <f t="shared" si="382"/>
        <v>12167500</v>
      </c>
      <c r="AO2204" s="53">
        <f t="shared" si="383"/>
        <v>8593260</v>
      </c>
      <c r="AP2204" s="53">
        <f t="shared" si="383"/>
        <v>1868100</v>
      </c>
      <c r="AQ2204" s="53">
        <f t="shared" si="383"/>
        <v>0</v>
      </c>
      <c r="AR2204" s="53">
        <f t="shared" si="383"/>
        <v>0</v>
      </c>
      <c r="AS2204" s="53">
        <f t="shared" si="383"/>
        <v>0</v>
      </c>
      <c r="AT2204" s="53">
        <f t="shared" si="383"/>
        <v>0</v>
      </c>
      <c r="AU2204" s="53">
        <f t="shared" si="383"/>
        <v>0</v>
      </c>
      <c r="AV2204" s="53">
        <f t="shared" si="383"/>
        <v>0</v>
      </c>
      <c r="AW2204" s="53">
        <f t="shared" si="383"/>
        <v>0</v>
      </c>
      <c r="AX2204" s="53">
        <f t="shared" si="372"/>
        <v>0</v>
      </c>
      <c r="AY2204" s="41" t="s">
        <v>557</v>
      </c>
    </row>
    <row r="2205" spans="1:51" x14ac:dyDescent="0.2">
      <c r="A2205" s="86" t="s">
        <v>221</v>
      </c>
      <c r="B2205" s="41">
        <v>2009</v>
      </c>
      <c r="C2205" s="41" t="s">
        <v>96</v>
      </c>
      <c r="D2205" s="41" t="s">
        <v>220</v>
      </c>
      <c r="E2205" s="41">
        <v>0</v>
      </c>
      <c r="F2205" s="41" t="s">
        <v>672</v>
      </c>
      <c r="G2205" s="53">
        <v>11330000</v>
      </c>
      <c r="H2205" s="46">
        <v>0.67</v>
      </c>
      <c r="I2205" s="56">
        <v>0.15</v>
      </c>
      <c r="R2205" s="53">
        <v>270800</v>
      </c>
      <c r="S2205" s="53">
        <v>82600</v>
      </c>
      <c r="T2205" s="76">
        <f t="shared" si="384"/>
        <v>424.875</v>
      </c>
      <c r="AC2205" s="41">
        <v>95</v>
      </c>
      <c r="AF2205" s="53">
        <v>3041000</v>
      </c>
      <c r="AG2205" s="41" t="s">
        <v>674</v>
      </c>
      <c r="AH2205" s="53">
        <f t="shared" si="382"/>
        <v>11059200</v>
      </c>
      <c r="AO2205" s="53">
        <f t="shared" si="383"/>
        <v>7591100</v>
      </c>
      <c r="AP2205" s="53">
        <f t="shared" si="383"/>
        <v>1699500</v>
      </c>
      <c r="AQ2205" s="53">
        <f t="shared" si="383"/>
        <v>0</v>
      </c>
      <c r="AR2205" s="53">
        <f t="shared" si="383"/>
        <v>0</v>
      </c>
      <c r="AS2205" s="53">
        <f t="shared" si="383"/>
        <v>0</v>
      </c>
      <c r="AT2205" s="53">
        <f t="shared" si="383"/>
        <v>0</v>
      </c>
      <c r="AU2205" s="53">
        <f t="shared" si="383"/>
        <v>0</v>
      </c>
      <c r="AV2205" s="53">
        <f t="shared" si="383"/>
        <v>0</v>
      </c>
      <c r="AW2205" s="53">
        <f t="shared" si="383"/>
        <v>0</v>
      </c>
      <c r="AX2205" s="53">
        <f t="shared" si="372"/>
        <v>0</v>
      </c>
      <c r="AY2205" s="41" t="s">
        <v>557</v>
      </c>
    </row>
    <row r="2206" spans="1:51" x14ac:dyDescent="0.2">
      <c r="A2206" s="86" t="s">
        <v>221</v>
      </c>
      <c r="B2206" s="41">
        <v>2010</v>
      </c>
      <c r="C2206" s="41" t="s">
        <v>96</v>
      </c>
      <c r="D2206" s="41" t="s">
        <v>220</v>
      </c>
      <c r="E2206" s="41">
        <v>0</v>
      </c>
      <c r="F2206" s="41" t="s">
        <v>672</v>
      </c>
      <c r="G2206" s="53">
        <v>11657000</v>
      </c>
      <c r="H2206" s="46">
        <v>0.64</v>
      </c>
      <c r="I2206" s="56">
        <v>0.15</v>
      </c>
      <c r="R2206" s="53">
        <v>246000</v>
      </c>
      <c r="S2206" s="53">
        <v>74600</v>
      </c>
      <c r="T2206" s="76">
        <f t="shared" si="384"/>
        <v>437.13749999999999</v>
      </c>
      <c r="AC2206" s="41">
        <v>72</v>
      </c>
      <c r="AF2206" s="53">
        <v>3189000</v>
      </c>
      <c r="AG2206" s="41" t="s">
        <v>674</v>
      </c>
      <c r="AH2206" s="53">
        <f t="shared" si="382"/>
        <v>11411000</v>
      </c>
      <c r="AO2206" s="53">
        <f t="shared" si="383"/>
        <v>7460480</v>
      </c>
      <c r="AP2206" s="53">
        <f t="shared" si="383"/>
        <v>1748550</v>
      </c>
      <c r="AQ2206" s="53">
        <f t="shared" si="383"/>
        <v>0</v>
      </c>
      <c r="AR2206" s="53">
        <f t="shared" si="383"/>
        <v>0</v>
      </c>
      <c r="AS2206" s="53">
        <f t="shared" si="383"/>
        <v>0</v>
      </c>
      <c r="AT2206" s="53">
        <f t="shared" si="383"/>
        <v>0</v>
      </c>
      <c r="AU2206" s="53">
        <f t="shared" si="383"/>
        <v>0</v>
      </c>
      <c r="AV2206" s="53">
        <f t="shared" si="383"/>
        <v>0</v>
      </c>
      <c r="AW2206" s="53">
        <f t="shared" si="383"/>
        <v>0</v>
      </c>
      <c r="AX2206" s="53">
        <f t="shared" si="372"/>
        <v>0</v>
      </c>
      <c r="AY2206" s="41" t="s">
        <v>557</v>
      </c>
    </row>
    <row r="2207" spans="1:51" x14ac:dyDescent="0.2">
      <c r="A2207" s="86" t="s">
        <v>221</v>
      </c>
      <c r="B2207" s="41">
        <v>2011</v>
      </c>
      <c r="C2207" s="41" t="s">
        <v>96</v>
      </c>
      <c r="D2207" s="41" t="s">
        <v>220</v>
      </c>
      <c r="E2207" s="41">
        <v>0</v>
      </c>
      <c r="F2207" s="41" t="s">
        <v>672</v>
      </c>
      <c r="G2207" s="53">
        <v>11787000</v>
      </c>
      <c r="H2207" s="46">
        <v>0.64</v>
      </c>
      <c r="I2207" s="56">
        <f>1000*T2207/G2207/0.25</f>
        <v>0.13991685755493341</v>
      </c>
      <c r="R2207" s="53">
        <v>227900</v>
      </c>
      <c r="S2207" s="53">
        <v>69100</v>
      </c>
      <c r="T2207" s="53">
        <f>13300*31/1000</f>
        <v>412.3</v>
      </c>
      <c r="AC2207" s="41">
        <v>86</v>
      </c>
      <c r="AF2207" s="53">
        <v>3593000</v>
      </c>
      <c r="AG2207" s="41" t="s">
        <v>674</v>
      </c>
      <c r="AH2207" s="53">
        <f t="shared" si="382"/>
        <v>11559100</v>
      </c>
      <c r="AO2207" s="53">
        <f t="shared" si="383"/>
        <v>7543680</v>
      </c>
      <c r="AP2207" s="53">
        <f t="shared" si="383"/>
        <v>1649200</v>
      </c>
      <c r="AQ2207" s="53">
        <f t="shared" si="383"/>
        <v>0</v>
      </c>
      <c r="AR2207" s="53">
        <f t="shared" si="383"/>
        <v>0</v>
      </c>
      <c r="AS2207" s="53">
        <f t="shared" si="383"/>
        <v>0</v>
      </c>
      <c r="AT2207" s="53">
        <f t="shared" si="383"/>
        <v>0</v>
      </c>
      <c r="AU2207" s="53">
        <f t="shared" si="383"/>
        <v>0</v>
      </c>
      <c r="AV2207" s="53">
        <f t="shared" si="383"/>
        <v>0</v>
      </c>
      <c r="AW2207" s="53">
        <f t="shared" si="383"/>
        <v>0</v>
      </c>
      <c r="AX2207" s="53">
        <f t="shared" si="372"/>
        <v>0</v>
      </c>
      <c r="AY2207" s="41" t="s">
        <v>557</v>
      </c>
    </row>
    <row r="2208" spans="1:51" x14ac:dyDescent="0.2">
      <c r="A2208" s="86" t="s">
        <v>221</v>
      </c>
      <c r="B2208" s="41">
        <v>2012</v>
      </c>
      <c r="C2208" s="41" t="s">
        <v>96</v>
      </c>
      <c r="D2208" s="41" t="s">
        <v>220</v>
      </c>
      <c r="E2208" s="41">
        <v>0</v>
      </c>
      <c r="F2208" s="41" t="s">
        <v>672</v>
      </c>
      <c r="G2208" s="53">
        <v>9225000</v>
      </c>
      <c r="H2208" s="46">
        <v>0.59</v>
      </c>
      <c r="I2208" s="56">
        <f>1000*T2208/G2208/0.25</f>
        <v>0.14651490514905149</v>
      </c>
      <c r="R2208" s="53">
        <v>170200</v>
      </c>
      <c r="S2208" s="53">
        <v>49100</v>
      </c>
      <c r="T2208" s="53">
        <f>10900*31/1000</f>
        <v>337.9</v>
      </c>
      <c r="AC2208" s="41">
        <v>32</v>
      </c>
      <c r="AF2208" s="53">
        <v>5413000</v>
      </c>
      <c r="AG2208" s="41" t="s">
        <v>674</v>
      </c>
      <c r="AH2208" s="53">
        <f t="shared" si="382"/>
        <v>9054800</v>
      </c>
      <c r="AO2208" s="53">
        <f t="shared" si="383"/>
        <v>5442750</v>
      </c>
      <c r="AP2208" s="53">
        <f t="shared" si="383"/>
        <v>1351600</v>
      </c>
      <c r="AQ2208" s="53">
        <f t="shared" si="383"/>
        <v>0</v>
      </c>
      <c r="AR2208" s="53">
        <f t="shared" si="383"/>
        <v>0</v>
      </c>
      <c r="AS2208" s="53">
        <f t="shared" si="383"/>
        <v>0</v>
      </c>
      <c r="AT2208" s="53">
        <f t="shared" si="383"/>
        <v>0</v>
      </c>
      <c r="AU2208" s="53">
        <f t="shared" si="383"/>
        <v>0</v>
      </c>
      <c r="AV2208" s="53">
        <f t="shared" si="383"/>
        <v>0</v>
      </c>
      <c r="AW2208" s="53">
        <f t="shared" si="383"/>
        <v>0</v>
      </c>
      <c r="AX2208" s="53">
        <f t="shared" si="372"/>
        <v>0</v>
      </c>
      <c r="AY2208" s="41" t="s">
        <v>557</v>
      </c>
    </row>
    <row r="2209" spans="1:51" x14ac:dyDescent="0.2">
      <c r="A2209" s="86" t="s">
        <v>221</v>
      </c>
      <c r="B2209" s="60" t="s">
        <v>248</v>
      </c>
      <c r="C2209" s="60" t="s">
        <v>96</v>
      </c>
      <c r="D2209" s="60" t="s">
        <v>220</v>
      </c>
      <c r="E2209" s="78">
        <f>(G2190*E2190+G2191*E2191+G2192*E2192+G2193*E2193+G2194*E2194+G2195*E2195+G2196*E2196+G2197*E2197+G2198*E2198+G2199*E2199+G2200*E2200+G2201*E2201+G2202*E2202+G2203*E2203+G2204*E2204+G2205*E2205+G2206*E2206+G2207*E2207+G2208*E2208)/SUM(G2190:G2208)</f>
        <v>68.014085226282816</v>
      </c>
      <c r="F2209" s="60" t="s">
        <v>672</v>
      </c>
      <c r="G2209" s="79">
        <f>AVERAGE(G2190:G2208)</f>
        <v>17521157.894736841</v>
      </c>
      <c r="H2209" s="80">
        <f>AO2209/SUM($G2190:$G2208)</f>
        <v>0.5994235240401079</v>
      </c>
      <c r="I2209" s="80">
        <f>AP2209/SUM($G2190:$G2208)</f>
        <v>0.1495464130584977</v>
      </c>
      <c r="R2209" s="79">
        <f>AVERAGE(R2190:R2208)</f>
        <v>279273.68421052629</v>
      </c>
      <c r="S2209" s="79">
        <f>AVERAGE(S2190:S2208)</f>
        <v>89889.473684210519</v>
      </c>
      <c r="T2209" s="79">
        <f>AVERAGE(T2190:T2208)</f>
        <v>655.05657894736851</v>
      </c>
      <c r="AC2209" s="79">
        <f>AVERAGE(AC2190:AC2208)</f>
        <v>93.30263157894737</v>
      </c>
      <c r="AE2209" s="79">
        <f>AVERAGE(AE2190:AE2208)</f>
        <v>97.125</v>
      </c>
      <c r="AF2209" s="79">
        <f>AVERAGE(AF2190:AF2208)</f>
        <v>1367247.3684210526</v>
      </c>
      <c r="AH2209" s="79">
        <f>AVERAGE(AH2190:AH2208)</f>
        <v>17241884.210526317</v>
      </c>
      <c r="AM2209" s="79">
        <f>AVERAGE(AM2190:AM2208)</f>
        <v>18011200</v>
      </c>
      <c r="AO2209" s="79">
        <f>SUM(AO2190:AO2208)</f>
        <v>199549290</v>
      </c>
      <c r="AP2209" s="79">
        <f t="shared" ref="AP2209:AX2209" si="385">SUM(AP2190:AP2208)</f>
        <v>49784300</v>
      </c>
      <c r="AQ2209" s="79">
        <f t="shared" si="385"/>
        <v>0</v>
      </c>
      <c r="AR2209" s="79">
        <f t="shared" si="385"/>
        <v>0</v>
      </c>
      <c r="AS2209" s="79">
        <f t="shared" si="385"/>
        <v>0</v>
      </c>
      <c r="AT2209" s="79">
        <f t="shared" si="385"/>
        <v>0</v>
      </c>
      <c r="AU2209" s="79">
        <f t="shared" si="385"/>
        <v>0</v>
      </c>
      <c r="AV2209" s="79">
        <f t="shared" si="385"/>
        <v>0</v>
      </c>
      <c r="AW2209" s="79">
        <f t="shared" si="385"/>
        <v>0</v>
      </c>
      <c r="AX2209" s="79">
        <f t="shared" si="385"/>
        <v>22642025000</v>
      </c>
      <c r="AY2209" s="41" t="s">
        <v>557</v>
      </c>
    </row>
    <row r="2210" spans="1:51" x14ac:dyDescent="0.2">
      <c r="A2210" s="86" t="s">
        <v>221</v>
      </c>
      <c r="B2210" s="43" t="s">
        <v>560</v>
      </c>
      <c r="G2210" s="53">
        <f>STDEV(G2190:G2208)</f>
        <v>8660613.1118809488</v>
      </c>
      <c r="H2210" s="46">
        <f>STDEV(H2190:H2208)</f>
        <v>7.0582372764233889E-2</v>
      </c>
      <c r="I2210" s="46">
        <f>STDEV(I2190:I2208)</f>
        <v>2.4051602922495912E-3</v>
      </c>
      <c r="R2210" s="53">
        <f>STDEV(R2190:R2208)</f>
        <v>92287.129487300917</v>
      </c>
      <c r="S2210" s="53">
        <f>STDEV(S2190:S2208)</f>
        <v>34378.900097731821</v>
      </c>
      <c r="T2210" s="53">
        <f>STDEV(T2190:T2208)</f>
        <v>326.36436704370863</v>
      </c>
      <c r="AC2210" s="53">
        <f>STDEV(AC2190:AC2208)</f>
        <v>42.830137603497171</v>
      </c>
      <c r="AE2210" s="53">
        <f>STDEV(AE2190:AE2208)</f>
        <v>38.71669075291873</v>
      </c>
      <c r="AF2210" s="53">
        <f>STDEV(AF2190:AF2208)</f>
        <v>1454519.3995759184</v>
      </c>
      <c r="AH2210" s="53">
        <f>STDEV(AH2190:AH2208)</f>
        <v>8573705.1507801805</v>
      </c>
      <c r="AM2210" s="53">
        <f>STDEV(AM2190:AM2208)</f>
        <v>14245120.686513446</v>
      </c>
      <c r="AY2210" s="41" t="s">
        <v>557</v>
      </c>
    </row>
    <row r="2211" spans="1:51" x14ac:dyDescent="0.2">
      <c r="A2211" s="86" t="s">
        <v>221</v>
      </c>
      <c r="B2211" s="81" t="s">
        <v>249</v>
      </c>
      <c r="G2211" s="41">
        <f>COUNT(G2190:G2208)</f>
        <v>19</v>
      </c>
      <c r="H2211" s="41">
        <f>COUNT(H2190:H2208)</f>
        <v>19</v>
      </c>
      <c r="I2211" s="41">
        <f>COUNT(I2190:I2208)</f>
        <v>19</v>
      </c>
      <c r="R2211" s="41">
        <f>COUNT(R2190:R2208)</f>
        <v>19</v>
      </c>
      <c r="S2211" s="41">
        <f>COUNT(S2190:S2208)</f>
        <v>19</v>
      </c>
      <c r="T2211" s="41">
        <f>COUNT(T2190:T2208)</f>
        <v>19</v>
      </c>
      <c r="AC2211" s="41">
        <f>COUNT(AC2190:AC2208)</f>
        <v>19</v>
      </c>
      <c r="AE2211" s="41">
        <f>COUNT(AE2190:AE2208)</f>
        <v>8</v>
      </c>
      <c r="AF2211" s="41">
        <f>COUNT(AF2190:AF2208)</f>
        <v>19</v>
      </c>
      <c r="AH2211" s="41">
        <f>COUNT(AH2190:AH2208)</f>
        <v>19</v>
      </c>
      <c r="AM2211" s="41">
        <f>COUNT(AM2190:AM2208)</f>
        <v>13</v>
      </c>
      <c r="AY2211" s="41" t="s">
        <v>557</v>
      </c>
    </row>
    <row r="2212" spans="1:51" x14ac:dyDescent="0.2">
      <c r="A2212" s="82"/>
      <c r="B2212" s="82"/>
      <c r="C2212" s="82"/>
      <c r="D2212" s="82"/>
      <c r="E2212" s="82"/>
      <c r="F2212" s="82"/>
      <c r="G2212" s="82"/>
      <c r="H2212" s="82"/>
      <c r="I2212" s="82"/>
      <c r="J2212" s="82"/>
      <c r="K2212" s="82"/>
      <c r="L2212" s="82"/>
      <c r="M2212" s="82"/>
      <c r="N2212" s="82"/>
      <c r="O2212" s="82"/>
      <c r="P2212" s="82"/>
      <c r="Q2212" s="82"/>
      <c r="R2212" s="82"/>
      <c r="S2212" s="82"/>
      <c r="T2212" s="82"/>
      <c r="U2212" s="82"/>
      <c r="V2212" s="82"/>
      <c r="W2212" s="82"/>
      <c r="X2212" s="82"/>
      <c r="Y2212" s="82"/>
      <c r="Z2212" s="82"/>
      <c r="AA2212" s="82"/>
      <c r="AB2212" s="82"/>
      <c r="AC2212" s="82"/>
      <c r="AD2212" s="82"/>
      <c r="AE2212" s="82"/>
      <c r="AF2212" s="82"/>
      <c r="AG2212" s="82"/>
      <c r="AH2212" s="82"/>
      <c r="AI2212" s="82"/>
      <c r="AJ2212" s="82"/>
      <c r="AK2212" s="82"/>
      <c r="AL2212" s="82"/>
      <c r="AM2212" s="82"/>
      <c r="AN2212" s="82"/>
      <c r="AO2212" s="82"/>
      <c r="AP2212" s="82"/>
      <c r="AQ2212" s="82"/>
      <c r="AR2212" s="82"/>
      <c r="AS2212" s="82"/>
      <c r="AT2212" s="82"/>
      <c r="AU2212" s="82"/>
      <c r="AV2212" s="82"/>
      <c r="AW2212" s="82"/>
      <c r="AX2212" s="82"/>
      <c r="AY2212" s="41" t="s">
        <v>557</v>
      </c>
    </row>
    <row r="2213" spans="1:51" x14ac:dyDescent="0.2">
      <c r="A2213" s="86" t="s">
        <v>675</v>
      </c>
      <c r="B2213" s="121" t="s">
        <v>676</v>
      </c>
      <c r="AY2213" s="41" t="s">
        <v>557</v>
      </c>
    </row>
    <row r="2214" spans="1:51" x14ac:dyDescent="0.2">
      <c r="A2214" s="86" t="s">
        <v>675</v>
      </c>
      <c r="B2214" s="41">
        <v>1997</v>
      </c>
      <c r="C2214" s="41" t="s">
        <v>87</v>
      </c>
      <c r="D2214" s="41" t="s">
        <v>401</v>
      </c>
      <c r="E2214" s="41">
        <v>100</v>
      </c>
      <c r="F2214" s="41" t="s">
        <v>390</v>
      </c>
      <c r="G2214" s="53">
        <v>71000</v>
      </c>
      <c r="I2214" s="41">
        <v>5.81</v>
      </c>
      <c r="T2214" s="53">
        <f>12000*31/1000</f>
        <v>372</v>
      </c>
      <c r="AM2214" s="53"/>
      <c r="AO2214" s="53">
        <f t="shared" ref="AO2214:AW2219" si="386">$G2214*H2214</f>
        <v>0</v>
      </c>
      <c r="AP2214" s="53">
        <f t="shared" si="386"/>
        <v>412510</v>
      </c>
      <c r="AQ2214" s="53">
        <f t="shared" si="386"/>
        <v>0</v>
      </c>
      <c r="AR2214" s="53">
        <f t="shared" si="386"/>
        <v>0</v>
      </c>
      <c r="AS2214" s="53">
        <f t="shared" si="386"/>
        <v>0</v>
      </c>
      <c r="AT2214" s="53">
        <f t="shared" si="386"/>
        <v>0</v>
      </c>
      <c r="AU2214" s="53">
        <f t="shared" si="386"/>
        <v>0</v>
      </c>
      <c r="AV2214" s="53">
        <f t="shared" si="386"/>
        <v>0</v>
      </c>
      <c r="AW2214" s="53">
        <f t="shared" si="386"/>
        <v>0</v>
      </c>
      <c r="AX2214" s="53">
        <f t="shared" si="372"/>
        <v>7100000</v>
      </c>
      <c r="AY2214" s="41" t="s">
        <v>557</v>
      </c>
    </row>
    <row r="2215" spans="1:51" x14ac:dyDescent="0.2">
      <c r="A2215" s="86" t="s">
        <v>675</v>
      </c>
      <c r="B2215" s="41">
        <v>1998</v>
      </c>
      <c r="C2215" s="41" t="s">
        <v>87</v>
      </c>
      <c r="D2215" s="41" t="s">
        <v>401</v>
      </c>
      <c r="E2215" s="41">
        <v>100</v>
      </c>
      <c r="F2215" s="41" t="s">
        <v>390</v>
      </c>
      <c r="G2215" s="53">
        <v>90000</v>
      </c>
      <c r="I2215" s="46">
        <v>5.9</v>
      </c>
      <c r="T2215" s="53">
        <f>15000*31/1000</f>
        <v>465</v>
      </c>
      <c r="AM2215" s="53"/>
      <c r="AO2215" s="53">
        <f t="shared" si="386"/>
        <v>0</v>
      </c>
      <c r="AP2215" s="53">
        <f t="shared" si="386"/>
        <v>531000</v>
      </c>
      <c r="AQ2215" s="53">
        <f t="shared" si="386"/>
        <v>0</v>
      </c>
      <c r="AR2215" s="53">
        <f t="shared" si="386"/>
        <v>0</v>
      </c>
      <c r="AS2215" s="53">
        <f t="shared" si="386"/>
        <v>0</v>
      </c>
      <c r="AT2215" s="53">
        <f t="shared" si="386"/>
        <v>0</v>
      </c>
      <c r="AU2215" s="53">
        <f t="shared" si="386"/>
        <v>0</v>
      </c>
      <c r="AV2215" s="53">
        <f t="shared" si="386"/>
        <v>0</v>
      </c>
      <c r="AW2215" s="53">
        <f t="shared" si="386"/>
        <v>0</v>
      </c>
      <c r="AX2215" s="53">
        <f t="shared" si="372"/>
        <v>9000000</v>
      </c>
      <c r="AY2215" s="41" t="s">
        <v>557</v>
      </c>
    </row>
    <row r="2216" spans="1:51" x14ac:dyDescent="0.2">
      <c r="A2216" s="86" t="s">
        <v>675</v>
      </c>
      <c r="B2216" s="41">
        <v>1999</v>
      </c>
      <c r="C2216" s="41" t="s">
        <v>87</v>
      </c>
      <c r="D2216" s="41" t="s">
        <v>401</v>
      </c>
      <c r="E2216" s="41">
        <v>100</v>
      </c>
      <c r="F2216" s="41" t="s">
        <v>390</v>
      </c>
      <c r="G2216" s="53">
        <v>98000</v>
      </c>
      <c r="I2216" s="41">
        <v>5.55</v>
      </c>
      <c r="T2216" s="53">
        <f>16000*31/1000</f>
        <v>496</v>
      </c>
      <c r="AM2216" s="53"/>
      <c r="AO2216" s="53">
        <f t="shared" si="386"/>
        <v>0</v>
      </c>
      <c r="AP2216" s="53">
        <f t="shared" si="386"/>
        <v>543900</v>
      </c>
      <c r="AQ2216" s="53">
        <f t="shared" si="386"/>
        <v>0</v>
      </c>
      <c r="AR2216" s="53">
        <f t="shared" si="386"/>
        <v>0</v>
      </c>
      <c r="AS2216" s="53">
        <f t="shared" si="386"/>
        <v>0</v>
      </c>
      <c r="AT2216" s="53">
        <f t="shared" si="386"/>
        <v>0</v>
      </c>
      <c r="AU2216" s="53">
        <f t="shared" si="386"/>
        <v>0</v>
      </c>
      <c r="AV2216" s="53">
        <f t="shared" si="386"/>
        <v>0</v>
      </c>
      <c r="AW2216" s="53">
        <f t="shared" si="386"/>
        <v>0</v>
      </c>
      <c r="AX2216" s="53">
        <f t="shared" si="372"/>
        <v>9800000</v>
      </c>
      <c r="AY2216" s="41" t="s">
        <v>557</v>
      </c>
    </row>
    <row r="2217" spans="1:51" x14ac:dyDescent="0.2">
      <c r="A2217" s="86" t="s">
        <v>675</v>
      </c>
      <c r="B2217" s="41">
        <v>2000</v>
      </c>
      <c r="C2217" s="41" t="s">
        <v>87</v>
      </c>
      <c r="D2217" s="41" t="s">
        <v>401</v>
      </c>
      <c r="E2217" s="41">
        <v>100</v>
      </c>
      <c r="F2217" s="41" t="s">
        <v>390</v>
      </c>
      <c r="G2217" s="53">
        <v>104000</v>
      </c>
      <c r="I2217" s="41">
        <v>5.05</v>
      </c>
      <c r="T2217" s="53">
        <f>15000*31/1000</f>
        <v>465</v>
      </c>
      <c r="AM2217" s="53"/>
      <c r="AO2217" s="53">
        <f t="shared" si="386"/>
        <v>0</v>
      </c>
      <c r="AP2217" s="53">
        <f t="shared" si="386"/>
        <v>525200</v>
      </c>
      <c r="AQ2217" s="53">
        <f t="shared" si="386"/>
        <v>0</v>
      </c>
      <c r="AR2217" s="53">
        <f t="shared" si="386"/>
        <v>0</v>
      </c>
      <c r="AS2217" s="53">
        <f t="shared" si="386"/>
        <v>0</v>
      </c>
      <c r="AT2217" s="53">
        <f t="shared" si="386"/>
        <v>0</v>
      </c>
      <c r="AU2217" s="53">
        <f t="shared" si="386"/>
        <v>0</v>
      </c>
      <c r="AV2217" s="53">
        <f t="shared" si="386"/>
        <v>0</v>
      </c>
      <c r="AW2217" s="53">
        <f t="shared" si="386"/>
        <v>0</v>
      </c>
      <c r="AX2217" s="53">
        <f t="shared" si="372"/>
        <v>10400000</v>
      </c>
      <c r="AY2217" s="41" t="s">
        <v>557</v>
      </c>
    </row>
    <row r="2218" spans="1:51" x14ac:dyDescent="0.2">
      <c r="A2218" s="86" t="s">
        <v>675</v>
      </c>
      <c r="B2218" s="41">
        <v>2001</v>
      </c>
      <c r="C2218" s="41" t="s">
        <v>87</v>
      </c>
      <c r="D2218" s="41" t="s">
        <v>401</v>
      </c>
      <c r="E2218" s="41">
        <v>100</v>
      </c>
      <c r="F2218" s="41" t="s">
        <v>390</v>
      </c>
      <c r="G2218" s="53">
        <v>98000</v>
      </c>
      <c r="I2218" s="41">
        <v>4.49</v>
      </c>
      <c r="T2218" s="53">
        <f>12000*31/1000</f>
        <v>372</v>
      </c>
      <c r="AM2218" s="53"/>
      <c r="AO2218" s="53">
        <f t="shared" si="386"/>
        <v>0</v>
      </c>
      <c r="AP2218" s="53">
        <f t="shared" si="386"/>
        <v>440020</v>
      </c>
      <c r="AQ2218" s="53">
        <f t="shared" si="386"/>
        <v>0</v>
      </c>
      <c r="AR2218" s="53">
        <f t="shared" si="386"/>
        <v>0</v>
      </c>
      <c r="AS2218" s="53">
        <f t="shared" si="386"/>
        <v>0</v>
      </c>
      <c r="AT2218" s="53">
        <f t="shared" si="386"/>
        <v>0</v>
      </c>
      <c r="AU2218" s="53">
        <f t="shared" si="386"/>
        <v>0</v>
      </c>
      <c r="AV2218" s="53">
        <f t="shared" si="386"/>
        <v>0</v>
      </c>
      <c r="AW2218" s="53">
        <f t="shared" si="386"/>
        <v>0</v>
      </c>
      <c r="AX2218" s="53">
        <f t="shared" si="372"/>
        <v>9800000</v>
      </c>
      <c r="AY2218" s="41" t="s">
        <v>557</v>
      </c>
    </row>
    <row r="2219" spans="1:51" x14ac:dyDescent="0.2">
      <c r="A2219" s="86" t="s">
        <v>675</v>
      </c>
      <c r="B2219" s="41">
        <v>2002</v>
      </c>
      <c r="C2219" s="41" t="s">
        <v>87</v>
      </c>
      <c r="D2219" s="41" t="s">
        <v>401</v>
      </c>
      <c r="E2219" s="41">
        <v>100</v>
      </c>
      <c r="F2219" s="41" t="s">
        <v>390</v>
      </c>
      <c r="G2219" s="53">
        <v>84000</v>
      </c>
      <c r="I2219" s="41">
        <v>3.19</v>
      </c>
      <c r="T2219" s="53">
        <f>7000*31/1000</f>
        <v>217</v>
      </c>
      <c r="AM2219" s="53"/>
      <c r="AO2219" s="53">
        <f t="shared" si="386"/>
        <v>0</v>
      </c>
      <c r="AP2219" s="53">
        <f t="shared" si="386"/>
        <v>267960</v>
      </c>
      <c r="AQ2219" s="53">
        <f t="shared" si="386"/>
        <v>0</v>
      </c>
      <c r="AR2219" s="53">
        <f t="shared" si="386"/>
        <v>0</v>
      </c>
      <c r="AS2219" s="53">
        <f t="shared" si="386"/>
        <v>0</v>
      </c>
      <c r="AT2219" s="53">
        <f t="shared" si="386"/>
        <v>0</v>
      </c>
      <c r="AU2219" s="53">
        <f t="shared" si="386"/>
        <v>0</v>
      </c>
      <c r="AV2219" s="53">
        <f t="shared" si="386"/>
        <v>0</v>
      </c>
      <c r="AW2219" s="53">
        <f t="shared" si="386"/>
        <v>0</v>
      </c>
      <c r="AX2219" s="53">
        <f t="shared" si="372"/>
        <v>8400000</v>
      </c>
      <c r="AY2219" s="41" t="s">
        <v>557</v>
      </c>
    </row>
    <row r="2220" spans="1:51" x14ac:dyDescent="0.2">
      <c r="A2220" s="86" t="s">
        <v>675</v>
      </c>
      <c r="B2220" s="60" t="s">
        <v>559</v>
      </c>
      <c r="C2220" s="60" t="s">
        <v>87</v>
      </c>
      <c r="D2220" s="60" t="s">
        <v>401</v>
      </c>
      <c r="E2220" s="60">
        <v>100</v>
      </c>
      <c r="F2220" s="60" t="s">
        <v>390</v>
      </c>
      <c r="G2220" s="79">
        <f>SUM(G2214:G2219)</f>
        <v>545000</v>
      </c>
      <c r="I2220" s="80">
        <f>AP2220/G2220</f>
        <v>4.991908256880734</v>
      </c>
      <c r="T2220" s="79">
        <f>SUM(T2214:T2219)</f>
        <v>2387</v>
      </c>
      <c r="AO2220" s="79">
        <f>SUM(AO2214:AO2219)</f>
        <v>0</v>
      </c>
      <c r="AP2220" s="79">
        <f t="shared" ref="AP2220:AX2220" si="387">SUM(AP2214:AP2219)</f>
        <v>2720590</v>
      </c>
      <c r="AQ2220" s="79">
        <f t="shared" si="387"/>
        <v>0</v>
      </c>
      <c r="AR2220" s="79">
        <f t="shared" si="387"/>
        <v>0</v>
      </c>
      <c r="AS2220" s="79">
        <f t="shared" si="387"/>
        <v>0</v>
      </c>
      <c r="AT2220" s="79">
        <f t="shared" si="387"/>
        <v>0</v>
      </c>
      <c r="AU2220" s="79">
        <f t="shared" si="387"/>
        <v>0</v>
      </c>
      <c r="AV2220" s="79">
        <f t="shared" si="387"/>
        <v>0</v>
      </c>
      <c r="AW2220" s="79">
        <f t="shared" si="387"/>
        <v>0</v>
      </c>
      <c r="AX2220" s="79">
        <f t="shared" si="387"/>
        <v>54500000</v>
      </c>
      <c r="AY2220" s="41" t="s">
        <v>557</v>
      </c>
    </row>
    <row r="2221" spans="1:51" x14ac:dyDescent="0.2">
      <c r="A2221" s="86" t="s">
        <v>675</v>
      </c>
      <c r="B2221" s="43" t="s">
        <v>560</v>
      </c>
      <c r="G2221" s="53">
        <f>STDEV(G2214:G2219)</f>
        <v>11973.582031567126</v>
      </c>
      <c r="I2221" s="46">
        <f>STDEV(I2214:I2219)</f>
        <v>1.0302701910987513</v>
      </c>
      <c r="T2221" s="53">
        <f>STDEV(T2214:T2219)</f>
        <v>102.65946944469698</v>
      </c>
      <c r="AY2221" s="41" t="s">
        <v>557</v>
      </c>
    </row>
    <row r="2222" spans="1:51" x14ac:dyDescent="0.2">
      <c r="A2222" s="86" t="s">
        <v>675</v>
      </c>
      <c r="B2222" s="81" t="s">
        <v>249</v>
      </c>
      <c r="G2222" s="41">
        <f>COUNT(G2214:G2219)</f>
        <v>6</v>
      </c>
      <c r="I2222" s="41">
        <f>COUNT(I2214:I2219)</f>
        <v>6</v>
      </c>
      <c r="T2222" s="41">
        <f>COUNT(T2214:T2219)</f>
        <v>6</v>
      </c>
      <c r="AY2222" s="41" t="s">
        <v>557</v>
      </c>
    </row>
    <row r="2223" spans="1:51" x14ac:dyDescent="0.2">
      <c r="A2223" s="82"/>
      <c r="B2223" s="82"/>
      <c r="C2223" s="82"/>
      <c r="D2223" s="82"/>
      <c r="E2223" s="82"/>
      <c r="F2223" s="82"/>
      <c r="G2223" s="82"/>
      <c r="H2223" s="82"/>
      <c r="I2223" s="82"/>
      <c r="J2223" s="82"/>
      <c r="K2223" s="82"/>
      <c r="L2223" s="82"/>
      <c r="M2223" s="82"/>
      <c r="N2223" s="82"/>
      <c r="O2223" s="82"/>
      <c r="P2223" s="82"/>
      <c r="Q2223" s="82"/>
      <c r="R2223" s="82"/>
      <c r="S2223" s="82"/>
      <c r="T2223" s="82"/>
      <c r="U2223" s="82"/>
      <c r="V2223" s="82"/>
      <c r="W2223" s="82"/>
      <c r="X2223" s="82"/>
      <c r="Y2223" s="82"/>
      <c r="Z2223" s="82"/>
      <c r="AA2223" s="82"/>
      <c r="AB2223" s="82"/>
      <c r="AC2223" s="82"/>
      <c r="AD2223" s="82"/>
      <c r="AE2223" s="82"/>
      <c r="AF2223" s="82"/>
      <c r="AG2223" s="82"/>
      <c r="AH2223" s="82"/>
      <c r="AI2223" s="82"/>
      <c r="AJ2223" s="82"/>
      <c r="AK2223" s="82"/>
      <c r="AL2223" s="82"/>
      <c r="AM2223" s="82"/>
      <c r="AN2223" s="82"/>
      <c r="AO2223" s="82"/>
      <c r="AP2223" s="82"/>
      <c r="AQ2223" s="82"/>
      <c r="AR2223" s="82"/>
      <c r="AS2223" s="82"/>
      <c r="AT2223" s="82"/>
      <c r="AU2223" s="82"/>
      <c r="AV2223" s="82"/>
      <c r="AW2223" s="82"/>
      <c r="AX2223" s="82"/>
      <c r="AY2223" s="41" t="s">
        <v>557</v>
      </c>
    </row>
    <row r="2224" spans="1:51" x14ac:dyDescent="0.2">
      <c r="A2224" s="41" t="s">
        <v>677</v>
      </c>
      <c r="B2224" s="41">
        <v>1937</v>
      </c>
      <c r="C2224" s="41" t="s">
        <v>91</v>
      </c>
      <c r="D2224" s="41" t="s">
        <v>398</v>
      </c>
      <c r="E2224" s="41">
        <v>0</v>
      </c>
      <c r="F2224" s="41" t="s">
        <v>678</v>
      </c>
      <c r="G2224" s="53">
        <v>113.28400000000001</v>
      </c>
      <c r="I2224" s="47">
        <v>47.631174746654423</v>
      </c>
      <c r="J2224" s="47">
        <v>639.38331979802979</v>
      </c>
      <c r="T2224" s="53">
        <v>5.3958500000000003</v>
      </c>
      <c r="U2224" s="53">
        <v>72.431900000000013</v>
      </c>
      <c r="AH2224" s="53">
        <f t="shared" ref="AH2224:AH2252" si="388">G2224-R2224-Z2224</f>
        <v>113.28400000000001</v>
      </c>
      <c r="AO2224" s="53">
        <f t="shared" ref="AO2224:AW2252" si="389">$G2224*H2224</f>
        <v>0</v>
      </c>
      <c r="AP2224" s="53">
        <f t="shared" si="389"/>
        <v>5395.85</v>
      </c>
      <c r="AQ2224" s="53">
        <f t="shared" si="389"/>
        <v>72431.900000000009</v>
      </c>
      <c r="AR2224" s="53">
        <f t="shared" si="389"/>
        <v>0</v>
      </c>
      <c r="AS2224" s="53">
        <f t="shared" si="389"/>
        <v>0</v>
      </c>
      <c r="AT2224" s="53">
        <f t="shared" si="389"/>
        <v>0</v>
      </c>
      <c r="AU2224" s="53">
        <f t="shared" si="389"/>
        <v>0</v>
      </c>
      <c r="AV2224" s="53">
        <f t="shared" si="389"/>
        <v>0</v>
      </c>
      <c r="AW2224" s="53">
        <f t="shared" si="389"/>
        <v>0</v>
      </c>
      <c r="AX2224" s="53">
        <f t="shared" ref="AX2224:AX2294" si="390">$G2224*E2224</f>
        <v>0</v>
      </c>
      <c r="AY2224" s="41" t="s">
        <v>557</v>
      </c>
    </row>
    <row r="2225" spans="1:51" x14ac:dyDescent="0.2">
      <c r="A2225" s="41" t="s">
        <v>677</v>
      </c>
      <c r="B2225" s="41">
        <v>1940</v>
      </c>
      <c r="C2225" s="41" t="s">
        <v>91</v>
      </c>
      <c r="D2225" s="41" t="s">
        <v>398</v>
      </c>
      <c r="E2225" s="41">
        <v>0</v>
      </c>
      <c r="F2225" s="41" t="s">
        <v>678</v>
      </c>
      <c r="G2225" s="53">
        <v>203.2</v>
      </c>
      <c r="I2225" s="46">
        <v>5.0506889763779528</v>
      </c>
      <c r="T2225" s="53">
        <v>1.0263</v>
      </c>
      <c r="AH2225" s="53">
        <f t="shared" si="388"/>
        <v>203.2</v>
      </c>
      <c r="AO2225" s="53">
        <f t="shared" si="389"/>
        <v>0</v>
      </c>
      <c r="AP2225" s="53">
        <f t="shared" si="389"/>
        <v>1026.3</v>
      </c>
      <c r="AQ2225" s="53">
        <f t="shared" si="389"/>
        <v>0</v>
      </c>
      <c r="AR2225" s="53">
        <f t="shared" si="389"/>
        <v>0</v>
      </c>
      <c r="AS2225" s="53">
        <f t="shared" si="389"/>
        <v>0</v>
      </c>
      <c r="AT2225" s="53">
        <f t="shared" si="389"/>
        <v>0</v>
      </c>
      <c r="AU2225" s="53">
        <f t="shared" si="389"/>
        <v>0</v>
      </c>
      <c r="AV2225" s="53">
        <f t="shared" si="389"/>
        <v>0</v>
      </c>
      <c r="AW2225" s="53">
        <f t="shared" si="389"/>
        <v>0</v>
      </c>
      <c r="AX2225" s="53">
        <f t="shared" si="390"/>
        <v>0</v>
      </c>
      <c r="AY2225" s="41" t="s">
        <v>557</v>
      </c>
    </row>
    <row r="2226" spans="1:51" x14ac:dyDescent="0.2">
      <c r="A2226" s="41" t="s">
        <v>677</v>
      </c>
      <c r="B2226" s="41">
        <v>1941</v>
      </c>
      <c r="C2226" s="41" t="s">
        <v>91</v>
      </c>
      <c r="D2226" s="41" t="s">
        <v>398</v>
      </c>
      <c r="E2226" s="41">
        <v>0</v>
      </c>
      <c r="F2226" s="41" t="s">
        <v>678</v>
      </c>
      <c r="G2226" s="53">
        <v>193.04</v>
      </c>
      <c r="I2226" s="46">
        <v>9.2233474927476173</v>
      </c>
      <c r="T2226" s="53">
        <v>1.780475</v>
      </c>
      <c r="AH2226" s="53">
        <f t="shared" si="388"/>
        <v>193.04</v>
      </c>
      <c r="AO2226" s="53">
        <f t="shared" si="389"/>
        <v>0</v>
      </c>
      <c r="AP2226" s="53">
        <f t="shared" si="389"/>
        <v>1780.4749999999999</v>
      </c>
      <c r="AQ2226" s="53">
        <f t="shared" si="389"/>
        <v>0</v>
      </c>
      <c r="AR2226" s="53">
        <f t="shared" si="389"/>
        <v>0</v>
      </c>
      <c r="AS2226" s="53">
        <f t="shared" si="389"/>
        <v>0</v>
      </c>
      <c r="AT2226" s="53">
        <f t="shared" si="389"/>
        <v>0</v>
      </c>
      <c r="AU2226" s="53">
        <f t="shared" si="389"/>
        <v>0</v>
      </c>
      <c r="AV2226" s="53">
        <f t="shared" si="389"/>
        <v>0</v>
      </c>
      <c r="AW2226" s="53">
        <f t="shared" si="389"/>
        <v>0</v>
      </c>
      <c r="AX2226" s="53">
        <f t="shared" si="390"/>
        <v>0</v>
      </c>
      <c r="AY2226" s="41" t="s">
        <v>557</v>
      </c>
    </row>
    <row r="2227" spans="1:51" x14ac:dyDescent="0.2">
      <c r="A2227" s="41" t="s">
        <v>677</v>
      </c>
      <c r="B2227" s="41">
        <v>1942</v>
      </c>
      <c r="C2227" s="41" t="s">
        <v>91</v>
      </c>
      <c r="D2227" s="41" t="s">
        <v>398</v>
      </c>
      <c r="E2227" s="41">
        <v>0</v>
      </c>
      <c r="F2227" s="41" t="s">
        <v>678</v>
      </c>
      <c r="G2227" s="53">
        <v>219.45600000000002</v>
      </c>
      <c r="I2227" s="46">
        <v>9.2468421916010488</v>
      </c>
      <c r="T2227" s="53">
        <v>2.0292750000000002</v>
      </c>
      <c r="AH2227" s="53">
        <f t="shared" si="388"/>
        <v>219.45600000000002</v>
      </c>
      <c r="AO2227" s="53">
        <f t="shared" si="389"/>
        <v>0</v>
      </c>
      <c r="AP2227" s="53">
        <f t="shared" si="389"/>
        <v>2029.2749999999999</v>
      </c>
      <c r="AQ2227" s="53">
        <f t="shared" si="389"/>
        <v>0</v>
      </c>
      <c r="AR2227" s="53">
        <f t="shared" si="389"/>
        <v>0</v>
      </c>
      <c r="AS2227" s="53">
        <f t="shared" si="389"/>
        <v>0</v>
      </c>
      <c r="AT2227" s="53">
        <f t="shared" si="389"/>
        <v>0</v>
      </c>
      <c r="AU2227" s="53">
        <f t="shared" si="389"/>
        <v>0</v>
      </c>
      <c r="AV2227" s="53">
        <f t="shared" si="389"/>
        <v>0</v>
      </c>
      <c r="AW2227" s="53">
        <f t="shared" si="389"/>
        <v>0</v>
      </c>
      <c r="AX2227" s="53">
        <f t="shared" si="390"/>
        <v>0</v>
      </c>
      <c r="AY2227" s="41" t="s">
        <v>557</v>
      </c>
    </row>
    <row r="2228" spans="1:51" x14ac:dyDescent="0.2">
      <c r="A2228" s="41" t="s">
        <v>677</v>
      </c>
      <c r="B2228" s="41">
        <v>1992</v>
      </c>
      <c r="C2228" s="41" t="s">
        <v>91</v>
      </c>
      <c r="D2228" s="41" t="s">
        <v>398</v>
      </c>
      <c r="E2228" s="41">
        <v>0</v>
      </c>
      <c r="F2228" s="41" t="s">
        <v>678</v>
      </c>
      <c r="G2228" s="53">
        <v>215911</v>
      </c>
      <c r="H2228" s="41">
        <v>1.53</v>
      </c>
      <c r="I2228" s="41">
        <v>3.68</v>
      </c>
      <c r="J2228" s="47">
        <v>11.37</v>
      </c>
      <c r="L2228" s="41">
        <v>2.1800000000000002</v>
      </c>
      <c r="M2228" s="41">
        <v>1.59</v>
      </c>
      <c r="R2228" s="76">
        <f>S2228*4</f>
        <v>9643</v>
      </c>
      <c r="S2228" s="53">
        <v>2410.75</v>
      </c>
      <c r="T2228" s="53">
        <v>721.98649999999998</v>
      </c>
      <c r="U2228" s="53">
        <v>113.9815</v>
      </c>
      <c r="Y2228" s="53">
        <v>2810</v>
      </c>
      <c r="Z2228" s="76">
        <f t="shared" ref="Z2228:Z2236" si="391">(AA2228+Y2228)/0.4</f>
        <v>12282.5</v>
      </c>
      <c r="AA2228" s="53">
        <v>2103</v>
      </c>
      <c r="AH2228" s="53">
        <f t="shared" si="388"/>
        <v>193985.5</v>
      </c>
      <c r="AO2228" s="53">
        <f t="shared" si="389"/>
        <v>330343.83</v>
      </c>
      <c r="AP2228" s="53">
        <f t="shared" si="389"/>
        <v>794552.48</v>
      </c>
      <c r="AQ2228" s="53">
        <f t="shared" si="389"/>
        <v>2454908.0699999998</v>
      </c>
      <c r="AR2228" s="53">
        <f t="shared" si="389"/>
        <v>0</v>
      </c>
      <c r="AS2228" s="53">
        <f t="shared" si="389"/>
        <v>470685.98000000004</v>
      </c>
      <c r="AT2228" s="53">
        <f t="shared" si="389"/>
        <v>343298.49</v>
      </c>
      <c r="AU2228" s="53">
        <f t="shared" si="389"/>
        <v>0</v>
      </c>
      <c r="AV2228" s="53">
        <f t="shared" si="389"/>
        <v>0</v>
      </c>
      <c r="AW2228" s="53">
        <f t="shared" si="389"/>
        <v>0</v>
      </c>
      <c r="AX2228" s="53">
        <f t="shared" si="390"/>
        <v>0</v>
      </c>
      <c r="AY2228" s="41" t="s">
        <v>557</v>
      </c>
    </row>
    <row r="2229" spans="1:51" x14ac:dyDescent="0.2">
      <c r="A2229" s="41" t="s">
        <v>677</v>
      </c>
      <c r="B2229" s="41">
        <v>1993</v>
      </c>
      <c r="C2229" s="41" t="s">
        <v>91</v>
      </c>
      <c r="D2229" s="41" t="s">
        <v>398</v>
      </c>
      <c r="E2229" s="41">
        <v>0</v>
      </c>
      <c r="F2229" s="41" t="s">
        <v>678</v>
      </c>
      <c r="G2229" s="53">
        <v>455769</v>
      </c>
      <c r="H2229" s="41">
        <v>1.81</v>
      </c>
      <c r="I2229" s="41">
        <v>10.41</v>
      </c>
      <c r="J2229" s="47">
        <v>13.86</v>
      </c>
      <c r="L2229" s="41">
        <v>1.72</v>
      </c>
      <c r="M2229" s="41">
        <v>1.21</v>
      </c>
      <c r="R2229" s="76">
        <f t="shared" ref="R2229:R2253" si="392">S2229*4</f>
        <v>26260</v>
      </c>
      <c r="S2229" s="53">
        <v>6565</v>
      </c>
      <c r="T2229" s="53">
        <v>4554.0974000000006</v>
      </c>
      <c r="U2229" s="53">
        <v>752.49559999999997</v>
      </c>
      <c r="Y2229" s="53">
        <v>0</v>
      </c>
      <c r="Z2229" s="76">
        <f t="shared" si="391"/>
        <v>0</v>
      </c>
      <c r="AA2229" s="53">
        <v>0</v>
      </c>
      <c r="AH2229" s="53">
        <f t="shared" si="388"/>
        <v>429509</v>
      </c>
      <c r="AO2229" s="53">
        <f t="shared" si="389"/>
        <v>824941.89</v>
      </c>
      <c r="AP2229" s="53">
        <f t="shared" si="389"/>
        <v>4744555.29</v>
      </c>
      <c r="AQ2229" s="53">
        <f t="shared" si="389"/>
        <v>6316958.3399999999</v>
      </c>
      <c r="AR2229" s="53">
        <f t="shared" si="389"/>
        <v>0</v>
      </c>
      <c r="AS2229" s="53">
        <f t="shared" si="389"/>
        <v>783922.67999999993</v>
      </c>
      <c r="AT2229" s="53">
        <f t="shared" si="389"/>
        <v>551480.49</v>
      </c>
      <c r="AU2229" s="53">
        <f t="shared" si="389"/>
        <v>0</v>
      </c>
      <c r="AV2229" s="53">
        <f t="shared" si="389"/>
        <v>0</v>
      </c>
      <c r="AW2229" s="53">
        <f t="shared" si="389"/>
        <v>0</v>
      </c>
      <c r="AX2229" s="53">
        <f t="shared" si="390"/>
        <v>0</v>
      </c>
      <c r="AY2229" s="41" t="s">
        <v>557</v>
      </c>
    </row>
    <row r="2230" spans="1:51" x14ac:dyDescent="0.2">
      <c r="A2230" s="41" t="s">
        <v>677</v>
      </c>
      <c r="B2230" s="41">
        <v>1994</v>
      </c>
      <c r="C2230" s="41" t="s">
        <v>91</v>
      </c>
      <c r="D2230" s="41" t="s">
        <v>398</v>
      </c>
      <c r="E2230" s="41">
        <v>0</v>
      </c>
      <c r="F2230" s="41" t="s">
        <v>678</v>
      </c>
      <c r="G2230" s="53">
        <v>499073</v>
      </c>
      <c r="H2230" s="41">
        <v>1.07</v>
      </c>
      <c r="I2230" s="46">
        <v>7.7</v>
      </c>
      <c r="J2230" s="47">
        <v>17.96</v>
      </c>
      <c r="L2230" s="41">
        <v>1.1599999999999999</v>
      </c>
      <c r="M2230" s="41">
        <v>0.79</v>
      </c>
      <c r="R2230" s="76">
        <f t="shared" si="392"/>
        <v>16292</v>
      </c>
      <c r="S2230" s="53">
        <v>4073</v>
      </c>
      <c r="T2230" s="53">
        <v>3734.6124000000004</v>
      </c>
      <c r="U2230" s="53">
        <v>644.29870000000005</v>
      </c>
      <c r="Y2230" s="53">
        <v>528</v>
      </c>
      <c r="Z2230" s="76">
        <f t="shared" si="391"/>
        <v>2652.5</v>
      </c>
      <c r="AA2230" s="53">
        <v>533</v>
      </c>
      <c r="AH2230" s="53">
        <f t="shared" si="388"/>
        <v>480128.5</v>
      </c>
      <c r="AO2230" s="53">
        <f t="shared" si="389"/>
        <v>534008.11</v>
      </c>
      <c r="AP2230" s="53">
        <f t="shared" si="389"/>
        <v>3842862.1</v>
      </c>
      <c r="AQ2230" s="53">
        <f t="shared" si="389"/>
        <v>8963351.0800000001</v>
      </c>
      <c r="AR2230" s="53">
        <f t="shared" si="389"/>
        <v>0</v>
      </c>
      <c r="AS2230" s="53">
        <f t="shared" si="389"/>
        <v>578924.67999999993</v>
      </c>
      <c r="AT2230" s="53">
        <f t="shared" si="389"/>
        <v>394267.67000000004</v>
      </c>
      <c r="AU2230" s="53">
        <f t="shared" si="389"/>
        <v>0</v>
      </c>
      <c r="AV2230" s="53">
        <f t="shared" si="389"/>
        <v>0</v>
      </c>
      <c r="AW2230" s="53">
        <f t="shared" si="389"/>
        <v>0</v>
      </c>
      <c r="AX2230" s="53">
        <f t="shared" si="390"/>
        <v>0</v>
      </c>
      <c r="AY2230" s="41" t="s">
        <v>557</v>
      </c>
    </row>
    <row r="2231" spans="1:51" x14ac:dyDescent="0.2">
      <c r="A2231" s="41" t="s">
        <v>677</v>
      </c>
      <c r="B2231" s="41">
        <v>1995</v>
      </c>
      <c r="C2231" s="41" t="s">
        <v>91</v>
      </c>
      <c r="D2231" s="41" t="s">
        <v>398</v>
      </c>
      <c r="E2231" s="41">
        <v>0</v>
      </c>
      <c r="F2231" s="41" t="s">
        <v>678</v>
      </c>
      <c r="G2231" s="53">
        <v>519906</v>
      </c>
      <c r="H2231" s="41">
        <v>1.06</v>
      </c>
      <c r="I2231" s="41">
        <v>8.75</v>
      </c>
      <c r="J2231" s="47">
        <v>9.52</v>
      </c>
      <c r="L2231" s="41">
        <v>1.1399999999999999</v>
      </c>
      <c r="M2231" s="41">
        <v>0.67</v>
      </c>
      <c r="R2231" s="76">
        <f t="shared" si="392"/>
        <v>15676</v>
      </c>
      <c r="S2231" s="53">
        <v>3919</v>
      </c>
      <c r="T2231" s="53">
        <v>4314.4407999999994</v>
      </c>
      <c r="U2231" s="53">
        <v>528.70000000000005</v>
      </c>
      <c r="Y2231" s="53">
        <v>1651</v>
      </c>
      <c r="Z2231" s="76">
        <f t="shared" si="391"/>
        <v>6687.5</v>
      </c>
      <c r="AA2231" s="53">
        <v>1024</v>
      </c>
      <c r="AH2231" s="53">
        <f t="shared" si="388"/>
        <v>497542.5</v>
      </c>
      <c r="AO2231" s="53">
        <f t="shared" si="389"/>
        <v>551100.36</v>
      </c>
      <c r="AP2231" s="53">
        <f t="shared" si="389"/>
        <v>4549177.5</v>
      </c>
      <c r="AQ2231" s="53">
        <f t="shared" si="389"/>
        <v>4949505.12</v>
      </c>
      <c r="AR2231" s="53">
        <f t="shared" si="389"/>
        <v>0</v>
      </c>
      <c r="AS2231" s="53">
        <f t="shared" si="389"/>
        <v>592692.84</v>
      </c>
      <c r="AT2231" s="53">
        <f t="shared" si="389"/>
        <v>348337.02</v>
      </c>
      <c r="AU2231" s="53">
        <f t="shared" si="389"/>
        <v>0</v>
      </c>
      <c r="AV2231" s="53">
        <f t="shared" si="389"/>
        <v>0</v>
      </c>
      <c r="AW2231" s="53">
        <f t="shared" si="389"/>
        <v>0</v>
      </c>
      <c r="AX2231" s="53">
        <f t="shared" si="390"/>
        <v>0</v>
      </c>
      <c r="AY2231" s="41" t="s">
        <v>557</v>
      </c>
    </row>
    <row r="2232" spans="1:51" x14ac:dyDescent="0.2">
      <c r="A2232" s="41" t="s">
        <v>677</v>
      </c>
      <c r="B2232" s="41">
        <v>1996</v>
      </c>
      <c r="C2232" s="41" t="s">
        <v>91</v>
      </c>
      <c r="D2232" s="41" t="s">
        <v>398</v>
      </c>
      <c r="E2232" s="41">
        <v>0</v>
      </c>
      <c r="F2232" s="41" t="s">
        <v>678</v>
      </c>
      <c r="G2232" s="53">
        <v>530000</v>
      </c>
      <c r="H2232" s="41">
        <v>0.68</v>
      </c>
      <c r="I2232" s="41">
        <v>9.32</v>
      </c>
      <c r="J2232" s="47">
        <v>5.74</v>
      </c>
      <c r="L2232" s="41">
        <v>0.91</v>
      </c>
      <c r="M2232" s="41">
        <v>0.77</v>
      </c>
      <c r="R2232" s="76">
        <f t="shared" si="392"/>
        <v>9108</v>
      </c>
      <c r="S2232" s="53">
        <v>2277</v>
      </c>
      <c r="T2232" s="53">
        <v>4758.3</v>
      </c>
      <c r="U2232" s="53">
        <v>559.79999999999995</v>
      </c>
      <c r="Y2232" s="53">
        <v>1755</v>
      </c>
      <c r="Z2232" s="76">
        <f t="shared" si="391"/>
        <v>7445</v>
      </c>
      <c r="AA2232" s="53">
        <v>1223</v>
      </c>
      <c r="AH2232" s="53">
        <f t="shared" si="388"/>
        <v>513447</v>
      </c>
      <c r="AO2232" s="53">
        <f t="shared" si="389"/>
        <v>360400</v>
      </c>
      <c r="AP2232" s="53">
        <f t="shared" si="389"/>
        <v>4939600</v>
      </c>
      <c r="AQ2232" s="53">
        <f t="shared" si="389"/>
        <v>3042200</v>
      </c>
      <c r="AR2232" s="53">
        <f t="shared" si="389"/>
        <v>0</v>
      </c>
      <c r="AS2232" s="53">
        <f t="shared" si="389"/>
        <v>482300</v>
      </c>
      <c r="AT2232" s="53">
        <f t="shared" si="389"/>
        <v>408100</v>
      </c>
      <c r="AU2232" s="53">
        <f t="shared" si="389"/>
        <v>0</v>
      </c>
      <c r="AV2232" s="53">
        <f t="shared" si="389"/>
        <v>0</v>
      </c>
      <c r="AW2232" s="53">
        <f t="shared" si="389"/>
        <v>0</v>
      </c>
      <c r="AX2232" s="53">
        <f t="shared" si="390"/>
        <v>0</v>
      </c>
      <c r="AY2232" s="41" t="s">
        <v>557</v>
      </c>
    </row>
    <row r="2233" spans="1:51" x14ac:dyDescent="0.2">
      <c r="A2233" s="41" t="s">
        <v>677</v>
      </c>
      <c r="B2233" s="41">
        <v>1997</v>
      </c>
      <c r="C2233" s="41" t="s">
        <v>91</v>
      </c>
      <c r="D2233" s="41" t="s">
        <v>398</v>
      </c>
      <c r="E2233" s="41">
        <v>0</v>
      </c>
      <c r="F2233" s="41" t="s">
        <v>678</v>
      </c>
      <c r="G2233" s="53">
        <v>548000</v>
      </c>
      <c r="H2233" s="41">
        <v>0.68</v>
      </c>
      <c r="I2233" s="41">
        <v>8.7899999999999991</v>
      </c>
      <c r="J2233" s="47">
        <v>5.43</v>
      </c>
      <c r="L2233" s="41">
        <v>0.8</v>
      </c>
      <c r="M2233" s="41">
        <v>0.78</v>
      </c>
      <c r="R2233" s="76">
        <f t="shared" si="392"/>
        <v>9600</v>
      </c>
      <c r="S2233" s="53">
        <v>2400</v>
      </c>
      <c r="T2233" s="53">
        <v>4602.8</v>
      </c>
      <c r="U2233" s="53">
        <v>528.70000000000005</v>
      </c>
      <c r="Y2233" s="53">
        <v>600</v>
      </c>
      <c r="Z2233" s="76">
        <f t="shared" si="391"/>
        <v>4000</v>
      </c>
      <c r="AA2233" s="53">
        <v>1000</v>
      </c>
      <c r="AH2233" s="53">
        <f t="shared" si="388"/>
        <v>534400</v>
      </c>
      <c r="AO2233" s="53">
        <f t="shared" si="389"/>
        <v>372640</v>
      </c>
      <c r="AP2233" s="53">
        <f t="shared" si="389"/>
        <v>4816919.9999999991</v>
      </c>
      <c r="AQ2233" s="53">
        <f t="shared" si="389"/>
        <v>2975640</v>
      </c>
      <c r="AR2233" s="53">
        <f t="shared" si="389"/>
        <v>0</v>
      </c>
      <c r="AS2233" s="53">
        <f t="shared" si="389"/>
        <v>438400</v>
      </c>
      <c r="AT2233" s="53">
        <f t="shared" si="389"/>
        <v>427440</v>
      </c>
      <c r="AU2233" s="53">
        <f t="shared" si="389"/>
        <v>0</v>
      </c>
      <c r="AV2233" s="53">
        <f t="shared" si="389"/>
        <v>0</v>
      </c>
      <c r="AW2233" s="53">
        <f t="shared" si="389"/>
        <v>0</v>
      </c>
      <c r="AX2233" s="53">
        <f t="shared" si="390"/>
        <v>0</v>
      </c>
      <c r="AY2233" s="41" t="s">
        <v>557</v>
      </c>
    </row>
    <row r="2234" spans="1:51" x14ac:dyDescent="0.2">
      <c r="A2234" s="41" t="s">
        <v>677</v>
      </c>
      <c r="B2234" s="41">
        <v>1998</v>
      </c>
      <c r="C2234" s="41" t="s">
        <v>91</v>
      </c>
      <c r="D2234" s="41" t="s">
        <v>398</v>
      </c>
      <c r="E2234" s="41">
        <v>0</v>
      </c>
      <c r="F2234" s="41" t="s">
        <v>678</v>
      </c>
      <c r="G2234" s="53">
        <v>528400</v>
      </c>
      <c r="H2234" s="41">
        <v>0.43</v>
      </c>
      <c r="I2234" s="41">
        <v>6.92</v>
      </c>
      <c r="J2234" s="47">
        <v>4.87</v>
      </c>
      <c r="L2234" s="41">
        <v>0.65</v>
      </c>
      <c r="M2234" s="41">
        <v>0.73</v>
      </c>
      <c r="R2234" s="76">
        <f t="shared" si="392"/>
        <v>5400</v>
      </c>
      <c r="S2234" s="53">
        <v>1350</v>
      </c>
      <c r="T2234" s="53">
        <v>3473.87</v>
      </c>
      <c r="U2234" s="53">
        <v>404.3</v>
      </c>
      <c r="Y2234" s="53">
        <v>680</v>
      </c>
      <c r="Z2234" s="76">
        <f t="shared" si="391"/>
        <v>4250</v>
      </c>
      <c r="AA2234" s="53">
        <v>1020</v>
      </c>
      <c r="AH2234" s="53">
        <f t="shared" si="388"/>
        <v>518750</v>
      </c>
      <c r="AO2234" s="53">
        <f t="shared" si="389"/>
        <v>227212</v>
      </c>
      <c r="AP2234" s="53">
        <f t="shared" si="389"/>
        <v>3656528</v>
      </c>
      <c r="AQ2234" s="53">
        <f t="shared" si="389"/>
        <v>2573308</v>
      </c>
      <c r="AR2234" s="53">
        <f t="shared" si="389"/>
        <v>0</v>
      </c>
      <c r="AS2234" s="53">
        <f t="shared" si="389"/>
        <v>343460</v>
      </c>
      <c r="AT2234" s="53">
        <f t="shared" si="389"/>
        <v>385732</v>
      </c>
      <c r="AU2234" s="53">
        <f t="shared" si="389"/>
        <v>0</v>
      </c>
      <c r="AV2234" s="53">
        <f t="shared" si="389"/>
        <v>0</v>
      </c>
      <c r="AW2234" s="53">
        <f t="shared" si="389"/>
        <v>0</v>
      </c>
      <c r="AX2234" s="53">
        <f t="shared" si="390"/>
        <v>0</v>
      </c>
      <c r="AY2234" s="41" t="s">
        <v>557</v>
      </c>
    </row>
    <row r="2235" spans="1:51" x14ac:dyDescent="0.2">
      <c r="A2235" s="41" t="s">
        <v>677</v>
      </c>
      <c r="B2235" s="41">
        <v>1999</v>
      </c>
      <c r="C2235" s="41" t="s">
        <v>91</v>
      </c>
      <c r="D2235" s="41" t="s">
        <v>398</v>
      </c>
      <c r="E2235" s="41">
        <v>0</v>
      </c>
      <c r="F2235" s="41" t="s">
        <v>678</v>
      </c>
      <c r="G2235" s="53">
        <v>598000</v>
      </c>
      <c r="H2235" s="41">
        <v>0.51</v>
      </c>
      <c r="I2235" s="41">
        <v>7.6</v>
      </c>
      <c r="J2235" s="47">
        <v>5.34</v>
      </c>
      <c r="L2235" s="41">
        <v>0.63</v>
      </c>
      <c r="M2235" s="41">
        <v>0.61</v>
      </c>
      <c r="R2235" s="76">
        <f t="shared" si="392"/>
        <v>6800</v>
      </c>
      <c r="S2235" s="53">
        <v>1700</v>
      </c>
      <c r="T2235" s="53">
        <v>4354</v>
      </c>
      <c r="U2235" s="53">
        <v>373.2</v>
      </c>
      <c r="Y2235" s="53">
        <v>840</v>
      </c>
      <c r="Z2235" s="76">
        <f t="shared" si="391"/>
        <v>5250</v>
      </c>
      <c r="AA2235" s="53">
        <v>1260</v>
      </c>
      <c r="AH2235" s="53">
        <f t="shared" si="388"/>
        <v>585950</v>
      </c>
      <c r="AO2235" s="53">
        <f t="shared" si="389"/>
        <v>304980</v>
      </c>
      <c r="AP2235" s="53">
        <f t="shared" si="389"/>
        <v>4544800</v>
      </c>
      <c r="AQ2235" s="53">
        <f t="shared" si="389"/>
        <v>3193320</v>
      </c>
      <c r="AR2235" s="53">
        <f t="shared" si="389"/>
        <v>0</v>
      </c>
      <c r="AS2235" s="53">
        <f t="shared" si="389"/>
        <v>376740</v>
      </c>
      <c r="AT2235" s="53">
        <f t="shared" si="389"/>
        <v>364780</v>
      </c>
      <c r="AU2235" s="53">
        <f t="shared" si="389"/>
        <v>0</v>
      </c>
      <c r="AV2235" s="53">
        <f t="shared" si="389"/>
        <v>0</v>
      </c>
      <c r="AW2235" s="53">
        <f t="shared" si="389"/>
        <v>0</v>
      </c>
      <c r="AX2235" s="53">
        <f t="shared" si="390"/>
        <v>0</v>
      </c>
      <c r="AY2235" s="41" t="s">
        <v>557</v>
      </c>
    </row>
    <row r="2236" spans="1:51" x14ac:dyDescent="0.2">
      <c r="A2236" s="41" t="s">
        <v>677</v>
      </c>
      <c r="B2236" s="41">
        <v>2000</v>
      </c>
      <c r="C2236" s="41" t="s">
        <v>91</v>
      </c>
      <c r="D2236" s="41" t="s">
        <v>398</v>
      </c>
      <c r="E2236" s="41">
        <v>0</v>
      </c>
      <c r="F2236" s="41" t="s">
        <v>678</v>
      </c>
      <c r="G2236" s="53">
        <v>589000</v>
      </c>
      <c r="H2236" s="41">
        <v>0.4</v>
      </c>
      <c r="I2236" s="41">
        <v>7.23</v>
      </c>
      <c r="J2236" s="47">
        <v>5.38</v>
      </c>
      <c r="L2236" s="41">
        <v>0.82</v>
      </c>
      <c r="M2236" s="41">
        <v>0.9</v>
      </c>
      <c r="R2236" s="76">
        <f t="shared" si="392"/>
        <v>10000</v>
      </c>
      <c r="S2236" s="53">
        <v>2500</v>
      </c>
      <c r="T2236" s="53">
        <v>4043</v>
      </c>
      <c r="U2236" s="53">
        <v>497.6</v>
      </c>
      <c r="Y2236" s="53">
        <v>2640</v>
      </c>
      <c r="Z2236" s="76">
        <f t="shared" si="391"/>
        <v>16500</v>
      </c>
      <c r="AA2236" s="53">
        <v>3960</v>
      </c>
      <c r="AH2236" s="53">
        <f t="shared" si="388"/>
        <v>562500</v>
      </c>
      <c r="AO2236" s="53">
        <f t="shared" si="389"/>
        <v>235600</v>
      </c>
      <c r="AP2236" s="53">
        <f t="shared" si="389"/>
        <v>4258470</v>
      </c>
      <c r="AQ2236" s="53">
        <f t="shared" si="389"/>
        <v>3168820</v>
      </c>
      <c r="AR2236" s="53">
        <f t="shared" si="389"/>
        <v>0</v>
      </c>
      <c r="AS2236" s="53">
        <f t="shared" si="389"/>
        <v>482980</v>
      </c>
      <c r="AT2236" s="53">
        <f t="shared" si="389"/>
        <v>530100</v>
      </c>
      <c r="AU2236" s="53">
        <f t="shared" si="389"/>
        <v>0</v>
      </c>
      <c r="AV2236" s="53">
        <f t="shared" si="389"/>
        <v>0</v>
      </c>
      <c r="AW2236" s="53">
        <f t="shared" si="389"/>
        <v>0</v>
      </c>
      <c r="AX2236" s="53">
        <f t="shared" si="390"/>
        <v>0</v>
      </c>
      <c r="AY2236" s="41" t="s">
        <v>557</v>
      </c>
    </row>
    <row r="2237" spans="1:51" x14ac:dyDescent="0.2">
      <c r="A2237" s="41" t="s">
        <v>677</v>
      </c>
      <c r="B2237" s="41">
        <v>2001</v>
      </c>
      <c r="C2237" s="41" t="s">
        <v>91</v>
      </c>
      <c r="D2237" s="41" t="s">
        <v>398</v>
      </c>
      <c r="E2237" s="41">
        <v>0</v>
      </c>
      <c r="F2237" s="41" t="s">
        <v>678</v>
      </c>
      <c r="G2237" s="53">
        <v>594000</v>
      </c>
      <c r="H2237" s="41">
        <v>0.43</v>
      </c>
      <c r="I2237" s="41">
        <v>5.88</v>
      </c>
      <c r="J2237" s="47">
        <v>9.91</v>
      </c>
      <c r="L2237" s="41">
        <v>0.8</v>
      </c>
      <c r="M2237" s="41">
        <v>1.44</v>
      </c>
      <c r="R2237" s="76">
        <f t="shared" si="392"/>
        <v>3600</v>
      </c>
      <c r="S2237" s="53">
        <v>900</v>
      </c>
      <c r="T2237" s="53">
        <v>3141.1</v>
      </c>
      <c r="U2237" s="53">
        <v>746.4</v>
      </c>
      <c r="Y2237" s="53">
        <v>1840</v>
      </c>
      <c r="Z2237" s="76">
        <f>(AA2237+Y2237)/0.4</f>
        <v>11500</v>
      </c>
      <c r="AA2237" s="53">
        <v>2760</v>
      </c>
      <c r="AH2237" s="53">
        <f t="shared" si="388"/>
        <v>578900</v>
      </c>
      <c r="AO2237" s="53">
        <f t="shared" si="389"/>
        <v>255420</v>
      </c>
      <c r="AP2237" s="53">
        <f t="shared" si="389"/>
        <v>3492720</v>
      </c>
      <c r="AQ2237" s="53">
        <f t="shared" si="389"/>
        <v>5886540</v>
      </c>
      <c r="AR2237" s="53">
        <f t="shared" si="389"/>
        <v>0</v>
      </c>
      <c r="AS2237" s="53">
        <f t="shared" si="389"/>
        <v>475200</v>
      </c>
      <c r="AT2237" s="53">
        <f t="shared" si="389"/>
        <v>855360</v>
      </c>
      <c r="AU2237" s="53">
        <f t="shared" si="389"/>
        <v>0</v>
      </c>
      <c r="AV2237" s="53">
        <f t="shared" si="389"/>
        <v>0</v>
      </c>
      <c r="AW2237" s="53">
        <f t="shared" si="389"/>
        <v>0</v>
      </c>
      <c r="AX2237" s="53">
        <f t="shared" si="390"/>
        <v>0</v>
      </c>
      <c r="AY2237" s="41" t="s">
        <v>557</v>
      </c>
    </row>
    <row r="2238" spans="1:51" x14ac:dyDescent="0.2">
      <c r="A2238" s="41" t="s">
        <v>677</v>
      </c>
      <c r="B2238" s="41">
        <v>2002</v>
      </c>
      <c r="C2238" s="41" t="s">
        <v>91</v>
      </c>
      <c r="D2238" s="41" t="s">
        <v>398</v>
      </c>
      <c r="E2238" s="41">
        <v>0</v>
      </c>
      <c r="F2238" s="41" t="s">
        <v>678</v>
      </c>
      <c r="G2238" s="53">
        <v>610000</v>
      </c>
      <c r="H2238" s="41">
        <v>0.28999999999999998</v>
      </c>
      <c r="I2238" s="41">
        <v>5.52</v>
      </c>
      <c r="J2238" s="47">
        <v>3.05</v>
      </c>
      <c r="L2238" s="41">
        <v>0.22</v>
      </c>
      <c r="M2238" s="41">
        <v>0.28000000000000003</v>
      </c>
      <c r="R2238" s="76">
        <f t="shared" si="392"/>
        <v>1600</v>
      </c>
      <c r="S2238" s="53">
        <v>400</v>
      </c>
      <c r="T2238" s="53">
        <v>3016.7</v>
      </c>
      <c r="U2238" s="53">
        <v>373.2</v>
      </c>
      <c r="AH2238" s="53">
        <f t="shared" si="388"/>
        <v>608400</v>
      </c>
      <c r="AO2238" s="53">
        <f t="shared" si="389"/>
        <v>176900</v>
      </c>
      <c r="AP2238" s="53">
        <f t="shared" si="389"/>
        <v>3367199.9999999995</v>
      </c>
      <c r="AQ2238" s="53">
        <f t="shared" si="389"/>
        <v>1860500</v>
      </c>
      <c r="AR2238" s="53">
        <f t="shared" si="389"/>
        <v>0</v>
      </c>
      <c r="AS2238" s="53">
        <f t="shared" si="389"/>
        <v>134200</v>
      </c>
      <c r="AT2238" s="53">
        <f t="shared" si="389"/>
        <v>170800.00000000003</v>
      </c>
      <c r="AU2238" s="53">
        <f t="shared" si="389"/>
        <v>0</v>
      </c>
      <c r="AV2238" s="53">
        <f t="shared" si="389"/>
        <v>0</v>
      </c>
      <c r="AW2238" s="53">
        <f t="shared" si="389"/>
        <v>0</v>
      </c>
      <c r="AX2238" s="53">
        <f t="shared" si="390"/>
        <v>0</v>
      </c>
      <c r="AY2238" s="41" t="s">
        <v>557</v>
      </c>
    </row>
    <row r="2239" spans="1:51" x14ac:dyDescent="0.2">
      <c r="A2239" s="41" t="s">
        <v>677</v>
      </c>
      <c r="B2239" s="41">
        <v>2003</v>
      </c>
      <c r="C2239" s="41" t="s">
        <v>91</v>
      </c>
      <c r="D2239" s="41" t="s">
        <v>398</v>
      </c>
      <c r="E2239" s="41">
        <v>0</v>
      </c>
      <c r="F2239" s="41" t="s">
        <v>678</v>
      </c>
      <c r="G2239" s="53">
        <v>637000</v>
      </c>
      <c r="H2239" s="41">
        <v>0.52</v>
      </c>
      <c r="I2239" s="41">
        <v>6.74</v>
      </c>
      <c r="J2239" s="41">
        <v>6</v>
      </c>
      <c r="R2239" s="76">
        <f t="shared" si="392"/>
        <v>6360</v>
      </c>
      <c r="S2239" s="53">
        <v>1590</v>
      </c>
      <c r="T2239" s="53">
        <v>3498.8433000000005</v>
      </c>
      <c r="U2239" s="53">
        <v>1911</v>
      </c>
      <c r="AH2239" s="53">
        <f t="shared" si="388"/>
        <v>630640</v>
      </c>
      <c r="AO2239" s="53">
        <f t="shared" si="389"/>
        <v>331240</v>
      </c>
      <c r="AP2239" s="53">
        <f t="shared" si="389"/>
        <v>4293380</v>
      </c>
      <c r="AQ2239" s="53">
        <f t="shared" si="389"/>
        <v>3822000</v>
      </c>
      <c r="AR2239" s="53">
        <f t="shared" si="389"/>
        <v>0</v>
      </c>
      <c r="AS2239" s="53">
        <f t="shared" si="389"/>
        <v>0</v>
      </c>
      <c r="AT2239" s="53">
        <f t="shared" si="389"/>
        <v>0</v>
      </c>
      <c r="AU2239" s="53">
        <f t="shared" si="389"/>
        <v>0</v>
      </c>
      <c r="AV2239" s="53">
        <f t="shared" si="389"/>
        <v>0</v>
      </c>
      <c r="AW2239" s="53">
        <f t="shared" si="389"/>
        <v>0</v>
      </c>
      <c r="AX2239" s="53">
        <f t="shared" si="390"/>
        <v>0</v>
      </c>
      <c r="AY2239" s="41" t="s">
        <v>557</v>
      </c>
    </row>
    <row r="2240" spans="1:51" x14ac:dyDescent="0.2">
      <c r="A2240" s="41" t="s">
        <v>677</v>
      </c>
      <c r="B2240" s="41">
        <v>2004</v>
      </c>
      <c r="C2240" s="41" t="s">
        <v>91</v>
      </c>
      <c r="D2240" s="41" t="s">
        <v>398</v>
      </c>
      <c r="E2240" s="41">
        <v>0</v>
      </c>
      <c r="F2240" s="41" t="s">
        <v>678</v>
      </c>
      <c r="G2240" s="53">
        <v>663441</v>
      </c>
      <c r="H2240" s="41">
        <v>0.57999999999999996</v>
      </c>
      <c r="I2240" s="46">
        <v>7.4</v>
      </c>
      <c r="J2240" s="41">
        <v>6</v>
      </c>
      <c r="R2240" s="76">
        <f t="shared" si="392"/>
        <v>12152</v>
      </c>
      <c r="S2240" s="53">
        <v>3038</v>
      </c>
      <c r="T2240" s="53">
        <v>4438.0632999999998</v>
      </c>
      <c r="U2240" s="53">
        <v>1990.3230000000001</v>
      </c>
      <c r="AH2240" s="53">
        <f t="shared" si="388"/>
        <v>651289</v>
      </c>
      <c r="AO2240" s="53">
        <f t="shared" si="389"/>
        <v>384795.77999999997</v>
      </c>
      <c r="AP2240" s="53">
        <f t="shared" si="389"/>
        <v>4909463.4000000004</v>
      </c>
      <c r="AQ2240" s="53">
        <f t="shared" si="389"/>
        <v>3980646</v>
      </c>
      <c r="AR2240" s="53">
        <f t="shared" si="389"/>
        <v>0</v>
      </c>
      <c r="AS2240" s="53">
        <f t="shared" si="389"/>
        <v>0</v>
      </c>
      <c r="AT2240" s="53">
        <f t="shared" si="389"/>
        <v>0</v>
      </c>
      <c r="AU2240" s="53">
        <f t="shared" si="389"/>
        <v>0</v>
      </c>
      <c r="AV2240" s="53">
        <f t="shared" si="389"/>
        <v>0</v>
      </c>
      <c r="AW2240" s="53">
        <f t="shared" si="389"/>
        <v>0</v>
      </c>
      <c r="AX2240" s="53">
        <f t="shared" si="390"/>
        <v>0</v>
      </c>
      <c r="AY2240" s="41" t="s">
        <v>557</v>
      </c>
    </row>
    <row r="2241" spans="1:51" x14ac:dyDescent="0.2">
      <c r="A2241" s="41" t="s">
        <v>677</v>
      </c>
      <c r="B2241" s="41">
        <v>2005</v>
      </c>
      <c r="C2241" s="41" t="s">
        <v>91</v>
      </c>
      <c r="D2241" s="41" t="s">
        <v>398</v>
      </c>
      <c r="E2241" s="41">
        <v>0</v>
      </c>
      <c r="F2241" s="41" t="s">
        <v>678</v>
      </c>
      <c r="G2241" s="53">
        <v>672672</v>
      </c>
      <c r="H2241" s="46">
        <v>0.5</v>
      </c>
      <c r="I2241" s="41">
        <v>7.09</v>
      </c>
      <c r="J2241" s="41">
        <v>6</v>
      </c>
      <c r="R2241" s="76">
        <f t="shared" si="392"/>
        <v>10184</v>
      </c>
      <c r="S2241" s="53">
        <v>2546</v>
      </c>
      <c r="T2241" s="53">
        <v>4149.1131999999998</v>
      </c>
      <c r="U2241" s="53">
        <v>2018.0160000000001</v>
      </c>
      <c r="AH2241" s="53">
        <f t="shared" si="388"/>
        <v>662488</v>
      </c>
      <c r="AO2241" s="53">
        <f t="shared" si="389"/>
        <v>336336</v>
      </c>
      <c r="AP2241" s="53">
        <f t="shared" si="389"/>
        <v>4769244.4799999995</v>
      </c>
      <c r="AQ2241" s="53">
        <f t="shared" si="389"/>
        <v>4036032</v>
      </c>
      <c r="AR2241" s="53">
        <f t="shared" si="389"/>
        <v>0</v>
      </c>
      <c r="AS2241" s="53">
        <f t="shared" si="389"/>
        <v>0</v>
      </c>
      <c r="AT2241" s="53">
        <f t="shared" si="389"/>
        <v>0</v>
      </c>
      <c r="AU2241" s="53">
        <f t="shared" si="389"/>
        <v>0</v>
      </c>
      <c r="AV2241" s="53">
        <f t="shared" si="389"/>
        <v>0</v>
      </c>
      <c r="AW2241" s="53">
        <f t="shared" si="389"/>
        <v>0</v>
      </c>
      <c r="AX2241" s="53">
        <f t="shared" si="390"/>
        <v>0</v>
      </c>
      <c r="AY2241" s="41" t="s">
        <v>557</v>
      </c>
    </row>
    <row r="2242" spans="1:51" x14ac:dyDescent="0.2">
      <c r="A2242" s="41" t="s">
        <v>677</v>
      </c>
      <c r="B2242" s="41">
        <v>2006</v>
      </c>
      <c r="C2242" s="41" t="s">
        <v>91</v>
      </c>
      <c r="D2242" s="41" t="s">
        <v>398</v>
      </c>
      <c r="E2242" s="41">
        <v>0</v>
      </c>
      <c r="F2242" s="41" t="s">
        <v>678</v>
      </c>
      <c r="G2242" s="53">
        <v>703000</v>
      </c>
      <c r="H2242" s="41">
        <v>0.57999999999999996</v>
      </c>
      <c r="I2242" s="41">
        <v>6.08</v>
      </c>
      <c r="J2242" s="41">
        <v>6</v>
      </c>
      <c r="R2242" s="76">
        <f t="shared" si="392"/>
        <v>11960.446339472013</v>
      </c>
      <c r="S2242" s="53">
        <v>2990.1115848680033</v>
      </c>
      <c r="T2242" s="53">
        <v>3812.3935000000001</v>
      </c>
      <c r="U2242" s="53">
        <v>2109</v>
      </c>
      <c r="AH2242" s="53">
        <f t="shared" si="388"/>
        <v>691039.55366052804</v>
      </c>
      <c r="AO2242" s="53">
        <f t="shared" si="389"/>
        <v>407740</v>
      </c>
      <c r="AP2242" s="53">
        <f t="shared" si="389"/>
        <v>4274240</v>
      </c>
      <c r="AQ2242" s="53">
        <f t="shared" si="389"/>
        <v>4218000</v>
      </c>
      <c r="AR2242" s="53">
        <f t="shared" si="389"/>
        <v>0</v>
      </c>
      <c r="AS2242" s="53">
        <f t="shared" si="389"/>
        <v>0</v>
      </c>
      <c r="AT2242" s="53">
        <f t="shared" si="389"/>
        <v>0</v>
      </c>
      <c r="AU2242" s="53">
        <f t="shared" si="389"/>
        <v>0</v>
      </c>
      <c r="AV2242" s="53">
        <f t="shared" si="389"/>
        <v>0</v>
      </c>
      <c r="AW2242" s="53">
        <f t="shared" si="389"/>
        <v>0</v>
      </c>
      <c r="AX2242" s="53">
        <f t="shared" si="390"/>
        <v>0</v>
      </c>
      <c r="AY2242" s="41" t="s">
        <v>557</v>
      </c>
    </row>
    <row r="2243" spans="1:51" x14ac:dyDescent="0.2">
      <c r="A2243" s="41" t="s">
        <v>677</v>
      </c>
      <c r="B2243" s="41">
        <v>2007</v>
      </c>
      <c r="C2243" s="41" t="s">
        <v>91</v>
      </c>
      <c r="D2243" s="41" t="s">
        <v>398</v>
      </c>
      <c r="E2243" s="41">
        <v>0</v>
      </c>
      <c r="F2243" s="41" t="s">
        <v>678</v>
      </c>
      <c r="G2243" s="53">
        <v>709244</v>
      </c>
      <c r="H2243" s="41">
        <v>0.65</v>
      </c>
      <c r="I2243" s="41">
        <v>5.87</v>
      </c>
      <c r="J2243" s="41">
        <v>6</v>
      </c>
      <c r="R2243" s="76">
        <f t="shared" si="392"/>
        <v>13589.766851129458</v>
      </c>
      <c r="S2243" s="53">
        <v>3397.4417127823644</v>
      </c>
      <c r="T2243" s="53">
        <v>3622.7768000000001</v>
      </c>
      <c r="U2243" s="53">
        <v>2127.732</v>
      </c>
      <c r="AH2243" s="53">
        <f t="shared" si="388"/>
        <v>695654.23314887052</v>
      </c>
      <c r="AO2243" s="53">
        <f t="shared" si="389"/>
        <v>461008.60000000003</v>
      </c>
      <c r="AP2243" s="53">
        <f t="shared" si="389"/>
        <v>4163262.2800000003</v>
      </c>
      <c r="AQ2243" s="53">
        <f t="shared" si="389"/>
        <v>4255464</v>
      </c>
      <c r="AR2243" s="53">
        <f t="shared" si="389"/>
        <v>0</v>
      </c>
      <c r="AS2243" s="53">
        <f t="shared" si="389"/>
        <v>0</v>
      </c>
      <c r="AT2243" s="53">
        <f t="shared" si="389"/>
        <v>0</v>
      </c>
      <c r="AU2243" s="53">
        <f t="shared" si="389"/>
        <v>0</v>
      </c>
      <c r="AV2243" s="53">
        <f t="shared" si="389"/>
        <v>0</v>
      </c>
      <c r="AW2243" s="53">
        <f t="shared" si="389"/>
        <v>0</v>
      </c>
      <c r="AX2243" s="53">
        <f t="shared" si="390"/>
        <v>0</v>
      </c>
      <c r="AY2243" s="41" t="s">
        <v>557</v>
      </c>
    </row>
    <row r="2244" spans="1:51" x14ac:dyDescent="0.2">
      <c r="A2244" s="41" t="s">
        <v>677</v>
      </c>
      <c r="B2244" s="41">
        <v>2008</v>
      </c>
      <c r="C2244" s="41" t="s">
        <v>91</v>
      </c>
      <c r="D2244" s="41" t="s">
        <v>398</v>
      </c>
      <c r="E2244" s="41">
        <v>0</v>
      </c>
      <c r="F2244" s="41" t="s">
        <v>678</v>
      </c>
      <c r="G2244" s="53">
        <v>768728</v>
      </c>
      <c r="H2244" s="41">
        <v>0.62</v>
      </c>
      <c r="I2244" s="41">
        <v>4.67</v>
      </c>
      <c r="J2244" s="41">
        <v>6</v>
      </c>
      <c r="R2244" s="76">
        <f t="shared" si="392"/>
        <v>14966.887417218544</v>
      </c>
      <c r="S2244" s="53">
        <v>3741.7218543046361</v>
      </c>
      <c r="T2244" s="53">
        <v>3125.3323000000005</v>
      </c>
      <c r="U2244" s="53">
        <v>2306.1840000000002</v>
      </c>
      <c r="AH2244" s="53">
        <f t="shared" si="388"/>
        <v>753761.11258278147</v>
      </c>
      <c r="AO2244" s="53">
        <f t="shared" si="389"/>
        <v>476611.36</v>
      </c>
      <c r="AP2244" s="53">
        <f t="shared" si="389"/>
        <v>3589959.76</v>
      </c>
      <c r="AQ2244" s="53">
        <f t="shared" si="389"/>
        <v>4612368</v>
      </c>
      <c r="AR2244" s="53">
        <f t="shared" si="389"/>
        <v>0</v>
      </c>
      <c r="AS2244" s="53">
        <f t="shared" si="389"/>
        <v>0</v>
      </c>
      <c r="AT2244" s="53">
        <f t="shared" si="389"/>
        <v>0</v>
      </c>
      <c r="AU2244" s="53">
        <f t="shared" si="389"/>
        <v>0</v>
      </c>
      <c r="AV2244" s="53">
        <f t="shared" si="389"/>
        <v>0</v>
      </c>
      <c r="AW2244" s="53">
        <f t="shared" si="389"/>
        <v>0</v>
      </c>
      <c r="AX2244" s="53">
        <f t="shared" si="390"/>
        <v>0</v>
      </c>
      <c r="AY2244" s="41" t="s">
        <v>557</v>
      </c>
    </row>
    <row r="2245" spans="1:51" x14ac:dyDescent="0.2">
      <c r="A2245" s="41" t="s">
        <v>677</v>
      </c>
      <c r="B2245" s="41">
        <v>2009</v>
      </c>
      <c r="C2245" s="41" t="s">
        <v>91</v>
      </c>
      <c r="D2245" s="41" t="s">
        <v>398</v>
      </c>
      <c r="E2245" s="41">
        <v>0</v>
      </c>
      <c r="F2245" s="41" t="s">
        <v>678</v>
      </c>
      <c r="G2245" s="53">
        <v>794000</v>
      </c>
      <c r="H2245" s="46">
        <v>1</v>
      </c>
      <c r="I2245" s="41">
        <v>4.0199999999999996</v>
      </c>
      <c r="J2245" s="41">
        <v>6</v>
      </c>
      <c r="R2245" s="76">
        <f t="shared" si="392"/>
        <v>28322.902494331065</v>
      </c>
      <c r="S2245" s="53">
        <v>7080.7256235827663</v>
      </c>
      <c r="T2245" s="53">
        <v>2899.9817000000003</v>
      </c>
      <c r="U2245" s="53">
        <v>2382</v>
      </c>
      <c r="AH2245" s="53">
        <f t="shared" si="388"/>
        <v>765677.09750566888</v>
      </c>
      <c r="AO2245" s="53">
        <f t="shared" si="389"/>
        <v>794000</v>
      </c>
      <c r="AP2245" s="53">
        <f t="shared" si="389"/>
        <v>3191879.9999999995</v>
      </c>
      <c r="AQ2245" s="53">
        <f t="shared" si="389"/>
        <v>4764000</v>
      </c>
      <c r="AR2245" s="53">
        <f t="shared" si="389"/>
        <v>0</v>
      </c>
      <c r="AS2245" s="53">
        <f t="shared" si="389"/>
        <v>0</v>
      </c>
      <c r="AT2245" s="53">
        <f t="shared" si="389"/>
        <v>0</v>
      </c>
      <c r="AU2245" s="53">
        <f t="shared" si="389"/>
        <v>0</v>
      </c>
      <c r="AV2245" s="53">
        <f t="shared" si="389"/>
        <v>0</v>
      </c>
      <c r="AW2245" s="53">
        <f t="shared" si="389"/>
        <v>0</v>
      </c>
      <c r="AX2245" s="53">
        <f t="shared" si="390"/>
        <v>0</v>
      </c>
      <c r="AY2245" s="41" t="s">
        <v>557</v>
      </c>
    </row>
    <row r="2246" spans="1:51" x14ac:dyDescent="0.2">
      <c r="A2246" s="41" t="s">
        <v>677</v>
      </c>
      <c r="B2246" s="41">
        <v>2010</v>
      </c>
      <c r="C2246" s="41" t="s">
        <v>91</v>
      </c>
      <c r="D2246" s="41" t="s">
        <v>398</v>
      </c>
      <c r="E2246" s="41">
        <v>0</v>
      </c>
      <c r="F2246" s="41" t="s">
        <v>678</v>
      </c>
      <c r="G2246" s="53">
        <v>775000</v>
      </c>
      <c r="H2246" s="41">
        <v>1.01</v>
      </c>
      <c r="I2246" s="41">
        <v>4.2300000000000004</v>
      </c>
      <c r="J2246" s="41">
        <v>6</v>
      </c>
      <c r="R2246" s="76">
        <f t="shared" si="392"/>
        <v>27827.66439909297</v>
      </c>
      <c r="S2246" s="53">
        <v>6956.9160997732424</v>
      </c>
      <c r="T2246" s="53">
        <v>2960.098</v>
      </c>
      <c r="U2246" s="53">
        <v>2325</v>
      </c>
      <c r="AH2246" s="53">
        <f t="shared" si="388"/>
        <v>747172.33560090698</v>
      </c>
      <c r="AO2246" s="53">
        <f t="shared" si="389"/>
        <v>782750</v>
      </c>
      <c r="AP2246" s="53">
        <f t="shared" si="389"/>
        <v>3278250.0000000005</v>
      </c>
      <c r="AQ2246" s="53">
        <f t="shared" si="389"/>
        <v>4650000</v>
      </c>
      <c r="AR2246" s="53">
        <f t="shared" si="389"/>
        <v>0</v>
      </c>
      <c r="AS2246" s="53">
        <f t="shared" si="389"/>
        <v>0</v>
      </c>
      <c r="AT2246" s="53">
        <f t="shared" si="389"/>
        <v>0</v>
      </c>
      <c r="AU2246" s="53">
        <f t="shared" si="389"/>
        <v>0</v>
      </c>
      <c r="AV2246" s="53">
        <f t="shared" si="389"/>
        <v>0</v>
      </c>
      <c r="AW2246" s="53">
        <f t="shared" si="389"/>
        <v>0</v>
      </c>
      <c r="AX2246" s="53">
        <f t="shared" si="390"/>
        <v>0</v>
      </c>
      <c r="AY2246" s="41" t="s">
        <v>557</v>
      </c>
    </row>
    <row r="2247" spans="1:51" x14ac:dyDescent="0.2">
      <c r="A2247" s="41" t="s">
        <v>677</v>
      </c>
      <c r="B2247" s="41">
        <v>2011</v>
      </c>
      <c r="C2247" s="41" t="s">
        <v>91</v>
      </c>
      <c r="D2247" s="41" t="s">
        <v>398</v>
      </c>
      <c r="E2247" s="41">
        <v>0</v>
      </c>
      <c r="F2247" s="41" t="s">
        <v>678</v>
      </c>
      <c r="G2247" s="53">
        <v>783000</v>
      </c>
      <c r="H2247" s="41">
        <v>0.93</v>
      </c>
      <c r="I2247" s="41">
        <v>3.94</v>
      </c>
      <c r="J2247" s="47">
        <v>5.8156073222647935</v>
      </c>
      <c r="R2247" s="76">
        <f t="shared" si="392"/>
        <v>23065.75963718821</v>
      </c>
      <c r="S2247" s="53">
        <v>5766.4399092970525</v>
      </c>
      <c r="T2247" s="53">
        <v>2967.0643999999998</v>
      </c>
      <c r="U2247" s="53">
        <v>3415.2154000000005</v>
      </c>
      <c r="AH2247" s="53">
        <f t="shared" si="388"/>
        <v>759934.24036281183</v>
      </c>
      <c r="AO2247" s="53">
        <f t="shared" si="389"/>
        <v>728190</v>
      </c>
      <c r="AP2247" s="53">
        <f t="shared" si="389"/>
        <v>3085020</v>
      </c>
      <c r="AQ2247" s="53">
        <f t="shared" si="389"/>
        <v>4553620.5333333332</v>
      </c>
      <c r="AR2247" s="53">
        <f t="shared" si="389"/>
        <v>0</v>
      </c>
      <c r="AS2247" s="53">
        <f t="shared" si="389"/>
        <v>0</v>
      </c>
      <c r="AT2247" s="53">
        <f t="shared" si="389"/>
        <v>0</v>
      </c>
      <c r="AU2247" s="53">
        <f t="shared" si="389"/>
        <v>0</v>
      </c>
      <c r="AV2247" s="53">
        <f t="shared" si="389"/>
        <v>0</v>
      </c>
      <c r="AW2247" s="53">
        <f t="shared" si="389"/>
        <v>0</v>
      </c>
      <c r="AX2247" s="53">
        <f t="shared" si="390"/>
        <v>0</v>
      </c>
      <c r="AY2247" s="41" t="s">
        <v>557</v>
      </c>
    </row>
    <row r="2248" spans="1:51" x14ac:dyDescent="0.2">
      <c r="A2248" s="41" t="s">
        <v>677</v>
      </c>
      <c r="B2248" s="41">
        <v>2012</v>
      </c>
      <c r="C2248" s="41" t="s">
        <v>91</v>
      </c>
      <c r="D2248" s="41" t="s">
        <v>398</v>
      </c>
      <c r="E2248" s="41">
        <v>0</v>
      </c>
      <c r="F2248" s="41" t="s">
        <v>678</v>
      </c>
      <c r="G2248" s="53">
        <v>778000</v>
      </c>
      <c r="H2248" s="41">
        <v>0.97</v>
      </c>
      <c r="I2248" s="41">
        <v>4.18</v>
      </c>
      <c r="J2248" s="47">
        <v>7.2916308483290493</v>
      </c>
      <c r="R2248" s="76">
        <f t="shared" si="392"/>
        <v>26056.427469835799</v>
      </c>
      <c r="S2248" s="53">
        <v>6514.1068674589496</v>
      </c>
      <c r="T2248" s="53">
        <v>2970.7342000000003</v>
      </c>
      <c r="U2248" s="53">
        <v>4254.6666000000005</v>
      </c>
      <c r="AH2248" s="53">
        <f t="shared" si="388"/>
        <v>751943.57253016415</v>
      </c>
      <c r="AO2248" s="53">
        <f t="shared" si="389"/>
        <v>754660</v>
      </c>
      <c r="AP2248" s="53">
        <f t="shared" si="389"/>
        <v>3252040</v>
      </c>
      <c r="AQ2248" s="53">
        <f t="shared" si="389"/>
        <v>5672888.8000000007</v>
      </c>
      <c r="AR2248" s="53">
        <f t="shared" si="389"/>
        <v>0</v>
      </c>
      <c r="AS2248" s="53">
        <f t="shared" si="389"/>
        <v>0</v>
      </c>
      <c r="AT2248" s="53">
        <f t="shared" si="389"/>
        <v>0</v>
      </c>
      <c r="AU2248" s="53">
        <f t="shared" si="389"/>
        <v>0</v>
      </c>
      <c r="AV2248" s="53">
        <f t="shared" si="389"/>
        <v>0</v>
      </c>
      <c r="AW2248" s="53">
        <f t="shared" si="389"/>
        <v>0</v>
      </c>
      <c r="AX2248" s="53">
        <f t="shared" si="390"/>
        <v>0</v>
      </c>
      <c r="AY2248" s="41" t="s">
        <v>557</v>
      </c>
    </row>
    <row r="2249" spans="1:51" x14ac:dyDescent="0.2">
      <c r="A2249" s="41" t="s">
        <v>677</v>
      </c>
      <c r="B2249" s="41">
        <v>2013</v>
      </c>
      <c r="C2249" s="41" t="s">
        <v>91</v>
      </c>
      <c r="D2249" s="41" t="s">
        <v>398</v>
      </c>
      <c r="E2249" s="41">
        <v>0</v>
      </c>
      <c r="F2249" s="41" t="s">
        <v>678</v>
      </c>
      <c r="G2249" s="53">
        <v>814000</v>
      </c>
      <c r="H2249" s="41">
        <v>0.85</v>
      </c>
      <c r="I2249" s="41">
        <v>4.1399999999999997</v>
      </c>
      <c r="J2249" s="47">
        <v>5.7164398034398038</v>
      </c>
      <c r="R2249" s="76">
        <f t="shared" si="392"/>
        <v>24359.974598566634</v>
      </c>
      <c r="S2249" s="53">
        <v>6089.9936496416585</v>
      </c>
      <c r="T2249" s="53">
        <v>3131.77</v>
      </c>
      <c r="U2249" s="53">
        <v>3489.8865000000001</v>
      </c>
      <c r="AH2249" s="53">
        <f t="shared" si="388"/>
        <v>789640.02540143335</v>
      </c>
      <c r="AO2249" s="53">
        <f t="shared" si="389"/>
        <v>691900</v>
      </c>
      <c r="AP2249" s="53">
        <f t="shared" si="389"/>
        <v>3369959.9999999995</v>
      </c>
      <c r="AQ2249" s="53">
        <f t="shared" si="389"/>
        <v>4653182</v>
      </c>
      <c r="AR2249" s="53">
        <f t="shared" si="389"/>
        <v>0</v>
      </c>
      <c r="AS2249" s="53">
        <f t="shared" si="389"/>
        <v>0</v>
      </c>
      <c r="AT2249" s="53">
        <f t="shared" si="389"/>
        <v>0</v>
      </c>
      <c r="AU2249" s="53">
        <f t="shared" si="389"/>
        <v>0</v>
      </c>
      <c r="AV2249" s="53">
        <f t="shared" si="389"/>
        <v>0</v>
      </c>
      <c r="AW2249" s="53">
        <f t="shared" si="389"/>
        <v>0</v>
      </c>
      <c r="AX2249" s="53">
        <f t="shared" si="390"/>
        <v>0</v>
      </c>
      <c r="AY2249" s="41" t="s">
        <v>557</v>
      </c>
    </row>
    <row r="2250" spans="1:51" x14ac:dyDescent="0.2">
      <c r="A2250" s="41" t="s">
        <v>677</v>
      </c>
      <c r="B2250" s="41">
        <v>2014</v>
      </c>
      <c r="C2250" s="41" t="s">
        <v>91</v>
      </c>
      <c r="D2250" s="41" t="s">
        <v>398</v>
      </c>
      <c r="E2250" s="41">
        <v>0</v>
      </c>
      <c r="F2250" s="41" t="s">
        <v>678</v>
      </c>
      <c r="G2250" s="53">
        <v>772000</v>
      </c>
      <c r="H2250" s="46">
        <v>1.1000000000000001</v>
      </c>
      <c r="I2250" s="41">
        <v>4.25</v>
      </c>
      <c r="J2250" s="47">
        <v>5.3713298791019</v>
      </c>
      <c r="R2250" s="76">
        <f t="shared" si="392"/>
        <v>30844.597659439354</v>
      </c>
      <c r="S2250" s="53">
        <v>7711.1494148598385</v>
      </c>
      <c r="T2250" s="53">
        <v>3079.8330000000001</v>
      </c>
      <c r="U2250" s="53">
        <v>3110</v>
      </c>
      <c r="AH2250" s="53">
        <f t="shared" si="388"/>
        <v>741155.40234056069</v>
      </c>
      <c r="AO2250" s="53">
        <f t="shared" si="389"/>
        <v>849200.00000000012</v>
      </c>
      <c r="AP2250" s="53">
        <f t="shared" si="389"/>
        <v>3281000</v>
      </c>
      <c r="AQ2250" s="53">
        <f t="shared" si="389"/>
        <v>4146666.666666667</v>
      </c>
      <c r="AR2250" s="53">
        <f t="shared" si="389"/>
        <v>0</v>
      </c>
      <c r="AS2250" s="53">
        <f t="shared" si="389"/>
        <v>0</v>
      </c>
      <c r="AT2250" s="53">
        <f t="shared" si="389"/>
        <v>0</v>
      </c>
      <c r="AU2250" s="53">
        <f t="shared" si="389"/>
        <v>0</v>
      </c>
      <c r="AV2250" s="53">
        <f t="shared" si="389"/>
        <v>0</v>
      </c>
      <c r="AW2250" s="53">
        <f t="shared" si="389"/>
        <v>0</v>
      </c>
      <c r="AX2250" s="53">
        <f t="shared" si="390"/>
        <v>0</v>
      </c>
      <c r="AY2250" s="41" t="s">
        <v>557</v>
      </c>
    </row>
    <row r="2251" spans="1:51" x14ac:dyDescent="0.2">
      <c r="A2251" s="41" t="s">
        <v>677</v>
      </c>
      <c r="B2251" s="41">
        <v>2015</v>
      </c>
      <c r="C2251" s="41" t="s">
        <v>91</v>
      </c>
      <c r="D2251" s="41" t="s">
        <v>398</v>
      </c>
      <c r="E2251" s="41">
        <v>0</v>
      </c>
      <c r="F2251" s="41" t="s">
        <v>678</v>
      </c>
      <c r="G2251" s="53">
        <v>723000</v>
      </c>
      <c r="H2251" s="46">
        <v>1</v>
      </c>
      <c r="I2251" s="41">
        <v>4.1900000000000004</v>
      </c>
      <c r="J2251" s="47">
        <v>6.8824343015214389</v>
      </c>
      <c r="R2251" s="76">
        <f t="shared" si="392"/>
        <v>25401.433366597117</v>
      </c>
      <c r="S2251" s="53">
        <v>6350.3583416492793</v>
      </c>
      <c r="T2251" s="53">
        <v>2794.3972000000003</v>
      </c>
      <c r="U2251" s="53">
        <v>3732</v>
      </c>
      <c r="AH2251" s="53">
        <f t="shared" si="388"/>
        <v>697598.56663340284</v>
      </c>
      <c r="AO2251" s="53">
        <f t="shared" si="389"/>
        <v>723000</v>
      </c>
      <c r="AP2251" s="53">
        <f t="shared" si="389"/>
        <v>3029370.0000000005</v>
      </c>
      <c r="AQ2251" s="53">
        <f t="shared" si="389"/>
        <v>4976000</v>
      </c>
      <c r="AR2251" s="53">
        <f t="shared" si="389"/>
        <v>0</v>
      </c>
      <c r="AS2251" s="53">
        <f t="shared" si="389"/>
        <v>0</v>
      </c>
      <c r="AT2251" s="53">
        <f t="shared" si="389"/>
        <v>0</v>
      </c>
      <c r="AU2251" s="53">
        <f t="shared" si="389"/>
        <v>0</v>
      </c>
      <c r="AV2251" s="53">
        <f t="shared" si="389"/>
        <v>0</v>
      </c>
      <c r="AW2251" s="53">
        <f t="shared" si="389"/>
        <v>0</v>
      </c>
      <c r="AX2251" s="53">
        <f t="shared" si="390"/>
        <v>0</v>
      </c>
      <c r="AY2251" s="41" t="s">
        <v>557</v>
      </c>
    </row>
    <row r="2252" spans="1:51" x14ac:dyDescent="0.2">
      <c r="A2252" s="41" t="s">
        <v>677</v>
      </c>
      <c r="B2252" s="41">
        <v>2016</v>
      </c>
      <c r="C2252" s="41" t="s">
        <v>91</v>
      </c>
      <c r="D2252" s="41" t="s">
        <v>398</v>
      </c>
      <c r="E2252" s="41">
        <v>0</v>
      </c>
      <c r="F2252" s="41" t="s">
        <v>678</v>
      </c>
      <c r="G2252" s="53">
        <v>736000</v>
      </c>
      <c r="H2252" s="41">
        <v>1.03</v>
      </c>
      <c r="I2252" s="41">
        <v>4.82</v>
      </c>
      <c r="J2252" s="41">
        <v>6</v>
      </c>
      <c r="R2252" s="76">
        <f t="shared" si="392"/>
        <v>27215.821464211196</v>
      </c>
      <c r="S2252" s="53">
        <v>6803.955366052799</v>
      </c>
      <c r="T2252" s="53">
        <v>3341.6639000000005</v>
      </c>
      <c r="U2252" s="53">
        <v>2208</v>
      </c>
      <c r="AH2252" s="53">
        <f t="shared" si="388"/>
        <v>708784.17853578879</v>
      </c>
      <c r="AO2252" s="53">
        <f t="shared" si="389"/>
        <v>758080</v>
      </c>
      <c r="AP2252" s="53">
        <f t="shared" si="389"/>
        <v>3547520</v>
      </c>
      <c r="AQ2252" s="53">
        <f t="shared" si="389"/>
        <v>4416000</v>
      </c>
      <c r="AR2252" s="53">
        <f t="shared" ref="AR2252:AW2253" si="393">$G2252*K2252</f>
        <v>0</v>
      </c>
      <c r="AS2252" s="53">
        <f t="shared" si="393"/>
        <v>0</v>
      </c>
      <c r="AT2252" s="53">
        <f t="shared" si="393"/>
        <v>0</v>
      </c>
      <c r="AU2252" s="53">
        <f t="shared" si="393"/>
        <v>0</v>
      </c>
      <c r="AV2252" s="53">
        <f t="shared" si="393"/>
        <v>0</v>
      </c>
      <c r="AW2252" s="53">
        <f t="shared" si="393"/>
        <v>0</v>
      </c>
      <c r="AX2252" s="53">
        <f t="shared" si="390"/>
        <v>0</v>
      </c>
      <c r="AY2252" s="41" t="s">
        <v>557</v>
      </c>
    </row>
    <row r="2253" spans="1:51" x14ac:dyDescent="0.2">
      <c r="A2253" s="41" t="s">
        <v>677</v>
      </c>
      <c r="B2253" s="41" t="s">
        <v>679</v>
      </c>
      <c r="C2253" s="41" t="s">
        <v>91</v>
      </c>
      <c r="D2253" s="41" t="s">
        <v>398</v>
      </c>
      <c r="E2253" s="41">
        <v>0</v>
      </c>
      <c r="F2253" s="41" t="s">
        <v>678</v>
      </c>
      <c r="G2253" s="53">
        <v>165000</v>
      </c>
      <c r="H2253" s="41">
        <v>1.04</v>
      </c>
      <c r="I2253" s="41">
        <v>6.46</v>
      </c>
      <c r="J2253" s="58">
        <v>6</v>
      </c>
      <c r="R2253" s="76">
        <f t="shared" si="392"/>
        <v>6168.919531887871</v>
      </c>
      <c r="S2253" s="53">
        <f>3400000/2204.6</f>
        <v>1542.2298829719678</v>
      </c>
      <c r="T2253" s="53">
        <f>28347*31.1/1000</f>
        <v>881.59170000000006</v>
      </c>
      <c r="U2253" s="76">
        <f>0.75*28347*31.1/1000</f>
        <v>661.19377500000007</v>
      </c>
      <c r="AH2253" s="53">
        <f>G2253-R2253-Z2253</f>
        <v>158831.08046811214</v>
      </c>
      <c r="AO2253" s="53">
        <f>$G2253*H2253</f>
        <v>171600</v>
      </c>
      <c r="AP2253" s="53">
        <f>$G2253*I2253</f>
        <v>1065900</v>
      </c>
      <c r="AQ2253" s="53">
        <f>$G2253*J2253</f>
        <v>990000</v>
      </c>
      <c r="AR2253" s="53">
        <f t="shared" si="393"/>
        <v>0</v>
      </c>
      <c r="AS2253" s="53">
        <f t="shared" si="393"/>
        <v>0</v>
      </c>
      <c r="AT2253" s="53">
        <f t="shared" si="393"/>
        <v>0</v>
      </c>
      <c r="AU2253" s="53">
        <f t="shared" si="393"/>
        <v>0</v>
      </c>
      <c r="AV2253" s="53">
        <f t="shared" si="393"/>
        <v>0</v>
      </c>
      <c r="AW2253" s="53">
        <f t="shared" si="393"/>
        <v>0</v>
      </c>
      <c r="AX2253" s="53">
        <f t="shared" si="390"/>
        <v>0</v>
      </c>
      <c r="AY2253" s="41" t="s">
        <v>557</v>
      </c>
    </row>
    <row r="2254" spans="1:51" x14ac:dyDescent="0.2">
      <c r="A2254" s="41" t="s">
        <v>677</v>
      </c>
      <c r="B2254" s="60" t="s">
        <v>559</v>
      </c>
      <c r="C2254" s="60" t="s">
        <v>91</v>
      </c>
      <c r="D2254" s="60" t="s">
        <v>398</v>
      </c>
      <c r="E2254" s="60">
        <v>0</v>
      </c>
      <c r="F2254" s="60" t="s">
        <v>678</v>
      </c>
      <c r="G2254" s="79">
        <f>SUM(G2224:G2253)</f>
        <v>16182872.98</v>
      </c>
      <c r="H2254" s="80">
        <f>AO2254/$G2254</f>
        <v>0.79248338325646295</v>
      </c>
      <c r="I2254" s="80">
        <f>AP2254/$G2254</f>
        <v>5.9394958675625711</v>
      </c>
      <c r="J2254" s="78">
        <f>AQ2254/$G2254</f>
        <v>6.7481435864301025</v>
      </c>
      <c r="L2254" s="80">
        <f>AS2254/$G2254</f>
        <v>0.31882510518228141</v>
      </c>
      <c r="M2254" s="80">
        <f>AT2254/$G2254</f>
        <v>0.2953551990370995</v>
      </c>
      <c r="R2254" s="79">
        <f>SUM(R2224:R2253)</f>
        <v>402455.60122897022</v>
      </c>
      <c r="S2254" s="79">
        <f>SUM(S2224:S2253)</f>
        <v>100613.90030724255</v>
      </c>
      <c r="T2254" s="79">
        <f>SUM(T2224:T2253)</f>
        <v>88398.795500000007</v>
      </c>
      <c r="U2254" s="79">
        <f>SUM(U2224:U2253)</f>
        <v>43635.324974999996</v>
      </c>
      <c r="Y2254" s="79">
        <f>SUM(Y2224:Y2253)</f>
        <v>13344</v>
      </c>
      <c r="Z2254" s="79">
        <f>SUM(Z2224:Z2253)</f>
        <v>70567.5</v>
      </c>
      <c r="AA2254" s="79">
        <f>SUM(AA2224:AA2253)</f>
        <v>14883</v>
      </c>
      <c r="AH2254" s="79">
        <f>SUM(AH2224:AH2253)</f>
        <v>15709849.878771031</v>
      </c>
      <c r="AO2254" s="79">
        <f>SUM(AO2224:AO2253)</f>
        <v>12824657.93</v>
      </c>
      <c r="AP2254" s="79">
        <f t="shared" ref="AP2254:AX2254" si="394">SUM(AP2224:AP2253)</f>
        <v>96118107.189999998</v>
      </c>
      <c r="AQ2254" s="79">
        <f t="shared" si="394"/>
        <v>109204350.51000001</v>
      </c>
      <c r="AR2254" s="79">
        <f t="shared" si="394"/>
        <v>0</v>
      </c>
      <c r="AS2254" s="79">
        <f t="shared" si="394"/>
        <v>5159506.18</v>
      </c>
      <c r="AT2254" s="79">
        <f t="shared" si="394"/>
        <v>4779695.67</v>
      </c>
      <c r="AU2254" s="79">
        <f t="shared" si="394"/>
        <v>0</v>
      </c>
      <c r="AV2254" s="79">
        <f t="shared" si="394"/>
        <v>0</v>
      </c>
      <c r="AW2254" s="79">
        <f t="shared" si="394"/>
        <v>0</v>
      </c>
      <c r="AX2254" s="79">
        <f t="shared" si="394"/>
        <v>0</v>
      </c>
      <c r="AY2254" s="41" t="s">
        <v>557</v>
      </c>
    </row>
    <row r="2255" spans="1:51" x14ac:dyDescent="0.2">
      <c r="A2255" s="41" t="s">
        <v>677</v>
      </c>
      <c r="B2255" s="43" t="s">
        <v>560</v>
      </c>
      <c r="G2255" s="53">
        <f>STDEV(G2224:G2253)</f>
        <v>263944.32030088222</v>
      </c>
      <c r="H2255" s="46">
        <f>STDEV(H2224:H2253)</f>
        <v>0.3569203746582057</v>
      </c>
      <c r="I2255" s="46">
        <f>STDEV(I2224:I2253)</f>
        <v>7.7879921710854294</v>
      </c>
      <c r="J2255" s="47">
        <f>STDEV(J2224:J2253)</f>
        <v>121.72999817523774</v>
      </c>
      <c r="L2255" s="46">
        <f>STDEV(L2224:L2253)</f>
        <v>0.54260650399881638</v>
      </c>
      <c r="M2255" s="46">
        <f>STDEV(M2224:M2253)</f>
        <v>0.38157091560595124</v>
      </c>
      <c r="R2255" s="53">
        <f>STDEV(R2224:R2253)</f>
        <v>9011.1875286695849</v>
      </c>
      <c r="S2255" s="53">
        <f>STDEV(S2224:S2253)</f>
        <v>2252.7968821673962</v>
      </c>
      <c r="T2255" s="53">
        <f>STDEV(T2224:T2253)</f>
        <v>1484.8250723230478</v>
      </c>
      <c r="U2255" s="53">
        <f>STDEV(U2224:U2253)</f>
        <v>1248.3083539404931</v>
      </c>
      <c r="Y2255" s="53">
        <f>STDEV(Y2224:Y2253)</f>
        <v>946.20155240719066</v>
      </c>
      <c r="Z2255" s="53">
        <f>STDEV(Z2224:Z2253)</f>
        <v>5013.2495352593187</v>
      </c>
      <c r="AA2255" s="53">
        <f>STDEV(AA2224:AA2253)</f>
        <v>1156.0389314859217</v>
      </c>
      <c r="AH2255" s="53">
        <f>STDEV(AH2224:AH2253)</f>
        <v>257427.80508695074</v>
      </c>
      <c r="AY2255" s="41" t="s">
        <v>557</v>
      </c>
    </row>
    <row r="2256" spans="1:51" x14ac:dyDescent="0.2">
      <c r="A2256" s="41" t="s">
        <v>677</v>
      </c>
      <c r="B2256" s="81" t="s">
        <v>249</v>
      </c>
      <c r="G2256" s="41">
        <f>COUNT(G2224:G2253)</f>
        <v>30</v>
      </c>
      <c r="H2256" s="41">
        <f>COUNT(H2224:H2253)</f>
        <v>26</v>
      </c>
      <c r="I2256" s="41">
        <f>COUNT(I2224:I2253)</f>
        <v>30</v>
      </c>
      <c r="J2256" s="41">
        <f>COUNT(J2224:J2253)</f>
        <v>27</v>
      </c>
      <c r="L2256" s="41">
        <f>COUNT(L2224:L2253)</f>
        <v>11</v>
      </c>
      <c r="M2256" s="41">
        <f>COUNT(M2224:M2253)</f>
        <v>11</v>
      </c>
      <c r="R2256" s="41">
        <f>COUNT(R2224:R2253)</f>
        <v>26</v>
      </c>
      <c r="S2256" s="41">
        <f>COUNT(S2224:S2253)</f>
        <v>26</v>
      </c>
      <c r="T2256" s="41">
        <f>COUNT(T2224:T2253)</f>
        <v>30</v>
      </c>
      <c r="U2256" s="41">
        <f>COUNT(U2224:U2253)</f>
        <v>27</v>
      </c>
      <c r="Y2256" s="41">
        <f>COUNT(Y2224:Y2253)</f>
        <v>10</v>
      </c>
      <c r="Z2256" s="41">
        <f>COUNT(Z2224:Z2253)</f>
        <v>10</v>
      </c>
      <c r="AA2256" s="41">
        <f>COUNT(AA2224:AA2253)</f>
        <v>10</v>
      </c>
      <c r="AH2256" s="41">
        <f>COUNT(AH2224:AH2253)</f>
        <v>30</v>
      </c>
      <c r="AY2256" s="41" t="s">
        <v>557</v>
      </c>
    </row>
    <row r="2257" spans="1:51" x14ac:dyDescent="0.2">
      <c r="A2257" s="82"/>
      <c r="B2257" s="82"/>
      <c r="C2257" s="82"/>
      <c r="D2257" s="82"/>
      <c r="E2257" s="82"/>
      <c r="F2257" s="82"/>
      <c r="G2257" s="82"/>
      <c r="H2257" s="82"/>
      <c r="I2257" s="82"/>
      <c r="J2257" s="82"/>
      <c r="K2257" s="82"/>
      <c r="L2257" s="82"/>
      <c r="M2257" s="82"/>
      <c r="N2257" s="82"/>
      <c r="O2257" s="82"/>
      <c r="P2257" s="82"/>
      <c r="Q2257" s="82"/>
      <c r="R2257" s="82"/>
      <c r="S2257" s="82"/>
      <c r="T2257" s="82"/>
      <c r="U2257" s="82"/>
      <c r="V2257" s="82"/>
      <c r="W2257" s="82"/>
      <c r="X2257" s="82"/>
      <c r="Y2257" s="82"/>
      <c r="Z2257" s="82"/>
      <c r="AA2257" s="82"/>
      <c r="AB2257" s="82"/>
      <c r="AC2257" s="82"/>
      <c r="AD2257" s="82"/>
      <c r="AE2257" s="82"/>
      <c r="AF2257" s="82"/>
      <c r="AG2257" s="82"/>
      <c r="AH2257" s="82"/>
      <c r="AI2257" s="82"/>
      <c r="AJ2257" s="82"/>
      <c r="AK2257" s="82"/>
      <c r="AL2257" s="82"/>
      <c r="AM2257" s="82"/>
      <c r="AN2257" s="82"/>
      <c r="AO2257" s="82"/>
      <c r="AP2257" s="82"/>
      <c r="AQ2257" s="82"/>
      <c r="AR2257" s="82"/>
      <c r="AS2257" s="82"/>
      <c r="AT2257" s="82"/>
      <c r="AU2257" s="82"/>
      <c r="AV2257" s="82"/>
      <c r="AW2257" s="82"/>
      <c r="AX2257" s="82"/>
      <c r="AY2257" s="41" t="s">
        <v>557</v>
      </c>
    </row>
    <row r="2258" spans="1:51" x14ac:dyDescent="0.2">
      <c r="A2258" s="41" t="s">
        <v>191</v>
      </c>
      <c r="B2258" s="41">
        <v>2008</v>
      </c>
      <c r="C2258" s="41" t="s">
        <v>87</v>
      </c>
      <c r="D2258" s="41" t="s">
        <v>88</v>
      </c>
      <c r="E2258" s="41">
        <v>100</v>
      </c>
      <c r="F2258" s="41" t="s">
        <v>556</v>
      </c>
      <c r="G2258" s="53">
        <v>6859716</v>
      </c>
      <c r="H2258" s="46">
        <v>0.6</v>
      </c>
      <c r="I2258" s="41">
        <v>0.36</v>
      </c>
      <c r="J2258" s="41">
        <v>2.87</v>
      </c>
      <c r="R2258" s="53">
        <v>100899</v>
      </c>
      <c r="S2258" s="53">
        <v>24929</v>
      </c>
      <c r="T2258" s="53">
        <v>785.61710000000005</v>
      </c>
      <c r="U2258" s="53">
        <v>4965.923600000001</v>
      </c>
      <c r="AM2258" s="53">
        <v>12011329</v>
      </c>
      <c r="AO2258" s="53">
        <f t="shared" ref="AO2258:AW2264" si="395">$G2258*H2258</f>
        <v>4115829.5999999996</v>
      </c>
      <c r="AP2258" s="53">
        <f t="shared" si="395"/>
        <v>2469497.7599999998</v>
      </c>
      <c r="AQ2258" s="53">
        <f t="shared" si="395"/>
        <v>19687384.920000002</v>
      </c>
      <c r="AR2258" s="53">
        <f t="shared" si="395"/>
        <v>0</v>
      </c>
      <c r="AS2258" s="53">
        <f t="shared" si="395"/>
        <v>0</v>
      </c>
      <c r="AT2258" s="53">
        <f t="shared" si="395"/>
        <v>0</v>
      </c>
      <c r="AU2258" s="53">
        <f t="shared" si="395"/>
        <v>0</v>
      </c>
      <c r="AV2258" s="53">
        <f t="shared" si="395"/>
        <v>0</v>
      </c>
      <c r="AW2258" s="53">
        <f t="shared" si="395"/>
        <v>0</v>
      </c>
      <c r="AX2258" s="53">
        <f t="shared" ref="AX2258:AX2264" si="396">$G2258*E2258</f>
        <v>685971600</v>
      </c>
      <c r="AY2258" s="41" t="s">
        <v>557</v>
      </c>
    </row>
    <row r="2259" spans="1:51" x14ac:dyDescent="0.2">
      <c r="A2259" s="41" t="s">
        <v>191</v>
      </c>
      <c r="B2259" s="41">
        <v>2009</v>
      </c>
      <c r="C2259" s="41" t="s">
        <v>87</v>
      </c>
      <c r="D2259" s="41" t="s">
        <v>88</v>
      </c>
      <c r="E2259" s="41">
        <v>100</v>
      </c>
      <c r="F2259" s="41" t="s">
        <v>556</v>
      </c>
      <c r="G2259" s="53">
        <v>11025914</v>
      </c>
      <c r="H2259" s="41">
        <v>0.77</v>
      </c>
      <c r="I2259" s="41">
        <v>0.33</v>
      </c>
      <c r="J2259" s="41">
        <v>4.05</v>
      </c>
      <c r="R2259" s="53">
        <v>227603</v>
      </c>
      <c r="S2259" s="53">
        <v>54019</v>
      </c>
      <c r="T2259" s="53">
        <v>1340.3789000000002</v>
      </c>
      <c r="U2259" s="53">
        <v>13693.516600000001</v>
      </c>
      <c r="AM2259" s="53">
        <v>18974086</v>
      </c>
      <c r="AO2259" s="53">
        <f t="shared" si="395"/>
        <v>8489953.7799999993</v>
      </c>
      <c r="AP2259" s="53">
        <f t="shared" si="395"/>
        <v>3638551.62</v>
      </c>
      <c r="AQ2259" s="53">
        <f t="shared" si="395"/>
        <v>44654951.699999996</v>
      </c>
      <c r="AR2259" s="53">
        <f t="shared" si="395"/>
        <v>0</v>
      </c>
      <c r="AS2259" s="53">
        <f t="shared" si="395"/>
        <v>0</v>
      </c>
      <c r="AT2259" s="53">
        <f t="shared" si="395"/>
        <v>0</v>
      </c>
      <c r="AU2259" s="53">
        <f t="shared" si="395"/>
        <v>0</v>
      </c>
      <c r="AV2259" s="53">
        <f t="shared" si="395"/>
        <v>0</v>
      </c>
      <c r="AW2259" s="53">
        <f t="shared" si="395"/>
        <v>0</v>
      </c>
      <c r="AX2259" s="53">
        <f t="shared" si="396"/>
        <v>1102591400</v>
      </c>
      <c r="AY2259" s="41" t="s">
        <v>557</v>
      </c>
    </row>
    <row r="2260" spans="1:51" x14ac:dyDescent="0.2">
      <c r="A2260" s="41" t="s">
        <v>191</v>
      </c>
      <c r="B2260" s="41">
        <v>2010</v>
      </c>
      <c r="C2260" s="41" t="s">
        <v>87</v>
      </c>
      <c r="D2260" s="41" t="s">
        <v>88</v>
      </c>
      <c r="E2260" s="41">
        <v>100</v>
      </c>
      <c r="F2260" s="41" t="s">
        <v>556</v>
      </c>
      <c r="G2260" s="53">
        <v>12856720</v>
      </c>
      <c r="H2260" s="41">
        <v>0.75</v>
      </c>
      <c r="I2260" s="41">
        <v>0.33</v>
      </c>
      <c r="J2260" s="41">
        <v>3.79</v>
      </c>
      <c r="R2260" s="53">
        <v>274907</v>
      </c>
      <c r="S2260" s="53">
        <v>67806</v>
      </c>
      <c r="T2260" s="53">
        <v>1808.5272000000002</v>
      </c>
      <c r="U2260" s="53">
        <v>17745.348999999998</v>
      </c>
      <c r="AM2260" s="53">
        <v>17143280</v>
      </c>
      <c r="AO2260" s="53">
        <f t="shared" si="395"/>
        <v>9642540</v>
      </c>
      <c r="AP2260" s="53">
        <f t="shared" si="395"/>
        <v>4242717.6000000006</v>
      </c>
      <c r="AQ2260" s="53">
        <f t="shared" si="395"/>
        <v>48726968.799999997</v>
      </c>
      <c r="AR2260" s="53">
        <f t="shared" si="395"/>
        <v>0</v>
      </c>
      <c r="AS2260" s="53">
        <f t="shared" si="395"/>
        <v>0</v>
      </c>
      <c r="AT2260" s="53">
        <f t="shared" si="395"/>
        <v>0</v>
      </c>
      <c r="AU2260" s="53">
        <f t="shared" si="395"/>
        <v>0</v>
      </c>
      <c r="AV2260" s="53">
        <f t="shared" si="395"/>
        <v>0</v>
      </c>
      <c r="AW2260" s="53">
        <f t="shared" si="395"/>
        <v>0</v>
      </c>
      <c r="AX2260" s="53">
        <f t="shared" si="396"/>
        <v>1285672000</v>
      </c>
      <c r="AY2260" s="41" t="s">
        <v>557</v>
      </c>
    </row>
    <row r="2261" spans="1:51" x14ac:dyDescent="0.2">
      <c r="A2261" s="41" t="s">
        <v>191</v>
      </c>
      <c r="B2261" s="41">
        <v>2011</v>
      </c>
      <c r="C2261" s="41" t="s">
        <v>87</v>
      </c>
      <c r="D2261" s="41" t="s">
        <v>88</v>
      </c>
      <c r="E2261" s="41">
        <v>100</v>
      </c>
      <c r="F2261" s="41" t="s">
        <v>556</v>
      </c>
      <c r="G2261" s="53">
        <v>13119382</v>
      </c>
      <c r="H2261" s="41">
        <v>0.65</v>
      </c>
      <c r="I2261" s="41">
        <v>0.32</v>
      </c>
      <c r="J2261" s="46">
        <v>4.0999999999999996</v>
      </c>
      <c r="R2261" s="53">
        <v>250154</v>
      </c>
      <c r="S2261" s="53">
        <v>59897</v>
      </c>
      <c r="T2261" s="53">
        <v>1666.6489999999999</v>
      </c>
      <c r="U2261" s="53">
        <v>16735.6253</v>
      </c>
      <c r="AM2261" s="53">
        <v>16880618</v>
      </c>
      <c r="AO2261" s="53">
        <f t="shared" si="395"/>
        <v>8527598.3000000007</v>
      </c>
      <c r="AP2261" s="53">
        <f t="shared" si="395"/>
        <v>4198202.24</v>
      </c>
      <c r="AQ2261" s="53">
        <f t="shared" si="395"/>
        <v>53789466.199999996</v>
      </c>
      <c r="AR2261" s="53">
        <f t="shared" si="395"/>
        <v>0</v>
      </c>
      <c r="AS2261" s="53">
        <f t="shared" si="395"/>
        <v>0</v>
      </c>
      <c r="AT2261" s="53">
        <f t="shared" si="395"/>
        <v>0</v>
      </c>
      <c r="AU2261" s="53">
        <f t="shared" si="395"/>
        <v>0</v>
      </c>
      <c r="AV2261" s="53">
        <f t="shared" si="395"/>
        <v>0</v>
      </c>
      <c r="AW2261" s="53">
        <f t="shared" si="395"/>
        <v>0</v>
      </c>
      <c r="AX2261" s="53">
        <f t="shared" si="396"/>
        <v>1311938200</v>
      </c>
      <c r="AY2261" s="41" t="s">
        <v>557</v>
      </c>
    </row>
    <row r="2262" spans="1:51" x14ac:dyDescent="0.2">
      <c r="A2262" s="41" t="s">
        <v>191</v>
      </c>
      <c r="B2262" s="41">
        <v>2012</v>
      </c>
      <c r="C2262" s="41" t="s">
        <v>87</v>
      </c>
      <c r="D2262" s="41" t="s">
        <v>88</v>
      </c>
      <c r="E2262" s="41">
        <v>100</v>
      </c>
      <c r="F2262" s="41" t="s">
        <v>556</v>
      </c>
      <c r="G2262" s="53">
        <v>15151624</v>
      </c>
      <c r="H2262" s="41">
        <v>0.57999999999999996</v>
      </c>
      <c r="I2262" s="41">
        <v>0.28999999999999998</v>
      </c>
      <c r="J2262" s="41">
        <v>2.57</v>
      </c>
      <c r="R2262" s="53">
        <v>267383</v>
      </c>
      <c r="S2262" s="53">
        <v>63285</v>
      </c>
      <c r="T2262" s="53">
        <v>1850.9476000000002</v>
      </c>
      <c r="U2262" s="53">
        <v>14615.289500000001</v>
      </c>
      <c r="AM2262" s="53">
        <v>19848376</v>
      </c>
      <c r="AO2262" s="53">
        <f t="shared" si="395"/>
        <v>8787941.9199999999</v>
      </c>
      <c r="AP2262" s="53">
        <f t="shared" si="395"/>
        <v>4393970.96</v>
      </c>
      <c r="AQ2262" s="53">
        <f t="shared" si="395"/>
        <v>38939673.68</v>
      </c>
      <c r="AR2262" s="53">
        <f t="shared" si="395"/>
        <v>0</v>
      </c>
      <c r="AS2262" s="53">
        <f t="shared" si="395"/>
        <v>0</v>
      </c>
      <c r="AT2262" s="53">
        <f t="shared" si="395"/>
        <v>0</v>
      </c>
      <c r="AU2262" s="53">
        <f t="shared" si="395"/>
        <v>0</v>
      </c>
      <c r="AV2262" s="53">
        <f t="shared" si="395"/>
        <v>0</v>
      </c>
      <c r="AW2262" s="53">
        <f t="shared" si="395"/>
        <v>0</v>
      </c>
      <c r="AX2262" s="53">
        <f t="shared" si="396"/>
        <v>1515162400</v>
      </c>
      <c r="AY2262" s="41" t="s">
        <v>557</v>
      </c>
    </row>
    <row r="2263" spans="1:51" x14ac:dyDescent="0.2">
      <c r="A2263" s="41" t="s">
        <v>191</v>
      </c>
      <c r="B2263" s="41">
        <v>2013</v>
      </c>
      <c r="C2263" s="41" t="s">
        <v>87</v>
      </c>
      <c r="D2263" s="41" t="s">
        <v>88</v>
      </c>
      <c r="E2263" s="41">
        <v>100</v>
      </c>
      <c r="F2263" s="41" t="s">
        <v>556</v>
      </c>
      <c r="G2263" s="53">
        <v>18286148</v>
      </c>
      <c r="H2263" s="41">
        <v>0.49</v>
      </c>
      <c r="I2263" s="41">
        <v>0.26</v>
      </c>
      <c r="J2263" s="41">
        <v>1.53</v>
      </c>
      <c r="R2263" s="53">
        <v>283818</v>
      </c>
      <c r="S2263" s="53">
        <v>64885</v>
      </c>
      <c r="T2263" s="53">
        <v>2215.0353000000005</v>
      </c>
      <c r="U2263" s="53">
        <v>9882.1494000000002</v>
      </c>
      <c r="AM2263" s="53">
        <v>24713852</v>
      </c>
      <c r="AO2263" s="53">
        <f t="shared" si="395"/>
        <v>8960212.5199999996</v>
      </c>
      <c r="AP2263" s="53">
        <f t="shared" si="395"/>
        <v>4754398.4800000004</v>
      </c>
      <c r="AQ2263" s="53">
        <f t="shared" si="395"/>
        <v>27977806.440000001</v>
      </c>
      <c r="AR2263" s="53">
        <f t="shared" si="395"/>
        <v>0</v>
      </c>
      <c r="AS2263" s="53">
        <f t="shared" si="395"/>
        <v>0</v>
      </c>
      <c r="AT2263" s="53">
        <f t="shared" si="395"/>
        <v>0</v>
      </c>
      <c r="AU2263" s="53">
        <f t="shared" si="395"/>
        <v>0</v>
      </c>
      <c r="AV2263" s="53">
        <f t="shared" si="395"/>
        <v>0</v>
      </c>
      <c r="AW2263" s="53">
        <f t="shared" si="395"/>
        <v>0</v>
      </c>
      <c r="AX2263" s="53">
        <f t="shared" si="396"/>
        <v>1828614800</v>
      </c>
      <c r="AY2263" s="41" t="s">
        <v>557</v>
      </c>
    </row>
    <row r="2264" spans="1:51" x14ac:dyDescent="0.2">
      <c r="A2264" s="41" t="s">
        <v>191</v>
      </c>
      <c r="B2264" s="41">
        <v>2014</v>
      </c>
      <c r="C2264" s="41" t="s">
        <v>87</v>
      </c>
      <c r="D2264" s="41" t="s">
        <v>88</v>
      </c>
      <c r="E2264" s="41">
        <v>100</v>
      </c>
      <c r="F2264" s="41" t="s">
        <v>556</v>
      </c>
      <c r="G2264" s="53">
        <v>18639887</v>
      </c>
      <c r="H2264" s="46">
        <v>0.5</v>
      </c>
      <c r="I2264" s="41">
        <v>0.22</v>
      </c>
      <c r="J2264" s="41">
        <v>1.49</v>
      </c>
      <c r="R2264" s="53">
        <v>311173</v>
      </c>
      <c r="S2264" s="53">
        <v>71155</v>
      </c>
      <c r="T2264" s="53">
        <v>2109.1087000000002</v>
      </c>
      <c r="U2264" s="53">
        <v>11595.6661</v>
      </c>
      <c r="AM2264" s="53">
        <v>33660113</v>
      </c>
      <c r="AO2264" s="53">
        <f t="shared" si="395"/>
        <v>9319943.5</v>
      </c>
      <c r="AP2264" s="53">
        <f t="shared" si="395"/>
        <v>4100775.14</v>
      </c>
      <c r="AQ2264" s="53">
        <f t="shared" si="395"/>
        <v>27773431.629999999</v>
      </c>
      <c r="AR2264" s="53">
        <f t="shared" si="395"/>
        <v>0</v>
      </c>
      <c r="AS2264" s="53">
        <f t="shared" si="395"/>
        <v>0</v>
      </c>
      <c r="AT2264" s="53">
        <f t="shared" si="395"/>
        <v>0</v>
      </c>
      <c r="AU2264" s="53">
        <f t="shared" si="395"/>
        <v>0</v>
      </c>
      <c r="AV2264" s="53">
        <f t="shared" si="395"/>
        <v>0</v>
      </c>
      <c r="AW2264" s="53">
        <f t="shared" si="395"/>
        <v>0</v>
      </c>
      <c r="AX2264" s="53">
        <f t="shared" si="396"/>
        <v>1863988700</v>
      </c>
      <c r="AY2264" s="41" t="s">
        <v>557</v>
      </c>
    </row>
    <row r="2265" spans="1:51" x14ac:dyDescent="0.2">
      <c r="A2265" s="41" t="s">
        <v>191</v>
      </c>
      <c r="B2265" s="60" t="s">
        <v>559</v>
      </c>
      <c r="C2265" s="60" t="s">
        <v>87</v>
      </c>
      <c r="D2265" s="60" t="s">
        <v>88</v>
      </c>
      <c r="E2265" s="60">
        <v>100</v>
      </c>
      <c r="F2265" s="60" t="s">
        <v>556</v>
      </c>
      <c r="G2265" s="79">
        <f>SUM(G2258:G2264)</f>
        <v>95939391</v>
      </c>
      <c r="H2265" s="80">
        <f>AO2265/$G2265</f>
        <v>0.60292252240792321</v>
      </c>
      <c r="I2265" s="80">
        <f>AP2265/$G2265</f>
        <v>0.28974661513121341</v>
      </c>
      <c r="J2265" s="80">
        <f>AQ2265/$G2265</f>
        <v>2.7261970358973819</v>
      </c>
      <c r="R2265" s="79">
        <f>SUM(R2258:R2264)</f>
        <v>1715937</v>
      </c>
      <c r="S2265" s="79">
        <f>SUM(S2258:S2264)</f>
        <v>405976</v>
      </c>
      <c r="T2265" s="79">
        <f>SUM(T2258:T2264)</f>
        <v>11776.263800000002</v>
      </c>
      <c r="U2265" s="79">
        <f>SUM(U2258:U2264)</f>
        <v>89233.519499999995</v>
      </c>
      <c r="AM2265" s="79">
        <f>SUM(AM2258:AM2264)</f>
        <v>143231654</v>
      </c>
      <c r="AO2265" s="79">
        <f t="shared" ref="AO2265:AX2265" si="397">SUM(AO2258:AO2264)</f>
        <v>57844019.620000005</v>
      </c>
      <c r="AP2265" s="79">
        <f t="shared" si="397"/>
        <v>27798113.800000001</v>
      </c>
      <c r="AQ2265" s="79">
        <f t="shared" si="397"/>
        <v>261549683.36999997</v>
      </c>
      <c r="AR2265" s="79">
        <f t="shared" si="397"/>
        <v>0</v>
      </c>
      <c r="AS2265" s="79">
        <f t="shared" si="397"/>
        <v>0</v>
      </c>
      <c r="AT2265" s="79">
        <f t="shared" si="397"/>
        <v>0</v>
      </c>
      <c r="AU2265" s="79">
        <f t="shared" si="397"/>
        <v>0</v>
      </c>
      <c r="AV2265" s="79">
        <f t="shared" si="397"/>
        <v>0</v>
      </c>
      <c r="AW2265" s="79">
        <f t="shared" si="397"/>
        <v>0</v>
      </c>
      <c r="AX2265" s="79">
        <f t="shared" si="397"/>
        <v>9593939100</v>
      </c>
      <c r="AY2265" s="41" t="s">
        <v>557</v>
      </c>
    </row>
    <row r="2266" spans="1:51" x14ac:dyDescent="0.2">
      <c r="A2266" s="41" t="s">
        <v>191</v>
      </c>
      <c r="B2266" s="43" t="s">
        <v>560</v>
      </c>
      <c r="G2266" s="53">
        <f>STDEV(G2258:G2264)</f>
        <v>4133817.5895091915</v>
      </c>
      <c r="H2266" s="46">
        <f>STDEV(H2258:H2264)</f>
        <v>0.11075498483890792</v>
      </c>
      <c r="I2266" s="46">
        <f>STDEV(I2258:I2264)</f>
        <v>4.8107023544235801E-2</v>
      </c>
      <c r="J2266" s="46">
        <f>STDEV(J2258:J2264)</f>
        <v>1.1201169156663549</v>
      </c>
      <c r="R2266" s="53">
        <f>STDEV(R2258:R2264)</f>
        <v>68769.32757760676</v>
      </c>
      <c r="S2266" s="53">
        <f>STDEV(S2258:S2264)</f>
        <v>15586.768104786224</v>
      </c>
      <c r="T2266" s="53">
        <f>STDEV(T2258:T2264)</f>
        <v>488.45728182600146</v>
      </c>
      <c r="U2266" s="53">
        <f>STDEV(U2258:U2264)</f>
        <v>4384.7673745546017</v>
      </c>
      <c r="AM2266" s="53">
        <f>STDEV(AM2258:AM2264)</f>
        <v>6953570.949612448</v>
      </c>
      <c r="AY2266" s="41" t="s">
        <v>557</v>
      </c>
    </row>
    <row r="2267" spans="1:51" x14ac:dyDescent="0.2">
      <c r="A2267" s="41" t="s">
        <v>191</v>
      </c>
      <c r="B2267" s="81" t="s">
        <v>249</v>
      </c>
      <c r="G2267" s="41">
        <f>COUNT(G2258:G2264)</f>
        <v>7</v>
      </c>
      <c r="H2267" s="41">
        <f>COUNT(H2258:H2264)</f>
        <v>7</v>
      </c>
      <c r="I2267" s="41">
        <f>COUNT(I2258:I2264)</f>
        <v>7</v>
      </c>
      <c r="J2267" s="41">
        <f>COUNT(J2258:J2264)</f>
        <v>7</v>
      </c>
      <c r="R2267" s="41">
        <f>COUNT(R2258:R2264)</f>
        <v>7</v>
      </c>
      <c r="S2267" s="41">
        <f>COUNT(S2258:S2264)</f>
        <v>7</v>
      </c>
      <c r="T2267" s="41">
        <f>COUNT(T2258:T2264)</f>
        <v>7</v>
      </c>
      <c r="U2267" s="41">
        <f>COUNT(U2258:U2264)</f>
        <v>7</v>
      </c>
      <c r="AM2267" s="41">
        <f>COUNT(AM2258:AM2264)</f>
        <v>7</v>
      </c>
      <c r="AY2267" s="41" t="s">
        <v>557</v>
      </c>
    </row>
    <row r="2268" spans="1:51" x14ac:dyDescent="0.2">
      <c r="A2268" s="82"/>
      <c r="B2268" s="82"/>
      <c r="C2268" s="82"/>
      <c r="D2268" s="82"/>
      <c r="E2268" s="82"/>
      <c r="F2268" s="82"/>
      <c r="G2268" s="82"/>
      <c r="H2268" s="82"/>
      <c r="I2268" s="82"/>
      <c r="J2268" s="82"/>
      <c r="K2268" s="82"/>
      <c r="L2268" s="82"/>
      <c r="M2268" s="82"/>
      <c r="N2268" s="82"/>
      <c r="O2268" s="82"/>
      <c r="P2268" s="82"/>
      <c r="Q2268" s="82"/>
      <c r="R2268" s="82"/>
      <c r="S2268" s="82"/>
      <c r="T2268" s="82"/>
      <c r="U2268" s="82"/>
      <c r="V2268" s="82"/>
      <c r="W2268" s="82"/>
      <c r="X2268" s="82"/>
      <c r="Y2268" s="82"/>
      <c r="Z2268" s="82"/>
      <c r="AA2268" s="82"/>
      <c r="AB2268" s="82"/>
      <c r="AC2268" s="82"/>
      <c r="AD2268" s="82"/>
      <c r="AE2268" s="82"/>
      <c r="AF2268" s="82"/>
      <c r="AG2268" s="82"/>
      <c r="AH2268" s="82"/>
      <c r="AI2268" s="82"/>
      <c r="AJ2268" s="82"/>
      <c r="AK2268" s="82"/>
      <c r="AL2268" s="82"/>
      <c r="AM2268" s="82"/>
      <c r="AN2268" s="82"/>
      <c r="AO2268" s="82"/>
      <c r="AP2268" s="82"/>
      <c r="AQ2268" s="82"/>
      <c r="AR2268" s="82"/>
      <c r="AS2268" s="82"/>
      <c r="AT2268" s="82"/>
      <c r="AU2268" s="82"/>
      <c r="AV2268" s="82"/>
      <c r="AW2268" s="82"/>
      <c r="AX2268" s="82"/>
      <c r="AY2268" s="41" t="s">
        <v>557</v>
      </c>
    </row>
    <row r="2269" spans="1:51" x14ac:dyDescent="0.2">
      <c r="A2269" s="41" t="s">
        <v>449</v>
      </c>
      <c r="B2269" s="41">
        <v>1998</v>
      </c>
      <c r="C2269" s="41" t="s">
        <v>87</v>
      </c>
      <c r="D2269" s="41" t="s">
        <v>656</v>
      </c>
      <c r="E2269" s="41">
        <v>100</v>
      </c>
      <c r="F2269" s="41" t="s">
        <v>390</v>
      </c>
      <c r="G2269" s="76">
        <f>1000*T2269/I2269/0.7</f>
        <v>1169691.4285714286</v>
      </c>
      <c r="I2269" s="56">
        <f>0.063*31.1/0.9072</f>
        <v>2.1597222222222223</v>
      </c>
      <c r="T2269" s="53">
        <f>56860*31.1/1000</f>
        <v>1768.346</v>
      </c>
      <c r="AM2269" s="76">
        <f>4*G2269</f>
        <v>4678765.7142857146</v>
      </c>
      <c r="AO2269" s="53">
        <f t="shared" ref="AO2269:AW2287" si="398">$G2269*H2269</f>
        <v>0</v>
      </c>
      <c r="AP2269" s="53">
        <f t="shared" si="398"/>
        <v>2526208.5714285718</v>
      </c>
      <c r="AQ2269" s="53">
        <f t="shared" si="398"/>
        <v>0</v>
      </c>
      <c r="AR2269" s="53">
        <f t="shared" si="398"/>
        <v>0</v>
      </c>
      <c r="AS2269" s="53">
        <f t="shared" si="398"/>
        <v>0</v>
      </c>
      <c r="AT2269" s="53">
        <f t="shared" si="398"/>
        <v>0</v>
      </c>
      <c r="AU2269" s="53">
        <f t="shared" si="398"/>
        <v>0</v>
      </c>
      <c r="AV2269" s="53">
        <f t="shared" si="398"/>
        <v>0</v>
      </c>
      <c r="AW2269" s="53">
        <f t="shared" si="398"/>
        <v>0</v>
      </c>
      <c r="AX2269" s="53">
        <f t="shared" si="390"/>
        <v>116969142.85714287</v>
      </c>
      <c r="AY2269" s="41" t="s">
        <v>557</v>
      </c>
    </row>
    <row r="2270" spans="1:51" x14ac:dyDescent="0.2">
      <c r="A2270" s="41" t="s">
        <v>449</v>
      </c>
      <c r="B2270" s="41">
        <v>1999</v>
      </c>
      <c r="C2270" s="41" t="s">
        <v>87</v>
      </c>
      <c r="D2270" s="41" t="s">
        <v>656</v>
      </c>
      <c r="E2270" s="41">
        <v>100</v>
      </c>
      <c r="F2270" s="41" t="s">
        <v>390</v>
      </c>
      <c r="G2270" s="53">
        <f>8140000*0.9072</f>
        <v>7384608</v>
      </c>
      <c r="I2270" s="46">
        <f>0.12*31.1/0.9072</f>
        <v>4.1137566137566139</v>
      </c>
      <c r="T2270" s="53">
        <f>837407*31.1/1000</f>
        <v>26043.357700000004</v>
      </c>
      <c r="AM2270" s="53">
        <f>(21591000-8140000)*0.9072</f>
        <v>12202747.199999999</v>
      </c>
      <c r="AO2270" s="53">
        <f t="shared" si="398"/>
        <v>0</v>
      </c>
      <c r="AP2270" s="53">
        <f t="shared" si="398"/>
        <v>30378480</v>
      </c>
      <c r="AQ2270" s="53">
        <f t="shared" si="398"/>
        <v>0</v>
      </c>
      <c r="AR2270" s="53">
        <f t="shared" si="398"/>
        <v>0</v>
      </c>
      <c r="AS2270" s="53">
        <f t="shared" si="398"/>
        <v>0</v>
      </c>
      <c r="AT2270" s="53">
        <f t="shared" si="398"/>
        <v>0</v>
      </c>
      <c r="AU2270" s="53">
        <f t="shared" si="398"/>
        <v>0</v>
      </c>
      <c r="AV2270" s="53">
        <f t="shared" si="398"/>
        <v>0</v>
      </c>
      <c r="AW2270" s="53">
        <f t="shared" si="398"/>
        <v>0</v>
      </c>
      <c r="AX2270" s="53">
        <f t="shared" si="390"/>
        <v>738460800</v>
      </c>
      <c r="AY2270" s="41" t="s">
        <v>557</v>
      </c>
    </row>
    <row r="2271" spans="1:51" x14ac:dyDescent="0.2">
      <c r="A2271" s="41" t="s">
        <v>449</v>
      </c>
      <c r="B2271" s="41">
        <v>2000</v>
      </c>
      <c r="C2271" s="41" t="s">
        <v>87</v>
      </c>
      <c r="D2271" s="41" t="s">
        <v>656</v>
      </c>
      <c r="E2271" s="41">
        <v>100</v>
      </c>
      <c r="F2271" s="41" t="s">
        <v>390</v>
      </c>
      <c r="G2271" s="53">
        <f>9654000*0.9072</f>
        <v>8758108.8000000007</v>
      </c>
      <c r="I2271" s="46">
        <f>0.1*31.1/0.9072</f>
        <v>3.428130511463845</v>
      </c>
      <c r="T2271" s="53">
        <f>821614*31.1/1000</f>
        <v>25552.195400000001</v>
      </c>
      <c r="AM2271" s="53">
        <f>(30712000-9654000)*0.9072</f>
        <v>19103817.600000001</v>
      </c>
      <c r="AO2271" s="53">
        <f t="shared" si="398"/>
        <v>0</v>
      </c>
      <c r="AP2271" s="53">
        <f t="shared" si="398"/>
        <v>30023940.000000004</v>
      </c>
      <c r="AQ2271" s="53">
        <f t="shared" si="398"/>
        <v>0</v>
      </c>
      <c r="AR2271" s="53">
        <f t="shared" si="398"/>
        <v>0</v>
      </c>
      <c r="AS2271" s="53">
        <f t="shared" si="398"/>
        <v>0</v>
      </c>
      <c r="AT2271" s="53">
        <f t="shared" si="398"/>
        <v>0</v>
      </c>
      <c r="AU2271" s="53">
        <f t="shared" si="398"/>
        <v>0</v>
      </c>
      <c r="AV2271" s="53">
        <f t="shared" si="398"/>
        <v>0</v>
      </c>
      <c r="AW2271" s="53">
        <f t="shared" si="398"/>
        <v>0</v>
      </c>
      <c r="AX2271" s="53">
        <f t="shared" si="390"/>
        <v>875810880.00000012</v>
      </c>
      <c r="AY2271" s="41" t="s">
        <v>557</v>
      </c>
    </row>
    <row r="2272" spans="1:51" x14ac:dyDescent="0.2">
      <c r="A2272" s="41" t="s">
        <v>449</v>
      </c>
      <c r="B2272" s="41">
        <v>2001</v>
      </c>
      <c r="C2272" s="41" t="s">
        <v>87</v>
      </c>
      <c r="D2272" s="41" t="s">
        <v>656</v>
      </c>
      <c r="E2272" s="41">
        <v>100</v>
      </c>
      <c r="F2272" s="41" t="s">
        <v>390</v>
      </c>
      <c r="G2272" s="76">
        <f>1000*T2272/I2272/0.8</f>
        <v>11479557.600000001</v>
      </c>
      <c r="I2272" s="56">
        <f>0.09*31.1/0.9072</f>
        <v>3.08531746031746</v>
      </c>
      <c r="T2272" s="53">
        <f>911076*31.1/1000</f>
        <v>28334.463600000003</v>
      </c>
      <c r="AM2272" s="76">
        <f>1.3*G2272</f>
        <v>14923424.880000003</v>
      </c>
      <c r="AO2272" s="53">
        <f t="shared" si="398"/>
        <v>0</v>
      </c>
      <c r="AP2272" s="53">
        <f t="shared" si="398"/>
        <v>35418079.5</v>
      </c>
      <c r="AQ2272" s="53">
        <f t="shared" si="398"/>
        <v>0</v>
      </c>
      <c r="AR2272" s="53">
        <f t="shared" si="398"/>
        <v>0</v>
      </c>
      <c r="AS2272" s="53">
        <f t="shared" si="398"/>
        <v>0</v>
      </c>
      <c r="AT2272" s="53">
        <f t="shared" si="398"/>
        <v>0</v>
      </c>
      <c r="AU2272" s="53">
        <f t="shared" si="398"/>
        <v>0</v>
      </c>
      <c r="AV2272" s="53">
        <f t="shared" si="398"/>
        <v>0</v>
      </c>
      <c r="AW2272" s="53">
        <f t="shared" si="398"/>
        <v>0</v>
      </c>
      <c r="AX2272" s="53">
        <f t="shared" si="390"/>
        <v>1147955760.0000002</v>
      </c>
      <c r="AY2272" s="41" t="s">
        <v>557</v>
      </c>
    </row>
    <row r="2273" spans="1:51" x14ac:dyDescent="0.2">
      <c r="A2273" s="41" t="s">
        <v>449</v>
      </c>
      <c r="B2273" s="41">
        <v>2002</v>
      </c>
      <c r="C2273" s="41" t="s">
        <v>87</v>
      </c>
      <c r="D2273" s="41" t="s">
        <v>656</v>
      </c>
      <c r="E2273" s="41">
        <v>100</v>
      </c>
      <c r="F2273" s="41" t="s">
        <v>390</v>
      </c>
      <c r="G2273" s="76">
        <f>1000*T2273/I2273/0.8</f>
        <v>12729150</v>
      </c>
      <c r="I2273" s="46">
        <f>0.08*31.1/0.9072</f>
        <v>2.742504409171076</v>
      </c>
      <c r="T2273" s="53">
        <f>898000*31.1/1000</f>
        <v>27927.8</v>
      </c>
      <c r="AM2273" s="53">
        <f>32311000*0.9072-G2273</f>
        <v>16583389.199999999</v>
      </c>
      <c r="AO2273" s="53">
        <f t="shared" si="398"/>
        <v>0</v>
      </c>
      <c r="AP2273" s="53">
        <f t="shared" si="398"/>
        <v>34909750</v>
      </c>
      <c r="AQ2273" s="53">
        <f t="shared" si="398"/>
        <v>0</v>
      </c>
      <c r="AR2273" s="53">
        <f t="shared" si="398"/>
        <v>0</v>
      </c>
      <c r="AS2273" s="53">
        <f t="shared" si="398"/>
        <v>0</v>
      </c>
      <c r="AT2273" s="53">
        <f t="shared" si="398"/>
        <v>0</v>
      </c>
      <c r="AU2273" s="53">
        <f t="shared" si="398"/>
        <v>0</v>
      </c>
      <c r="AV2273" s="53">
        <f t="shared" si="398"/>
        <v>0</v>
      </c>
      <c r="AW2273" s="53">
        <f t="shared" si="398"/>
        <v>0</v>
      </c>
      <c r="AX2273" s="53">
        <f t="shared" si="390"/>
        <v>1272915000</v>
      </c>
      <c r="AY2273" s="41" t="s">
        <v>557</v>
      </c>
    </row>
    <row r="2274" spans="1:51" x14ac:dyDescent="0.2">
      <c r="A2274" s="41" t="s">
        <v>449</v>
      </c>
      <c r="B2274" s="41">
        <v>2003</v>
      </c>
      <c r="C2274" s="41" t="s">
        <v>87</v>
      </c>
      <c r="D2274" s="41" t="s">
        <v>656</v>
      </c>
      <c r="E2274" s="41">
        <v>100</v>
      </c>
      <c r="F2274" s="41" t="s">
        <v>390</v>
      </c>
      <c r="G2274" s="53">
        <f>15839000*0.9072</f>
        <v>14369140.800000001</v>
      </c>
      <c r="I2274" s="46">
        <f>0.074*31.1/0.9072</f>
        <v>2.5368165784832453</v>
      </c>
      <c r="T2274" s="53">
        <f>912000*31.1/1000</f>
        <v>28363.200000000001</v>
      </c>
      <c r="AM2274" s="53">
        <f>(39501000-15839000)*0.9072</f>
        <v>21466166.399999999</v>
      </c>
      <c r="AO2274" s="53">
        <f t="shared" si="398"/>
        <v>0</v>
      </c>
      <c r="AP2274" s="53">
        <f t="shared" si="398"/>
        <v>36451874.600000001</v>
      </c>
      <c r="AQ2274" s="53">
        <f t="shared" si="398"/>
        <v>0</v>
      </c>
      <c r="AR2274" s="53">
        <f t="shared" si="398"/>
        <v>0</v>
      </c>
      <c r="AS2274" s="53">
        <f t="shared" si="398"/>
        <v>0</v>
      </c>
      <c r="AT2274" s="53">
        <f t="shared" si="398"/>
        <v>0</v>
      </c>
      <c r="AU2274" s="53">
        <f t="shared" si="398"/>
        <v>0</v>
      </c>
      <c r="AV2274" s="53">
        <f t="shared" si="398"/>
        <v>0</v>
      </c>
      <c r="AW2274" s="53">
        <f t="shared" si="398"/>
        <v>0</v>
      </c>
      <c r="AX2274" s="53">
        <f t="shared" si="390"/>
        <v>1436914080</v>
      </c>
      <c r="AY2274" s="41" t="s">
        <v>557</v>
      </c>
    </row>
    <row r="2275" spans="1:51" x14ac:dyDescent="0.2">
      <c r="A2275" s="41" t="s">
        <v>449</v>
      </c>
      <c r="B2275" s="41">
        <v>2004</v>
      </c>
      <c r="C2275" s="41" t="s">
        <v>87</v>
      </c>
      <c r="D2275" s="41" t="s">
        <v>656</v>
      </c>
      <c r="E2275" s="41">
        <v>100</v>
      </c>
      <c r="F2275" s="41" t="s">
        <v>390</v>
      </c>
      <c r="G2275" s="53">
        <f>16746000*0.9072</f>
        <v>15191971.199999999</v>
      </c>
      <c r="I2275" s="46">
        <f>0.034*31.1/0.9072</f>
        <v>1.1655643738977073</v>
      </c>
      <c r="T2275" s="53">
        <f>646000*31.1/1000</f>
        <v>20090.599999999999</v>
      </c>
      <c r="AM2275" s="53">
        <f>(40225000-16746000)*0.9072</f>
        <v>21300148.800000001</v>
      </c>
      <c r="AO2275" s="53">
        <f t="shared" si="398"/>
        <v>0</v>
      </c>
      <c r="AP2275" s="53">
        <f t="shared" si="398"/>
        <v>17707220.399999999</v>
      </c>
      <c r="AQ2275" s="53">
        <f t="shared" si="398"/>
        <v>0</v>
      </c>
      <c r="AR2275" s="53">
        <f t="shared" si="398"/>
        <v>0</v>
      </c>
      <c r="AS2275" s="53">
        <f t="shared" si="398"/>
        <v>0</v>
      </c>
      <c r="AT2275" s="53">
        <f t="shared" si="398"/>
        <v>0</v>
      </c>
      <c r="AU2275" s="53">
        <f t="shared" si="398"/>
        <v>0</v>
      </c>
      <c r="AV2275" s="53">
        <f t="shared" si="398"/>
        <v>0</v>
      </c>
      <c r="AW2275" s="53">
        <f t="shared" si="398"/>
        <v>0</v>
      </c>
      <c r="AX2275" s="53">
        <f t="shared" si="390"/>
        <v>1519197120</v>
      </c>
      <c r="AY2275" s="41" t="s">
        <v>557</v>
      </c>
    </row>
    <row r="2276" spans="1:51" x14ac:dyDescent="0.2">
      <c r="A2276" s="41" t="s">
        <v>449</v>
      </c>
      <c r="B2276" s="41">
        <v>2005</v>
      </c>
      <c r="C2276" s="41" t="s">
        <v>87</v>
      </c>
      <c r="D2276" s="41" t="s">
        <v>656</v>
      </c>
      <c r="E2276" s="41">
        <v>100</v>
      </c>
      <c r="F2276" s="41" t="s">
        <v>390</v>
      </c>
      <c r="G2276" s="53">
        <f>15965000*0.9072</f>
        <v>14483448</v>
      </c>
      <c r="I2276" s="46">
        <f>0.045*31.1/0.9072</f>
        <v>1.54265873015873</v>
      </c>
      <c r="T2276" s="53">
        <f>628000*31.1/1000</f>
        <v>19530.8</v>
      </c>
      <c r="AM2276" s="53">
        <f>(46884000-15965000)*0.9072</f>
        <v>28049716.800000001</v>
      </c>
      <c r="AO2276" s="53">
        <f t="shared" si="398"/>
        <v>0</v>
      </c>
      <c r="AP2276" s="53">
        <f t="shared" si="398"/>
        <v>22343017.499999996</v>
      </c>
      <c r="AQ2276" s="53">
        <f t="shared" si="398"/>
        <v>0</v>
      </c>
      <c r="AR2276" s="53">
        <f t="shared" si="398"/>
        <v>0</v>
      </c>
      <c r="AS2276" s="53">
        <f t="shared" si="398"/>
        <v>0</v>
      </c>
      <c r="AT2276" s="53">
        <f t="shared" si="398"/>
        <v>0</v>
      </c>
      <c r="AU2276" s="53">
        <f t="shared" si="398"/>
        <v>0</v>
      </c>
      <c r="AV2276" s="53">
        <f t="shared" si="398"/>
        <v>0</v>
      </c>
      <c r="AW2276" s="53">
        <f t="shared" si="398"/>
        <v>0</v>
      </c>
      <c r="AX2276" s="53">
        <f t="shared" si="390"/>
        <v>1448344800</v>
      </c>
      <c r="AY2276" s="41" t="s">
        <v>557</v>
      </c>
    </row>
    <row r="2277" spans="1:51" x14ac:dyDescent="0.2">
      <c r="A2277" s="41" t="s">
        <v>449</v>
      </c>
      <c r="B2277" s="41">
        <v>2006</v>
      </c>
      <c r="C2277" s="41" t="s">
        <v>87</v>
      </c>
      <c r="D2277" s="41" t="s">
        <v>656</v>
      </c>
      <c r="E2277" s="41">
        <v>100</v>
      </c>
      <c r="F2277" s="41" t="s">
        <v>390</v>
      </c>
      <c r="G2277" s="53">
        <f>17038000*0.9072</f>
        <v>15456873.6</v>
      </c>
      <c r="I2277" s="46">
        <f>0.034*31.1/0.9072</f>
        <v>1.1655643738977073</v>
      </c>
      <c r="T2277" s="53">
        <f>509000*31.1/1000</f>
        <v>15829.9</v>
      </c>
      <c r="AM2277" s="53">
        <f>(58292000-17038000)*0.9072</f>
        <v>37425628.799999997</v>
      </c>
      <c r="AO2277" s="53">
        <f t="shared" si="398"/>
        <v>0</v>
      </c>
      <c r="AP2277" s="53">
        <f t="shared" si="398"/>
        <v>18015981.199999999</v>
      </c>
      <c r="AQ2277" s="53">
        <f t="shared" si="398"/>
        <v>0</v>
      </c>
      <c r="AR2277" s="53">
        <f t="shared" si="398"/>
        <v>0</v>
      </c>
      <c r="AS2277" s="53">
        <f t="shared" si="398"/>
        <v>0</v>
      </c>
      <c r="AT2277" s="53">
        <f t="shared" si="398"/>
        <v>0</v>
      </c>
      <c r="AU2277" s="53">
        <f t="shared" si="398"/>
        <v>0</v>
      </c>
      <c r="AV2277" s="53">
        <f t="shared" si="398"/>
        <v>0</v>
      </c>
      <c r="AW2277" s="53">
        <f t="shared" si="398"/>
        <v>0</v>
      </c>
      <c r="AX2277" s="53">
        <f t="shared" si="390"/>
        <v>1545687360</v>
      </c>
      <c r="AY2277" s="41" t="s">
        <v>557</v>
      </c>
    </row>
    <row r="2278" spans="1:51" x14ac:dyDescent="0.2">
      <c r="A2278" s="41" t="s">
        <v>449</v>
      </c>
      <c r="B2278" s="41">
        <v>2007</v>
      </c>
      <c r="C2278" s="41" t="s">
        <v>87</v>
      </c>
      <c r="D2278" s="41" t="s">
        <v>656</v>
      </c>
      <c r="E2278" s="41">
        <v>100</v>
      </c>
      <c r="F2278" s="41" t="s">
        <v>390</v>
      </c>
      <c r="G2278" s="53">
        <f>17867000*0.9072</f>
        <v>16208942.4</v>
      </c>
      <c r="I2278" s="46">
        <f>0.034*31.1/0.9072</f>
        <v>1.1655643738977073</v>
      </c>
      <c r="T2278" s="53">
        <f>520000*31.1/1000</f>
        <v>16172</v>
      </c>
      <c r="AM2278" s="53">
        <f>(48987000-17867000)*0.9072</f>
        <v>28232064</v>
      </c>
      <c r="AO2278" s="53">
        <f t="shared" si="398"/>
        <v>0</v>
      </c>
      <c r="AP2278" s="53">
        <f t="shared" si="398"/>
        <v>18892565.800000001</v>
      </c>
      <c r="AQ2278" s="53">
        <f t="shared" si="398"/>
        <v>0</v>
      </c>
      <c r="AR2278" s="53">
        <f t="shared" si="398"/>
        <v>0</v>
      </c>
      <c r="AS2278" s="53">
        <f t="shared" si="398"/>
        <v>0</v>
      </c>
      <c r="AT2278" s="53">
        <f t="shared" si="398"/>
        <v>0</v>
      </c>
      <c r="AU2278" s="53">
        <f t="shared" si="398"/>
        <v>0</v>
      </c>
      <c r="AV2278" s="53">
        <f t="shared" si="398"/>
        <v>0</v>
      </c>
      <c r="AW2278" s="53">
        <f t="shared" si="398"/>
        <v>0</v>
      </c>
      <c r="AX2278" s="53">
        <f t="shared" si="390"/>
        <v>1620894240</v>
      </c>
      <c r="AY2278" s="41" t="s">
        <v>557</v>
      </c>
    </row>
    <row r="2279" spans="1:51" x14ac:dyDescent="0.2">
      <c r="A2279" s="41" t="s">
        <v>449</v>
      </c>
      <c r="B2279" s="41">
        <v>2008</v>
      </c>
      <c r="C2279" s="41" t="s">
        <v>87</v>
      </c>
      <c r="D2279" s="41" t="s">
        <v>656</v>
      </c>
      <c r="E2279" s="41">
        <v>100</v>
      </c>
      <c r="F2279" s="41" t="s">
        <v>390</v>
      </c>
      <c r="G2279" s="53">
        <f>16334000*0.9072</f>
        <v>14818204.800000001</v>
      </c>
      <c r="I2279" s="46">
        <f>0.027*31.1/0.9072</f>
        <v>0.92559523809523814</v>
      </c>
      <c r="T2279" s="53">
        <f>400000*31.1/1000</f>
        <v>12440</v>
      </c>
      <c r="AM2279" s="53">
        <f>(29735000-16334000)*0.9072</f>
        <v>12157387.199999999</v>
      </c>
      <c r="AO2279" s="53">
        <f t="shared" si="398"/>
        <v>0</v>
      </c>
      <c r="AP2279" s="53">
        <f t="shared" si="398"/>
        <v>13715659.800000001</v>
      </c>
      <c r="AQ2279" s="53">
        <f t="shared" si="398"/>
        <v>0</v>
      </c>
      <c r="AR2279" s="53">
        <f t="shared" si="398"/>
        <v>0</v>
      </c>
      <c r="AS2279" s="53">
        <f t="shared" si="398"/>
        <v>0</v>
      </c>
      <c r="AT2279" s="53">
        <f t="shared" si="398"/>
        <v>0</v>
      </c>
      <c r="AU2279" s="53">
        <f t="shared" si="398"/>
        <v>0</v>
      </c>
      <c r="AV2279" s="53">
        <f t="shared" si="398"/>
        <v>0</v>
      </c>
      <c r="AW2279" s="53">
        <f t="shared" si="398"/>
        <v>0</v>
      </c>
      <c r="AX2279" s="53">
        <f t="shared" si="390"/>
        <v>1481820480</v>
      </c>
      <c r="AY2279" s="41" t="s">
        <v>557</v>
      </c>
    </row>
    <row r="2280" spans="1:51" x14ac:dyDescent="0.2">
      <c r="A2280" s="41" t="s">
        <v>449</v>
      </c>
      <c r="B2280" s="41">
        <v>2009</v>
      </c>
      <c r="C2280" s="41" t="s">
        <v>87</v>
      </c>
      <c r="D2280" s="41" t="s">
        <v>656</v>
      </c>
      <c r="E2280" s="41">
        <v>100</v>
      </c>
      <c r="F2280" s="41" t="s">
        <v>390</v>
      </c>
      <c r="G2280" s="53">
        <f>13314000*0.9072</f>
        <v>12078460.800000001</v>
      </c>
      <c r="I2280" s="46">
        <f>0.02*31.1/0.9072</f>
        <v>0.68562610229276899</v>
      </c>
      <c r="T2280" s="53">
        <f>271000*31.1/1000</f>
        <v>8428.1</v>
      </c>
      <c r="AM2280" s="53">
        <f>(27776000-13314000)*0.9072</f>
        <v>13119926.4</v>
      </c>
      <c r="AO2280" s="53">
        <f t="shared" si="398"/>
        <v>0</v>
      </c>
      <c r="AP2280" s="53">
        <f t="shared" si="398"/>
        <v>8281308.0000000009</v>
      </c>
      <c r="AQ2280" s="53">
        <f t="shared" si="398"/>
        <v>0</v>
      </c>
      <c r="AR2280" s="53">
        <f t="shared" si="398"/>
        <v>0</v>
      </c>
      <c r="AS2280" s="53">
        <f t="shared" si="398"/>
        <v>0</v>
      </c>
      <c r="AT2280" s="53">
        <f t="shared" si="398"/>
        <v>0</v>
      </c>
      <c r="AU2280" s="53">
        <f t="shared" si="398"/>
        <v>0</v>
      </c>
      <c r="AV2280" s="53">
        <f t="shared" si="398"/>
        <v>0</v>
      </c>
      <c r="AW2280" s="53">
        <f t="shared" si="398"/>
        <v>0</v>
      </c>
      <c r="AX2280" s="53">
        <f t="shared" si="390"/>
        <v>1207846080</v>
      </c>
      <c r="AY2280" s="41" t="s">
        <v>557</v>
      </c>
    </row>
    <row r="2281" spans="1:51" x14ac:dyDescent="0.2">
      <c r="A2281" s="41" t="s">
        <v>449</v>
      </c>
      <c r="B2281" s="41">
        <v>2010</v>
      </c>
      <c r="C2281" s="41" t="s">
        <v>87</v>
      </c>
      <c r="D2281" s="41" t="s">
        <v>656</v>
      </c>
      <c r="E2281" s="41">
        <v>100</v>
      </c>
      <c r="F2281" s="41" t="s">
        <v>390</v>
      </c>
      <c r="G2281" s="53">
        <f>11170000*0.9072</f>
        <v>10133424</v>
      </c>
      <c r="I2281" s="46">
        <f>0.021*31.1/0.9072</f>
        <v>0.71990740740740755</v>
      </c>
      <c r="T2281" s="53">
        <f>191000*31.1/1000</f>
        <v>5940.1</v>
      </c>
      <c r="AM2281" s="53">
        <f>(35238000-11170000)*0.9072</f>
        <v>21834489.600000001</v>
      </c>
      <c r="AO2281" s="53">
        <f t="shared" si="398"/>
        <v>0</v>
      </c>
      <c r="AP2281" s="53">
        <f t="shared" si="398"/>
        <v>7295127.0000000019</v>
      </c>
      <c r="AQ2281" s="53">
        <f t="shared" si="398"/>
        <v>0</v>
      </c>
      <c r="AR2281" s="53">
        <f t="shared" si="398"/>
        <v>0</v>
      </c>
      <c r="AS2281" s="53">
        <f t="shared" si="398"/>
        <v>0</v>
      </c>
      <c r="AT2281" s="53">
        <f t="shared" si="398"/>
        <v>0</v>
      </c>
      <c r="AU2281" s="53">
        <f t="shared" si="398"/>
        <v>0</v>
      </c>
      <c r="AV2281" s="53">
        <f t="shared" si="398"/>
        <v>0</v>
      </c>
      <c r="AW2281" s="53">
        <f t="shared" si="398"/>
        <v>0</v>
      </c>
      <c r="AX2281" s="53">
        <f t="shared" si="390"/>
        <v>1013342400</v>
      </c>
      <c r="AY2281" s="41" t="s">
        <v>557</v>
      </c>
    </row>
    <row r="2282" spans="1:51" x14ac:dyDescent="0.2">
      <c r="A2282" s="41" t="s">
        <v>449</v>
      </c>
      <c r="B2282" s="41">
        <v>2011</v>
      </c>
      <c r="C2282" s="41" t="s">
        <v>87</v>
      </c>
      <c r="D2282" s="41" t="s">
        <v>656</v>
      </c>
      <c r="E2282" s="41">
        <v>100</v>
      </c>
      <c r="F2282" s="41" t="s">
        <v>390</v>
      </c>
      <c r="G2282" s="53">
        <f>12788000*0.9072</f>
        <v>11601273.6</v>
      </c>
      <c r="I2282" s="46">
        <f>0.016*31.1/0.9072</f>
        <v>0.54850088183421519</v>
      </c>
      <c r="T2282" s="53">
        <f>152000*31.1/1000</f>
        <v>4727.2</v>
      </c>
      <c r="AM2282" s="53">
        <f>(33902000-12788000)*0.9072</f>
        <v>19154620.800000001</v>
      </c>
      <c r="AO2282" s="53">
        <f t="shared" si="398"/>
        <v>0</v>
      </c>
      <c r="AP2282" s="53">
        <f t="shared" si="398"/>
        <v>6363308.7999999998</v>
      </c>
      <c r="AQ2282" s="53">
        <f t="shared" si="398"/>
        <v>0</v>
      </c>
      <c r="AR2282" s="53">
        <f t="shared" si="398"/>
        <v>0</v>
      </c>
      <c r="AS2282" s="53">
        <f t="shared" si="398"/>
        <v>0</v>
      </c>
      <c r="AT2282" s="53">
        <f t="shared" si="398"/>
        <v>0</v>
      </c>
      <c r="AU2282" s="53">
        <f t="shared" si="398"/>
        <v>0</v>
      </c>
      <c r="AV2282" s="53">
        <f t="shared" si="398"/>
        <v>0</v>
      </c>
      <c r="AW2282" s="53">
        <f t="shared" si="398"/>
        <v>0</v>
      </c>
      <c r="AX2282" s="53">
        <f t="shared" si="390"/>
        <v>1160127360</v>
      </c>
      <c r="AY2282" s="41" t="s">
        <v>557</v>
      </c>
    </row>
    <row r="2283" spans="1:51" x14ac:dyDescent="0.2">
      <c r="A2283" s="41" t="s">
        <v>449</v>
      </c>
      <c r="B2283" s="41">
        <v>2012</v>
      </c>
      <c r="C2283" s="41" t="s">
        <v>87</v>
      </c>
      <c r="D2283" s="41" t="s">
        <v>656</v>
      </c>
      <c r="E2283" s="41">
        <v>100</v>
      </c>
      <c r="F2283" s="41" t="s">
        <v>390</v>
      </c>
      <c r="G2283" s="53">
        <f>4061000*0.9072</f>
        <v>3684139.2</v>
      </c>
      <c r="I2283" s="46">
        <f>0.016*31.1/0.9072</f>
        <v>0.54850088183421519</v>
      </c>
      <c r="T2283" s="53">
        <f>110000*31.1/1000</f>
        <v>3421</v>
      </c>
      <c r="AM2283" s="53">
        <f>(11418000-4061000)*0.9072</f>
        <v>6674270.4000000004</v>
      </c>
      <c r="AO2283" s="53">
        <f t="shared" si="398"/>
        <v>0</v>
      </c>
      <c r="AP2283" s="53">
        <f t="shared" si="398"/>
        <v>2020753.6</v>
      </c>
      <c r="AQ2283" s="53">
        <f t="shared" si="398"/>
        <v>0</v>
      </c>
      <c r="AR2283" s="53">
        <f t="shared" si="398"/>
        <v>0</v>
      </c>
      <c r="AS2283" s="53">
        <f t="shared" si="398"/>
        <v>0</v>
      </c>
      <c r="AT2283" s="53">
        <f t="shared" si="398"/>
        <v>0</v>
      </c>
      <c r="AU2283" s="53">
        <f t="shared" si="398"/>
        <v>0</v>
      </c>
      <c r="AV2283" s="53">
        <f t="shared" si="398"/>
        <v>0</v>
      </c>
      <c r="AW2283" s="53">
        <f t="shared" si="398"/>
        <v>0</v>
      </c>
      <c r="AX2283" s="53">
        <f t="shared" si="390"/>
        <v>368413920</v>
      </c>
      <c r="AY2283" s="41" t="s">
        <v>557</v>
      </c>
    </row>
    <row r="2284" spans="1:51" x14ac:dyDescent="0.2">
      <c r="A2284" s="41" t="s">
        <v>449</v>
      </c>
      <c r="B2284" s="41">
        <v>2013</v>
      </c>
      <c r="C2284" s="41" t="s">
        <v>87</v>
      </c>
      <c r="D2284" s="41" t="s">
        <v>656</v>
      </c>
      <c r="E2284" s="41">
        <v>100</v>
      </c>
      <c r="F2284" s="41" t="s">
        <v>390</v>
      </c>
      <c r="G2284" s="53">
        <v>46000</v>
      </c>
      <c r="I2284" s="41">
        <v>0.45</v>
      </c>
      <c r="T2284" s="53">
        <f>16000*31.1/1000</f>
        <v>497.6</v>
      </c>
      <c r="AM2284" s="53">
        <f>2254000-46000</f>
        <v>2208000</v>
      </c>
      <c r="AO2284" s="53">
        <f t="shared" si="398"/>
        <v>0</v>
      </c>
      <c r="AP2284" s="53">
        <f t="shared" si="398"/>
        <v>20700</v>
      </c>
      <c r="AQ2284" s="53">
        <f t="shared" si="398"/>
        <v>0</v>
      </c>
      <c r="AR2284" s="53">
        <f t="shared" si="398"/>
        <v>0</v>
      </c>
      <c r="AS2284" s="53">
        <f t="shared" si="398"/>
        <v>0</v>
      </c>
      <c r="AT2284" s="53">
        <f t="shared" si="398"/>
        <v>0</v>
      </c>
      <c r="AU2284" s="53">
        <f t="shared" si="398"/>
        <v>0</v>
      </c>
      <c r="AV2284" s="53">
        <f t="shared" si="398"/>
        <v>0</v>
      </c>
      <c r="AW2284" s="53">
        <f t="shared" si="398"/>
        <v>0</v>
      </c>
      <c r="AX2284" s="53">
        <f t="shared" si="390"/>
        <v>4600000</v>
      </c>
      <c r="AY2284" s="41" t="s">
        <v>557</v>
      </c>
    </row>
    <row r="2285" spans="1:51" x14ac:dyDescent="0.2">
      <c r="A2285" s="41" t="s">
        <v>449</v>
      </c>
      <c r="B2285" s="41">
        <v>2014</v>
      </c>
      <c r="C2285" s="41" t="s">
        <v>87</v>
      </c>
      <c r="D2285" s="41" t="s">
        <v>656</v>
      </c>
      <c r="E2285" s="41">
        <v>100</v>
      </c>
      <c r="F2285" s="41" t="s">
        <v>390</v>
      </c>
      <c r="T2285" s="53">
        <f>6000*31.1/1000</f>
        <v>186.6</v>
      </c>
      <c r="AO2285" s="53">
        <f t="shared" si="398"/>
        <v>0</v>
      </c>
      <c r="AP2285" s="53">
        <f t="shared" si="398"/>
        <v>0</v>
      </c>
      <c r="AQ2285" s="53">
        <f t="shared" si="398"/>
        <v>0</v>
      </c>
      <c r="AR2285" s="53">
        <f t="shared" si="398"/>
        <v>0</v>
      </c>
      <c r="AS2285" s="53">
        <f t="shared" si="398"/>
        <v>0</v>
      </c>
      <c r="AT2285" s="53">
        <f t="shared" si="398"/>
        <v>0</v>
      </c>
      <c r="AU2285" s="53">
        <f t="shared" si="398"/>
        <v>0</v>
      </c>
      <c r="AV2285" s="53">
        <f t="shared" si="398"/>
        <v>0</v>
      </c>
      <c r="AW2285" s="53">
        <f t="shared" si="398"/>
        <v>0</v>
      </c>
      <c r="AX2285" s="53">
        <f t="shared" si="390"/>
        <v>0</v>
      </c>
      <c r="AY2285" s="41" t="s">
        <v>557</v>
      </c>
    </row>
    <row r="2286" spans="1:51" x14ac:dyDescent="0.2">
      <c r="A2286" s="41" t="s">
        <v>449</v>
      </c>
      <c r="B2286" s="41">
        <v>2015</v>
      </c>
      <c r="C2286" s="41" t="s">
        <v>87</v>
      </c>
      <c r="D2286" s="41" t="s">
        <v>656</v>
      </c>
      <c r="E2286" s="41">
        <v>100</v>
      </c>
      <c r="F2286" s="41" t="s">
        <v>390</v>
      </c>
      <c r="AO2286" s="53">
        <f t="shared" si="398"/>
        <v>0</v>
      </c>
      <c r="AP2286" s="53">
        <f t="shared" si="398"/>
        <v>0</v>
      </c>
      <c r="AQ2286" s="53">
        <f t="shared" si="398"/>
        <v>0</v>
      </c>
      <c r="AR2286" s="53">
        <f t="shared" si="398"/>
        <v>0</v>
      </c>
      <c r="AS2286" s="53">
        <f t="shared" si="398"/>
        <v>0</v>
      </c>
      <c r="AT2286" s="53">
        <f t="shared" si="398"/>
        <v>0</v>
      </c>
      <c r="AU2286" s="53">
        <f t="shared" si="398"/>
        <v>0</v>
      </c>
      <c r="AV2286" s="53">
        <f t="shared" si="398"/>
        <v>0</v>
      </c>
      <c r="AW2286" s="53">
        <f t="shared" si="398"/>
        <v>0</v>
      </c>
      <c r="AX2286" s="53">
        <f t="shared" si="390"/>
        <v>0</v>
      </c>
      <c r="AY2286" s="41" t="s">
        <v>557</v>
      </c>
    </row>
    <row r="2287" spans="1:51" x14ac:dyDescent="0.2">
      <c r="A2287" s="41" t="s">
        <v>449</v>
      </c>
      <c r="B2287" s="41">
        <v>2016</v>
      </c>
      <c r="C2287" s="41" t="s">
        <v>87</v>
      </c>
      <c r="D2287" s="41" t="s">
        <v>656</v>
      </c>
      <c r="E2287" s="41">
        <v>100</v>
      </c>
      <c r="F2287" s="41" t="s">
        <v>390</v>
      </c>
      <c r="AO2287" s="53">
        <f t="shared" si="398"/>
        <v>0</v>
      </c>
      <c r="AP2287" s="53">
        <f t="shared" si="398"/>
        <v>0</v>
      </c>
      <c r="AQ2287" s="53">
        <f t="shared" si="398"/>
        <v>0</v>
      </c>
      <c r="AR2287" s="53">
        <f t="shared" si="398"/>
        <v>0</v>
      </c>
      <c r="AS2287" s="53">
        <f t="shared" si="398"/>
        <v>0</v>
      </c>
      <c r="AT2287" s="53">
        <f t="shared" si="398"/>
        <v>0</v>
      </c>
      <c r="AU2287" s="53">
        <f t="shared" si="398"/>
        <v>0</v>
      </c>
      <c r="AV2287" s="53">
        <f t="shared" si="398"/>
        <v>0</v>
      </c>
      <c r="AW2287" s="53">
        <f t="shared" si="398"/>
        <v>0</v>
      </c>
      <c r="AX2287" s="53">
        <f t="shared" si="390"/>
        <v>0</v>
      </c>
      <c r="AY2287" s="41" t="s">
        <v>557</v>
      </c>
    </row>
    <row r="2288" spans="1:51" x14ac:dyDescent="0.2">
      <c r="A2288" s="41" t="s">
        <v>449</v>
      </c>
      <c r="B2288" s="60" t="s">
        <v>559</v>
      </c>
      <c r="C2288" s="60" t="s">
        <v>87</v>
      </c>
      <c r="D2288" s="60" t="s">
        <v>656</v>
      </c>
      <c r="E2288" s="60">
        <v>100</v>
      </c>
      <c r="F2288" s="60" t="s">
        <v>390</v>
      </c>
      <c r="G2288" s="79">
        <f>SUM(G2269:G2287)</f>
        <v>169592994.22857141</v>
      </c>
      <c r="I2288" s="80">
        <f>AP2288/$G2288</f>
        <v>1.6767436418285828</v>
      </c>
      <c r="T2288" s="79">
        <f>SUM(T2269:T2287)</f>
        <v>245253.26270000005</v>
      </c>
      <c r="AM2288" s="79">
        <f>SUM(AM2269:AM2287)</f>
        <v>279114563.79428566</v>
      </c>
      <c r="AO2288" s="79">
        <f>SUM(AO2269:AO2287)</f>
        <v>0</v>
      </c>
      <c r="AP2288" s="79">
        <f t="shared" ref="AP2288:AX2288" si="399">SUM(AP2269:AP2287)</f>
        <v>284363974.77142864</v>
      </c>
      <c r="AQ2288" s="79">
        <f t="shared" si="399"/>
        <v>0</v>
      </c>
      <c r="AR2288" s="79">
        <f t="shared" si="399"/>
        <v>0</v>
      </c>
      <c r="AS2288" s="79">
        <f t="shared" si="399"/>
        <v>0</v>
      </c>
      <c r="AT2288" s="79">
        <f t="shared" si="399"/>
        <v>0</v>
      </c>
      <c r="AU2288" s="79">
        <f t="shared" si="399"/>
        <v>0</v>
      </c>
      <c r="AV2288" s="79">
        <f t="shared" si="399"/>
        <v>0</v>
      </c>
      <c r="AW2288" s="79">
        <f t="shared" si="399"/>
        <v>0</v>
      </c>
      <c r="AX2288" s="79">
        <f t="shared" si="399"/>
        <v>16959299422.857143</v>
      </c>
      <c r="AY2288" s="41" t="s">
        <v>557</v>
      </c>
    </row>
    <row r="2289" spans="1:51" x14ac:dyDescent="0.2">
      <c r="A2289" s="41" t="s">
        <v>449</v>
      </c>
      <c r="B2289" s="43" t="s">
        <v>560</v>
      </c>
      <c r="G2289" s="53">
        <f>STDEV(G2269:G2287)</f>
        <v>5123849.8533912888</v>
      </c>
      <c r="I2289" s="46">
        <f>STDEV(I2269:I2287)</f>
        <v>1.1665481513121718</v>
      </c>
      <c r="T2289" s="53">
        <f>STDEV(T2269:T2287)</f>
        <v>10535.636371718665</v>
      </c>
      <c r="AM2289" s="53">
        <f>STDEV(AM2269:AM2287)</f>
        <v>9224673.0944334362</v>
      </c>
      <c r="AY2289" s="41" t="s">
        <v>557</v>
      </c>
    </row>
    <row r="2290" spans="1:51" x14ac:dyDescent="0.2">
      <c r="A2290" s="41" t="s">
        <v>449</v>
      </c>
      <c r="B2290" s="81" t="s">
        <v>249</v>
      </c>
      <c r="G2290" s="41">
        <f>COUNT(G2269:G2287)</f>
        <v>16</v>
      </c>
      <c r="I2290" s="41">
        <f>COUNT(I2269:I2287)</f>
        <v>16</v>
      </c>
      <c r="T2290" s="41">
        <f>COUNT(T2269:T2287)</f>
        <v>17</v>
      </c>
      <c r="AM2290" s="41">
        <f>COUNT(AM2269:AM2287)</f>
        <v>16</v>
      </c>
      <c r="AY2290" s="41" t="s">
        <v>557</v>
      </c>
    </row>
    <row r="2291" spans="1:51" x14ac:dyDescent="0.2">
      <c r="A2291" s="82"/>
      <c r="B2291" s="82"/>
      <c r="C2291" s="82"/>
      <c r="D2291" s="82"/>
      <c r="E2291" s="82"/>
      <c r="F2291" s="82"/>
      <c r="G2291" s="82"/>
      <c r="H2291" s="82"/>
      <c r="I2291" s="82"/>
      <c r="J2291" s="82"/>
      <c r="K2291" s="82"/>
      <c r="L2291" s="82"/>
      <c r="M2291" s="82"/>
      <c r="N2291" s="82"/>
      <c r="O2291" s="82"/>
      <c r="P2291" s="82"/>
      <c r="Q2291" s="82"/>
      <c r="R2291" s="82"/>
      <c r="S2291" s="82"/>
      <c r="T2291" s="82"/>
      <c r="U2291" s="82"/>
      <c r="V2291" s="82"/>
      <c r="W2291" s="82"/>
      <c r="X2291" s="82"/>
      <c r="Y2291" s="82"/>
      <c r="Z2291" s="82"/>
      <c r="AA2291" s="82"/>
      <c r="AB2291" s="82"/>
      <c r="AC2291" s="82"/>
      <c r="AD2291" s="82"/>
      <c r="AE2291" s="82"/>
      <c r="AF2291" s="82"/>
      <c r="AG2291" s="82"/>
      <c r="AH2291" s="82"/>
      <c r="AI2291" s="82"/>
      <c r="AJ2291" s="82"/>
      <c r="AK2291" s="82"/>
      <c r="AL2291" s="82"/>
      <c r="AM2291" s="82"/>
      <c r="AN2291" s="82"/>
      <c r="AO2291" s="82"/>
      <c r="AP2291" s="82"/>
      <c r="AQ2291" s="82"/>
      <c r="AR2291" s="82"/>
      <c r="AS2291" s="82"/>
      <c r="AT2291" s="82"/>
      <c r="AU2291" s="82"/>
      <c r="AV2291" s="82"/>
      <c r="AW2291" s="82"/>
      <c r="AX2291" s="82"/>
      <c r="AY2291" s="41" t="s">
        <v>557</v>
      </c>
    </row>
    <row r="2292" spans="1:51" x14ac:dyDescent="0.2">
      <c r="A2292" s="86" t="s">
        <v>680</v>
      </c>
      <c r="B2292" s="121" t="s">
        <v>650</v>
      </c>
      <c r="AY2292" s="41" t="s">
        <v>557</v>
      </c>
    </row>
    <row r="2293" spans="1:51" x14ac:dyDescent="0.2">
      <c r="A2293" s="86" t="s">
        <v>680</v>
      </c>
      <c r="B2293" s="41">
        <v>2002</v>
      </c>
      <c r="C2293" s="41" t="s">
        <v>87</v>
      </c>
      <c r="D2293" s="41" t="s">
        <v>401</v>
      </c>
      <c r="E2293" s="41">
        <v>100</v>
      </c>
      <c r="F2293" s="41" t="s">
        <v>390</v>
      </c>
      <c r="G2293" s="53">
        <f>3532000*0.9072</f>
        <v>3204230.4</v>
      </c>
      <c r="I2293" s="46">
        <f>0.097*31.1/0.9072</f>
        <v>3.3252865961199296</v>
      </c>
      <c r="T2293" s="53">
        <f>307000*31.1/1000</f>
        <v>9547.7000000000007</v>
      </c>
      <c r="AM2293" s="53">
        <f>(14289000-3532000)*0.9072</f>
        <v>9758750.4000000004</v>
      </c>
      <c r="AO2293" s="53">
        <f t="shared" ref="AO2293:AW2294" si="400">$G2293*H2293</f>
        <v>0</v>
      </c>
      <c r="AP2293" s="53">
        <f t="shared" si="400"/>
        <v>10654984.4</v>
      </c>
      <c r="AQ2293" s="53">
        <f t="shared" si="400"/>
        <v>0</v>
      </c>
      <c r="AR2293" s="53">
        <f t="shared" si="400"/>
        <v>0</v>
      </c>
      <c r="AS2293" s="53">
        <f t="shared" si="400"/>
        <v>0</v>
      </c>
      <c r="AT2293" s="53">
        <f t="shared" si="400"/>
        <v>0</v>
      </c>
      <c r="AU2293" s="53">
        <f t="shared" si="400"/>
        <v>0</v>
      </c>
      <c r="AV2293" s="53">
        <f t="shared" si="400"/>
        <v>0</v>
      </c>
      <c r="AW2293" s="53">
        <f t="shared" si="400"/>
        <v>0</v>
      </c>
      <c r="AX2293" s="53">
        <f t="shared" si="390"/>
        <v>320423040</v>
      </c>
      <c r="AY2293" s="41" t="s">
        <v>557</v>
      </c>
    </row>
    <row r="2294" spans="1:51" x14ac:dyDescent="0.2">
      <c r="A2294" s="86" t="s">
        <v>680</v>
      </c>
      <c r="B2294" s="41">
        <v>2003</v>
      </c>
      <c r="C2294" s="41" t="s">
        <v>87</v>
      </c>
      <c r="D2294" s="41" t="s">
        <v>401</v>
      </c>
      <c r="E2294" s="41">
        <v>100</v>
      </c>
      <c r="F2294" s="41" t="s">
        <v>390</v>
      </c>
      <c r="G2294" s="53">
        <f>3010000*0.9072</f>
        <v>2730672</v>
      </c>
      <c r="I2294" s="46">
        <f>0.123*31.1/0.9072</f>
        <v>4.2166005291005293</v>
      </c>
      <c r="T2294" s="53">
        <f>334000*31.1/1000</f>
        <v>10387.4</v>
      </c>
      <c r="AM2294" s="53">
        <f>(14180000-3010000)*0.9072</f>
        <v>10133424</v>
      </c>
      <c r="AO2294" s="53">
        <f t="shared" si="400"/>
        <v>0</v>
      </c>
      <c r="AP2294" s="53">
        <f t="shared" si="400"/>
        <v>11514153</v>
      </c>
      <c r="AQ2294" s="53">
        <f t="shared" si="400"/>
        <v>0</v>
      </c>
      <c r="AR2294" s="53">
        <f t="shared" si="400"/>
        <v>0</v>
      </c>
      <c r="AS2294" s="53">
        <f t="shared" si="400"/>
        <v>0</v>
      </c>
      <c r="AT2294" s="53">
        <f t="shared" si="400"/>
        <v>0</v>
      </c>
      <c r="AU2294" s="53">
        <f t="shared" si="400"/>
        <v>0</v>
      </c>
      <c r="AV2294" s="53">
        <f t="shared" si="400"/>
        <v>0</v>
      </c>
      <c r="AW2294" s="53">
        <f t="shared" si="400"/>
        <v>0</v>
      </c>
      <c r="AX2294" s="53">
        <f t="shared" si="390"/>
        <v>273067200</v>
      </c>
      <c r="AY2294" s="41" t="s">
        <v>557</v>
      </c>
    </row>
    <row r="2295" spans="1:51" x14ac:dyDescent="0.2">
      <c r="A2295" s="86" t="s">
        <v>680</v>
      </c>
      <c r="B2295" s="60" t="s">
        <v>248</v>
      </c>
      <c r="C2295" s="60" t="s">
        <v>87</v>
      </c>
      <c r="D2295" s="60" t="s">
        <v>401</v>
      </c>
      <c r="E2295" s="60">
        <v>100</v>
      </c>
      <c r="F2295" s="60" t="s">
        <v>390</v>
      </c>
      <c r="G2295" s="79">
        <f>AVERAGE(G2293:G2294)</f>
        <v>2967451.2</v>
      </c>
      <c r="I2295" s="80">
        <f>AP2295/SUM($G2293:$G2294)</f>
        <v>3.7353836518019228</v>
      </c>
      <c r="T2295" s="79">
        <f>AVERAGE(T2293:T2294)</f>
        <v>9967.5499999999993</v>
      </c>
      <c r="AM2295" s="79">
        <f>AVERAGE(AM2293:AM2294)</f>
        <v>9946087.1999999993</v>
      </c>
      <c r="AO2295" s="79">
        <f t="shared" ref="AO2295:AX2295" si="401">SUM(AO2293:AO2294)</f>
        <v>0</v>
      </c>
      <c r="AP2295" s="79">
        <f t="shared" si="401"/>
        <v>22169137.399999999</v>
      </c>
      <c r="AQ2295" s="79">
        <f t="shared" si="401"/>
        <v>0</v>
      </c>
      <c r="AR2295" s="79">
        <f t="shared" si="401"/>
        <v>0</v>
      </c>
      <c r="AS2295" s="79">
        <f t="shared" si="401"/>
        <v>0</v>
      </c>
      <c r="AT2295" s="79">
        <f t="shared" si="401"/>
        <v>0</v>
      </c>
      <c r="AU2295" s="79">
        <f t="shared" si="401"/>
        <v>0</v>
      </c>
      <c r="AV2295" s="79">
        <f t="shared" si="401"/>
        <v>0</v>
      </c>
      <c r="AW2295" s="79">
        <f t="shared" si="401"/>
        <v>0</v>
      </c>
      <c r="AX2295" s="79">
        <f t="shared" si="401"/>
        <v>593490240</v>
      </c>
      <c r="AY2295" s="41" t="s">
        <v>557</v>
      </c>
    </row>
    <row r="2296" spans="1:51" x14ac:dyDescent="0.2">
      <c r="A2296" s="86" t="s">
        <v>680</v>
      </c>
      <c r="B2296" s="43" t="s">
        <v>560</v>
      </c>
      <c r="G2296" s="53">
        <f>STDEV(G2293:G2294)</f>
        <v>334856.35592785152</v>
      </c>
      <c r="I2296" s="46">
        <f>STDEV(I2293:I2294)</f>
        <v>0.63025412617663434</v>
      </c>
      <c r="T2296" s="53">
        <f>STDEV(T2293:T2294)</f>
        <v>593.75756416234321</v>
      </c>
      <c r="AM2296" s="53">
        <f>STDEV(AM2293:AM2294)</f>
        <v>264934.24329157575</v>
      </c>
      <c r="AY2296" s="41" t="s">
        <v>557</v>
      </c>
    </row>
    <row r="2297" spans="1:51" x14ac:dyDescent="0.2">
      <c r="A2297" s="86" t="s">
        <v>680</v>
      </c>
      <c r="B2297" s="81" t="s">
        <v>249</v>
      </c>
      <c r="G2297" s="41">
        <f>COUNT(G2293:G2294)</f>
        <v>2</v>
      </c>
      <c r="I2297" s="41">
        <f>COUNT(I2293:I2294)</f>
        <v>2</v>
      </c>
      <c r="T2297" s="41">
        <f>COUNT(T2293:T2294)</f>
        <v>2</v>
      </c>
      <c r="AM2297" s="41">
        <f>COUNT(AM2293:AM2294)</f>
        <v>2</v>
      </c>
      <c r="AY2297" s="41" t="s">
        <v>557</v>
      </c>
    </row>
    <row r="2298" spans="1:51" x14ac:dyDescent="0.2">
      <c r="A2298" s="82"/>
      <c r="B2298" s="82"/>
      <c r="C2298" s="82"/>
      <c r="D2298" s="82"/>
      <c r="E2298" s="82"/>
      <c r="F2298" s="82"/>
      <c r="G2298" s="82"/>
      <c r="H2298" s="82"/>
      <c r="I2298" s="82"/>
      <c r="J2298" s="82"/>
      <c r="K2298" s="82"/>
      <c r="L2298" s="82"/>
      <c r="M2298" s="82"/>
      <c r="N2298" s="82"/>
      <c r="O2298" s="82"/>
      <c r="P2298" s="82"/>
      <c r="Q2298" s="82"/>
      <c r="R2298" s="82"/>
      <c r="S2298" s="82"/>
      <c r="T2298" s="82"/>
      <c r="U2298" s="82"/>
      <c r="V2298" s="82"/>
      <c r="W2298" s="82"/>
      <c r="X2298" s="82"/>
      <c r="Y2298" s="82"/>
      <c r="Z2298" s="82"/>
      <c r="AA2298" s="82"/>
      <c r="AB2298" s="82"/>
      <c r="AC2298" s="82"/>
      <c r="AD2298" s="82"/>
      <c r="AE2298" s="82"/>
      <c r="AF2298" s="82"/>
      <c r="AG2298" s="82"/>
      <c r="AH2298" s="82"/>
      <c r="AI2298" s="82"/>
      <c r="AJ2298" s="82"/>
      <c r="AK2298" s="82"/>
      <c r="AL2298" s="82"/>
      <c r="AM2298" s="82"/>
      <c r="AN2298" s="82"/>
      <c r="AO2298" s="82"/>
      <c r="AP2298" s="82"/>
      <c r="AQ2298" s="82"/>
      <c r="AR2298" s="82"/>
      <c r="AS2298" s="82"/>
      <c r="AT2298" s="82"/>
      <c r="AU2298" s="82"/>
      <c r="AV2298" s="82"/>
      <c r="AW2298" s="82"/>
      <c r="AX2298" s="82"/>
      <c r="AY2298" s="41" t="s">
        <v>557</v>
      </c>
    </row>
    <row r="2299" spans="1:51" x14ac:dyDescent="0.2">
      <c r="A2299" s="41" t="s">
        <v>446</v>
      </c>
      <c r="B2299" s="41">
        <v>1990</v>
      </c>
      <c r="C2299" s="41" t="s">
        <v>96</v>
      </c>
      <c r="D2299" s="41" t="s">
        <v>681</v>
      </c>
      <c r="E2299" s="41">
        <v>0</v>
      </c>
      <c r="F2299" s="41" t="s">
        <v>577</v>
      </c>
      <c r="G2299" s="53">
        <v>196860</v>
      </c>
      <c r="I2299" s="41">
        <v>58.1</v>
      </c>
      <c r="J2299" s="54">
        <f>1000*U2299/G2299/0.5</f>
        <v>70.846893223610692</v>
      </c>
      <c r="T2299" s="53">
        <v>7934.1076000000003</v>
      </c>
      <c r="U2299" s="53">
        <v>6973.4597000000003</v>
      </c>
      <c r="AO2299" s="53">
        <f t="shared" ref="AO2299:AW2322" si="402">$G2299*H2299</f>
        <v>0</v>
      </c>
      <c r="AP2299" s="53">
        <f t="shared" si="402"/>
        <v>11437566</v>
      </c>
      <c r="AQ2299" s="53">
        <f t="shared" si="402"/>
        <v>13946919.4</v>
      </c>
      <c r="AR2299" s="53">
        <f t="shared" si="402"/>
        <v>0</v>
      </c>
      <c r="AS2299" s="53">
        <f t="shared" si="402"/>
        <v>0</v>
      </c>
      <c r="AT2299" s="53">
        <f t="shared" si="402"/>
        <v>0</v>
      </c>
      <c r="AU2299" s="53">
        <f t="shared" si="402"/>
        <v>0</v>
      </c>
      <c r="AV2299" s="53">
        <f t="shared" si="402"/>
        <v>0</v>
      </c>
      <c r="AW2299" s="53">
        <f t="shared" si="402"/>
        <v>0</v>
      </c>
      <c r="AX2299" s="53">
        <f t="shared" ref="AX2299:AX2345" si="403">$G2299*E2299</f>
        <v>0</v>
      </c>
      <c r="AY2299" s="41" t="s">
        <v>557</v>
      </c>
    </row>
    <row r="2300" spans="1:51" x14ac:dyDescent="0.2">
      <c r="A2300" s="41" t="s">
        <v>446</v>
      </c>
      <c r="B2300" s="41">
        <v>1991</v>
      </c>
      <c r="C2300" s="41" t="s">
        <v>96</v>
      </c>
      <c r="D2300" s="41" t="s">
        <v>681</v>
      </c>
      <c r="E2300" s="41">
        <v>0</v>
      </c>
      <c r="F2300" s="41" t="s">
        <v>577</v>
      </c>
      <c r="G2300" s="53">
        <v>701938</v>
      </c>
      <c r="I2300" s="41">
        <v>64.5</v>
      </c>
      <c r="J2300" s="54">
        <f t="shared" ref="J2300:J2318" si="404">1000*U2300/G2300/0.5</f>
        <v>52.574453014368785</v>
      </c>
      <c r="T2300" s="53">
        <v>37820.741099999999</v>
      </c>
      <c r="U2300" s="53">
        <v>18452.003199999999</v>
      </c>
      <c r="AM2300" s="76">
        <v>1000000</v>
      </c>
      <c r="AO2300" s="53">
        <f t="shared" si="402"/>
        <v>0</v>
      </c>
      <c r="AP2300" s="53">
        <f t="shared" si="402"/>
        <v>45275001</v>
      </c>
      <c r="AQ2300" s="53">
        <f t="shared" si="402"/>
        <v>36904006.399999999</v>
      </c>
      <c r="AR2300" s="53">
        <f t="shared" si="402"/>
        <v>0</v>
      </c>
      <c r="AS2300" s="53">
        <f t="shared" si="402"/>
        <v>0</v>
      </c>
      <c r="AT2300" s="53">
        <f t="shared" si="402"/>
        <v>0</v>
      </c>
      <c r="AU2300" s="53">
        <f t="shared" si="402"/>
        <v>0</v>
      </c>
      <c r="AV2300" s="53">
        <f t="shared" si="402"/>
        <v>0</v>
      </c>
      <c r="AW2300" s="53">
        <f t="shared" si="402"/>
        <v>0</v>
      </c>
      <c r="AX2300" s="53">
        <f t="shared" si="403"/>
        <v>0</v>
      </c>
      <c r="AY2300" s="41" t="s">
        <v>557</v>
      </c>
    </row>
    <row r="2301" spans="1:51" x14ac:dyDescent="0.2">
      <c r="A2301" s="41" t="s">
        <v>446</v>
      </c>
      <c r="B2301" s="41">
        <v>1992</v>
      </c>
      <c r="C2301" s="41" t="s">
        <v>96</v>
      </c>
      <c r="D2301" s="41" t="s">
        <v>681</v>
      </c>
      <c r="E2301" s="47">
        <v>4.2018282097818265</v>
      </c>
      <c r="F2301" s="41" t="s">
        <v>577</v>
      </c>
      <c r="G2301" s="53">
        <v>1067161</v>
      </c>
      <c r="I2301" s="47">
        <v>36</v>
      </c>
      <c r="J2301" s="54">
        <f t="shared" si="404"/>
        <v>8.1377615936114616</v>
      </c>
      <c r="T2301" s="53">
        <v>46185.894700000004</v>
      </c>
      <c r="U2301" s="53">
        <v>4342.1509000000005</v>
      </c>
      <c r="AM2301" s="76">
        <v>10000000</v>
      </c>
      <c r="AO2301" s="53">
        <f t="shared" si="402"/>
        <v>0</v>
      </c>
      <c r="AP2301" s="53">
        <f t="shared" si="402"/>
        <v>38417796</v>
      </c>
      <c r="AQ2301" s="53">
        <f t="shared" si="402"/>
        <v>8684301.8000000007</v>
      </c>
      <c r="AR2301" s="53">
        <f t="shared" si="402"/>
        <v>0</v>
      </c>
      <c r="AS2301" s="53">
        <f t="shared" si="402"/>
        <v>0</v>
      </c>
      <c r="AT2301" s="53">
        <f t="shared" si="402"/>
        <v>0</v>
      </c>
      <c r="AU2301" s="53">
        <f t="shared" si="402"/>
        <v>0</v>
      </c>
      <c r="AV2301" s="53">
        <f t="shared" si="402"/>
        <v>0</v>
      </c>
      <c r="AW2301" s="53">
        <f t="shared" si="402"/>
        <v>0</v>
      </c>
      <c r="AX2301" s="53">
        <f t="shared" si="403"/>
        <v>4484027.1941789836</v>
      </c>
      <c r="AY2301" s="41" t="s">
        <v>557</v>
      </c>
    </row>
    <row r="2302" spans="1:51" x14ac:dyDescent="0.2">
      <c r="A2302" s="41" t="s">
        <v>446</v>
      </c>
      <c r="B2302" s="41">
        <v>1993</v>
      </c>
      <c r="C2302" s="41" t="s">
        <v>96</v>
      </c>
      <c r="D2302" s="41" t="s">
        <v>681</v>
      </c>
      <c r="E2302" s="47">
        <v>57.119970920090367</v>
      </c>
      <c r="F2302" s="41" t="s">
        <v>577</v>
      </c>
      <c r="G2302" s="53">
        <v>2441143</v>
      </c>
      <c r="I2302" s="47">
        <v>16</v>
      </c>
      <c r="J2302" s="54">
        <f t="shared" si="404"/>
        <v>3.3088155835196873</v>
      </c>
      <c r="T2302" s="53">
        <v>35972.436999999998</v>
      </c>
      <c r="U2302" s="53">
        <v>4038.6460000000002</v>
      </c>
      <c r="AM2302" s="76">
        <v>20000000</v>
      </c>
      <c r="AO2302" s="53">
        <f t="shared" si="402"/>
        <v>0</v>
      </c>
      <c r="AP2302" s="53">
        <f t="shared" si="402"/>
        <v>39058288</v>
      </c>
      <c r="AQ2302" s="53">
        <f t="shared" si="402"/>
        <v>8077292</v>
      </c>
      <c r="AR2302" s="53">
        <f t="shared" si="402"/>
        <v>0</v>
      </c>
      <c r="AS2302" s="53">
        <f t="shared" si="402"/>
        <v>0</v>
      </c>
      <c r="AT2302" s="53">
        <f t="shared" si="402"/>
        <v>0</v>
      </c>
      <c r="AU2302" s="53">
        <f t="shared" si="402"/>
        <v>0</v>
      </c>
      <c r="AV2302" s="53">
        <f t="shared" si="402"/>
        <v>0</v>
      </c>
      <c r="AW2302" s="53">
        <f t="shared" si="402"/>
        <v>0</v>
      </c>
      <c r="AX2302" s="53">
        <f t="shared" si="403"/>
        <v>139438017.17178217</v>
      </c>
      <c r="AY2302" s="41" t="s">
        <v>557</v>
      </c>
    </row>
    <row r="2303" spans="1:51" x14ac:dyDescent="0.2">
      <c r="A2303" s="41" t="s">
        <v>446</v>
      </c>
      <c r="B2303" s="41">
        <v>1994</v>
      </c>
      <c r="C2303" s="41" t="s">
        <v>96</v>
      </c>
      <c r="D2303" s="41" t="s">
        <v>681</v>
      </c>
      <c r="E2303" s="47">
        <v>70.974553548902264</v>
      </c>
      <c r="F2303" s="41" t="s">
        <v>577</v>
      </c>
      <c r="G2303" s="53">
        <v>3161189</v>
      </c>
      <c r="I2303" s="47">
        <v>12</v>
      </c>
      <c r="J2303" s="54">
        <f t="shared" si="404"/>
        <v>2.6344384976665429</v>
      </c>
      <c r="T2303" s="53">
        <v>32119.053700000004</v>
      </c>
      <c r="U2303" s="53">
        <v>4163.9790000000003</v>
      </c>
      <c r="AM2303" s="53">
        <v>27700000</v>
      </c>
      <c r="AO2303" s="53">
        <f t="shared" si="402"/>
        <v>0</v>
      </c>
      <c r="AP2303" s="53">
        <f t="shared" si="402"/>
        <v>37934268</v>
      </c>
      <c r="AQ2303" s="53">
        <f t="shared" si="402"/>
        <v>8327958.0000000009</v>
      </c>
      <c r="AR2303" s="53">
        <f t="shared" si="402"/>
        <v>0</v>
      </c>
      <c r="AS2303" s="53">
        <f t="shared" si="402"/>
        <v>0</v>
      </c>
      <c r="AT2303" s="53">
        <f t="shared" si="402"/>
        <v>0</v>
      </c>
      <c r="AU2303" s="53">
        <f t="shared" si="402"/>
        <v>0</v>
      </c>
      <c r="AV2303" s="53">
        <f t="shared" si="402"/>
        <v>0</v>
      </c>
      <c r="AW2303" s="53">
        <f t="shared" si="402"/>
        <v>0</v>
      </c>
      <c r="AX2303" s="53">
        <f t="shared" si="403"/>
        <v>224363977.95870081</v>
      </c>
      <c r="AY2303" s="41" t="s">
        <v>557</v>
      </c>
    </row>
    <row r="2304" spans="1:51" x14ac:dyDescent="0.2">
      <c r="A2304" s="41" t="s">
        <v>446</v>
      </c>
      <c r="B2304" s="41">
        <v>1995</v>
      </c>
      <c r="C2304" s="41" t="s">
        <v>96</v>
      </c>
      <c r="D2304" s="41" t="s">
        <v>681</v>
      </c>
      <c r="E2304" s="47">
        <v>69.720576249863839</v>
      </c>
      <c r="F2304" s="41" t="s">
        <v>577</v>
      </c>
      <c r="G2304" s="53">
        <v>3036761</v>
      </c>
      <c r="I2304" s="41">
        <v>10.3</v>
      </c>
      <c r="J2304" s="54">
        <f t="shared" si="404"/>
        <v>1.8591828596323516</v>
      </c>
      <c r="T2304" s="53">
        <v>26399.857</v>
      </c>
      <c r="U2304" s="53">
        <v>2822.9470000000001</v>
      </c>
      <c r="AM2304" s="53">
        <v>39600000</v>
      </c>
      <c r="AO2304" s="53">
        <f t="shared" si="402"/>
        <v>0</v>
      </c>
      <c r="AP2304" s="53">
        <f t="shared" si="402"/>
        <v>31278638.300000001</v>
      </c>
      <c r="AQ2304" s="53">
        <f t="shared" si="402"/>
        <v>5645894</v>
      </c>
      <c r="AR2304" s="53">
        <f t="shared" si="402"/>
        <v>0</v>
      </c>
      <c r="AS2304" s="53">
        <f t="shared" si="402"/>
        <v>0</v>
      </c>
      <c r="AT2304" s="53">
        <f t="shared" si="402"/>
        <v>0</v>
      </c>
      <c r="AU2304" s="53">
        <f t="shared" si="402"/>
        <v>0</v>
      </c>
      <c r="AV2304" s="53">
        <f t="shared" si="402"/>
        <v>0</v>
      </c>
      <c r="AW2304" s="53">
        <f t="shared" si="402"/>
        <v>0</v>
      </c>
      <c r="AX2304" s="53">
        <f t="shared" si="403"/>
        <v>211724726.85311276</v>
      </c>
      <c r="AY2304" s="41" t="s">
        <v>557</v>
      </c>
    </row>
    <row r="2305" spans="1:51" x14ac:dyDescent="0.2">
      <c r="A2305" s="41" t="s">
        <v>446</v>
      </c>
      <c r="B2305" s="41">
        <v>1996</v>
      </c>
      <c r="C2305" s="41" t="s">
        <v>96</v>
      </c>
      <c r="D2305" s="41" t="s">
        <v>681</v>
      </c>
      <c r="E2305" s="47">
        <v>88.099488603929728</v>
      </c>
      <c r="F2305" s="41" t="s">
        <v>577</v>
      </c>
      <c r="G2305" s="53">
        <v>4818182</v>
      </c>
      <c r="I2305" s="41">
        <v>7.1</v>
      </c>
      <c r="J2305" s="54">
        <f t="shared" si="404"/>
        <v>1.3753064952714531</v>
      </c>
      <c r="T2305" s="53">
        <v>26584.964200000002</v>
      </c>
      <c r="U2305" s="53">
        <v>3313.2384999999999</v>
      </c>
      <c r="AM2305" s="53">
        <v>46281818</v>
      </c>
      <c r="AO2305" s="53">
        <f t="shared" si="402"/>
        <v>0</v>
      </c>
      <c r="AP2305" s="53">
        <f t="shared" si="402"/>
        <v>34209092.199999996</v>
      </c>
      <c r="AQ2305" s="53">
        <f t="shared" si="402"/>
        <v>6626477</v>
      </c>
      <c r="AR2305" s="53">
        <f t="shared" si="402"/>
        <v>0</v>
      </c>
      <c r="AS2305" s="53">
        <f t="shared" si="402"/>
        <v>0</v>
      </c>
      <c r="AT2305" s="53">
        <f t="shared" si="402"/>
        <v>0</v>
      </c>
      <c r="AU2305" s="53">
        <f t="shared" si="402"/>
        <v>0</v>
      </c>
      <c r="AV2305" s="53">
        <f t="shared" si="402"/>
        <v>0</v>
      </c>
      <c r="AW2305" s="53">
        <f t="shared" si="402"/>
        <v>0</v>
      </c>
      <c r="AX2305" s="53">
        <f t="shared" si="403"/>
        <v>424479370.20065933</v>
      </c>
      <c r="AY2305" s="41" t="s">
        <v>557</v>
      </c>
    </row>
    <row r="2306" spans="1:51" x14ac:dyDescent="0.2">
      <c r="A2306" s="41" t="s">
        <v>446</v>
      </c>
      <c r="B2306" s="41">
        <v>1997</v>
      </c>
      <c r="C2306" s="41" t="s">
        <v>96</v>
      </c>
      <c r="D2306" s="41" t="s">
        <v>681</v>
      </c>
      <c r="E2306" s="58">
        <v>85</v>
      </c>
      <c r="F2306" s="41" t="s">
        <v>577</v>
      </c>
      <c r="G2306" s="53">
        <v>4382000</v>
      </c>
      <c r="I2306" s="41">
        <v>6.9</v>
      </c>
      <c r="J2306" s="54">
        <f t="shared" si="404"/>
        <v>1.426242309447741</v>
      </c>
      <c r="T2306" s="53">
        <v>22164.845600000001</v>
      </c>
      <c r="U2306" s="53">
        <v>3124.8969000000002</v>
      </c>
      <c r="AM2306" s="53">
        <v>60800000</v>
      </c>
      <c r="AO2306" s="53">
        <f t="shared" si="402"/>
        <v>0</v>
      </c>
      <c r="AP2306" s="53">
        <f t="shared" si="402"/>
        <v>30235800</v>
      </c>
      <c r="AQ2306" s="53">
        <f t="shared" si="402"/>
        <v>6249793.8000000007</v>
      </c>
      <c r="AR2306" s="53">
        <f t="shared" si="402"/>
        <v>0</v>
      </c>
      <c r="AS2306" s="53">
        <f t="shared" si="402"/>
        <v>0</v>
      </c>
      <c r="AT2306" s="53">
        <f t="shared" si="402"/>
        <v>0</v>
      </c>
      <c r="AU2306" s="53">
        <f t="shared" si="402"/>
        <v>0</v>
      </c>
      <c r="AV2306" s="53">
        <f t="shared" si="402"/>
        <v>0</v>
      </c>
      <c r="AW2306" s="53">
        <f t="shared" si="402"/>
        <v>0</v>
      </c>
      <c r="AX2306" s="53">
        <f t="shared" si="403"/>
        <v>372470000</v>
      </c>
      <c r="AY2306" s="41" t="s">
        <v>557</v>
      </c>
    </row>
    <row r="2307" spans="1:51" x14ac:dyDescent="0.2">
      <c r="A2307" s="41" t="s">
        <v>446</v>
      </c>
      <c r="B2307" s="41">
        <v>1998</v>
      </c>
      <c r="C2307" s="41" t="s">
        <v>96</v>
      </c>
      <c r="D2307" s="41" t="s">
        <v>681</v>
      </c>
      <c r="E2307" s="58">
        <v>85</v>
      </c>
      <c r="F2307" s="41" t="s">
        <v>577</v>
      </c>
      <c r="G2307" s="53">
        <v>5748000</v>
      </c>
      <c r="I2307" s="41">
        <v>5.3</v>
      </c>
      <c r="J2307" s="54">
        <f t="shared" si="404"/>
        <v>0.99136931106471815</v>
      </c>
      <c r="T2307" s="53">
        <v>22603.728800000001</v>
      </c>
      <c r="U2307" s="53">
        <v>2849.1954000000001</v>
      </c>
      <c r="AM2307" s="53">
        <v>61700000</v>
      </c>
      <c r="AO2307" s="53">
        <f t="shared" si="402"/>
        <v>0</v>
      </c>
      <c r="AP2307" s="53">
        <f t="shared" si="402"/>
        <v>30464400</v>
      </c>
      <c r="AQ2307" s="53">
        <f t="shared" si="402"/>
        <v>5698390.7999999998</v>
      </c>
      <c r="AR2307" s="53">
        <f t="shared" si="402"/>
        <v>0</v>
      </c>
      <c r="AS2307" s="53">
        <f t="shared" si="402"/>
        <v>0</v>
      </c>
      <c r="AT2307" s="53">
        <f t="shared" si="402"/>
        <v>0</v>
      </c>
      <c r="AU2307" s="53">
        <f t="shared" si="402"/>
        <v>0</v>
      </c>
      <c r="AV2307" s="53">
        <f t="shared" si="402"/>
        <v>0</v>
      </c>
      <c r="AW2307" s="53">
        <f t="shared" si="402"/>
        <v>0</v>
      </c>
      <c r="AX2307" s="53">
        <f t="shared" si="403"/>
        <v>488580000</v>
      </c>
      <c r="AY2307" s="41" t="s">
        <v>557</v>
      </c>
    </row>
    <row r="2308" spans="1:51" x14ac:dyDescent="0.2">
      <c r="A2308" s="41" t="s">
        <v>446</v>
      </c>
      <c r="B2308" s="41">
        <v>1999</v>
      </c>
      <c r="C2308" s="41" t="s">
        <v>96</v>
      </c>
      <c r="D2308" s="41" t="s">
        <v>681</v>
      </c>
      <c r="E2308" s="58">
        <v>85</v>
      </c>
      <c r="F2308" s="41" t="s">
        <v>577</v>
      </c>
      <c r="G2308" s="53">
        <v>5604000</v>
      </c>
      <c r="I2308" s="41">
        <v>5.4</v>
      </c>
      <c r="J2308" s="54">
        <f t="shared" si="404"/>
        <v>1.1176243397573162</v>
      </c>
      <c r="T2308" s="53">
        <v>23472.849400000003</v>
      </c>
      <c r="U2308" s="53">
        <v>3131.5834000000004</v>
      </c>
      <c r="AM2308" s="53">
        <v>56200000</v>
      </c>
      <c r="AO2308" s="53">
        <f t="shared" si="402"/>
        <v>0</v>
      </c>
      <c r="AP2308" s="53">
        <f t="shared" si="402"/>
        <v>30261600.000000004</v>
      </c>
      <c r="AQ2308" s="53">
        <f t="shared" si="402"/>
        <v>6263166.7999999998</v>
      </c>
      <c r="AR2308" s="53">
        <f t="shared" si="402"/>
        <v>0</v>
      </c>
      <c r="AS2308" s="53">
        <f t="shared" si="402"/>
        <v>0</v>
      </c>
      <c r="AT2308" s="53">
        <f t="shared" si="402"/>
        <v>0</v>
      </c>
      <c r="AU2308" s="53">
        <f t="shared" si="402"/>
        <v>0</v>
      </c>
      <c r="AV2308" s="53">
        <f t="shared" si="402"/>
        <v>0</v>
      </c>
      <c r="AW2308" s="53">
        <f t="shared" si="402"/>
        <v>0</v>
      </c>
      <c r="AX2308" s="53">
        <f t="shared" si="403"/>
        <v>476340000</v>
      </c>
      <c r="AY2308" s="41" t="s">
        <v>557</v>
      </c>
    </row>
    <row r="2309" spans="1:51" x14ac:dyDescent="0.2">
      <c r="A2309" s="41" t="s">
        <v>446</v>
      </c>
      <c r="B2309" s="41">
        <v>2000</v>
      </c>
      <c r="C2309" s="41" t="s">
        <v>96</v>
      </c>
      <c r="D2309" s="41" t="s">
        <v>681</v>
      </c>
      <c r="E2309" s="58">
        <v>85</v>
      </c>
      <c r="F2309" s="41" t="s">
        <v>577</v>
      </c>
      <c r="G2309" s="53">
        <v>6022000</v>
      </c>
      <c r="I2309" s="41">
        <v>5.8</v>
      </c>
      <c r="J2309" s="54">
        <f t="shared" si="404"/>
        <v>1.1390181335104617</v>
      </c>
      <c r="T2309" s="53">
        <v>28314.497400000004</v>
      </c>
      <c r="U2309" s="53">
        <v>3429.5835999999999</v>
      </c>
      <c r="AM2309" s="53">
        <v>67700000</v>
      </c>
      <c r="AO2309" s="53">
        <f t="shared" si="402"/>
        <v>0</v>
      </c>
      <c r="AP2309" s="53">
        <f t="shared" si="402"/>
        <v>34927600</v>
      </c>
      <c r="AQ2309" s="53">
        <f t="shared" si="402"/>
        <v>6859167.2000000002</v>
      </c>
      <c r="AR2309" s="53">
        <f t="shared" si="402"/>
        <v>0</v>
      </c>
      <c r="AS2309" s="53">
        <f t="shared" si="402"/>
        <v>0</v>
      </c>
      <c r="AT2309" s="53">
        <f t="shared" si="402"/>
        <v>0</v>
      </c>
      <c r="AU2309" s="53">
        <f t="shared" si="402"/>
        <v>0</v>
      </c>
      <c r="AV2309" s="53">
        <f t="shared" si="402"/>
        <v>0</v>
      </c>
      <c r="AW2309" s="53">
        <f t="shared" si="402"/>
        <v>0</v>
      </c>
      <c r="AX2309" s="53">
        <f t="shared" si="403"/>
        <v>511870000</v>
      </c>
      <c r="AY2309" s="41" t="s">
        <v>557</v>
      </c>
    </row>
    <row r="2310" spans="1:51" x14ac:dyDescent="0.2">
      <c r="A2310" s="41" t="s">
        <v>446</v>
      </c>
      <c r="B2310" s="41">
        <v>2001</v>
      </c>
      <c r="C2310" s="41" t="s">
        <v>96</v>
      </c>
      <c r="D2310" s="41" t="s">
        <v>681</v>
      </c>
      <c r="E2310" s="58">
        <v>85</v>
      </c>
      <c r="F2310" s="41" t="s">
        <v>577</v>
      </c>
      <c r="G2310" s="53">
        <v>5762000</v>
      </c>
      <c r="I2310" s="41">
        <v>4.9000000000000004</v>
      </c>
      <c r="J2310" s="54">
        <f t="shared" si="404"/>
        <v>1.2202836862200626</v>
      </c>
      <c r="T2310" s="53">
        <v>23655.3442</v>
      </c>
      <c r="U2310" s="53">
        <v>3515.6373000000003</v>
      </c>
      <c r="AM2310" s="53">
        <v>68300000</v>
      </c>
      <c r="AO2310" s="53">
        <f t="shared" si="402"/>
        <v>0</v>
      </c>
      <c r="AP2310" s="53">
        <f t="shared" si="402"/>
        <v>28233800.000000004</v>
      </c>
      <c r="AQ2310" s="53">
        <f t="shared" si="402"/>
        <v>7031274.6000000006</v>
      </c>
      <c r="AR2310" s="53">
        <f t="shared" si="402"/>
        <v>0</v>
      </c>
      <c r="AS2310" s="53">
        <f t="shared" si="402"/>
        <v>0</v>
      </c>
      <c r="AT2310" s="53">
        <f t="shared" si="402"/>
        <v>0</v>
      </c>
      <c r="AU2310" s="53">
        <f t="shared" si="402"/>
        <v>0</v>
      </c>
      <c r="AV2310" s="53">
        <f t="shared" si="402"/>
        <v>0</v>
      </c>
      <c r="AW2310" s="53">
        <f t="shared" si="402"/>
        <v>0</v>
      </c>
      <c r="AX2310" s="53">
        <f t="shared" si="403"/>
        <v>489770000</v>
      </c>
      <c r="AY2310" s="41" t="s">
        <v>557</v>
      </c>
    </row>
    <row r="2311" spans="1:51" x14ac:dyDescent="0.2">
      <c r="A2311" s="41" t="s">
        <v>446</v>
      </c>
      <c r="B2311" s="41">
        <v>2002</v>
      </c>
      <c r="C2311" s="41" t="s">
        <v>96</v>
      </c>
      <c r="D2311" s="41" t="s">
        <v>681</v>
      </c>
      <c r="E2311" s="58">
        <v>85</v>
      </c>
      <c r="F2311" s="41" t="s">
        <v>577</v>
      </c>
      <c r="G2311" s="53">
        <v>4874000</v>
      </c>
      <c r="I2311" s="41">
        <v>5.2</v>
      </c>
      <c r="J2311" s="54">
        <f t="shared" si="404"/>
        <v>1.6178125564218302</v>
      </c>
      <c r="T2311" s="53">
        <v>22937.431800000002</v>
      </c>
      <c r="U2311" s="53">
        <v>3942.6092000000003</v>
      </c>
      <c r="AM2311" s="53">
        <v>57200000</v>
      </c>
      <c r="AO2311" s="53">
        <f t="shared" si="402"/>
        <v>0</v>
      </c>
      <c r="AP2311" s="53">
        <f t="shared" si="402"/>
        <v>25344800</v>
      </c>
      <c r="AQ2311" s="53">
        <f t="shared" si="402"/>
        <v>7885218.4000000004</v>
      </c>
      <c r="AR2311" s="53">
        <f t="shared" si="402"/>
        <v>0</v>
      </c>
      <c r="AS2311" s="53">
        <f t="shared" si="402"/>
        <v>0</v>
      </c>
      <c r="AT2311" s="53">
        <f t="shared" si="402"/>
        <v>0</v>
      </c>
      <c r="AU2311" s="53">
        <f t="shared" si="402"/>
        <v>0</v>
      </c>
      <c r="AV2311" s="53">
        <f t="shared" si="402"/>
        <v>0</v>
      </c>
      <c r="AW2311" s="53">
        <f t="shared" si="402"/>
        <v>0</v>
      </c>
      <c r="AX2311" s="53">
        <f t="shared" si="403"/>
        <v>414290000</v>
      </c>
      <c r="AY2311" s="41" t="s">
        <v>557</v>
      </c>
    </row>
    <row r="2312" spans="1:51" x14ac:dyDescent="0.2">
      <c r="A2312" s="41" t="s">
        <v>446</v>
      </c>
      <c r="B2312" s="41">
        <v>2003</v>
      </c>
      <c r="C2312" s="41" t="s">
        <v>96</v>
      </c>
      <c r="D2312" s="41" t="s">
        <v>681</v>
      </c>
      <c r="E2312" s="58">
        <v>85</v>
      </c>
      <c r="F2312" s="41" t="s">
        <v>577</v>
      </c>
      <c r="G2312" s="53">
        <v>5656000</v>
      </c>
      <c r="I2312" s="41">
        <v>5.3</v>
      </c>
      <c r="J2312" s="54">
        <f t="shared" si="404"/>
        <v>1.8111351131541729</v>
      </c>
      <c r="T2312" s="53">
        <v>26494.712</v>
      </c>
      <c r="U2312" s="53">
        <v>5121.8901000000005</v>
      </c>
      <c r="AM2312" s="53">
        <v>61400000</v>
      </c>
      <c r="AO2312" s="53">
        <f t="shared" si="402"/>
        <v>0</v>
      </c>
      <c r="AP2312" s="53">
        <f t="shared" si="402"/>
        <v>29976800</v>
      </c>
      <c r="AQ2312" s="53">
        <f t="shared" si="402"/>
        <v>10243780.200000001</v>
      </c>
      <c r="AR2312" s="53">
        <f t="shared" si="402"/>
        <v>0</v>
      </c>
      <c r="AS2312" s="53">
        <f t="shared" si="402"/>
        <v>0</v>
      </c>
      <c r="AT2312" s="53">
        <f t="shared" si="402"/>
        <v>0</v>
      </c>
      <c r="AU2312" s="53">
        <f t="shared" si="402"/>
        <v>0</v>
      </c>
      <c r="AV2312" s="53">
        <f t="shared" si="402"/>
        <v>0</v>
      </c>
      <c r="AW2312" s="53">
        <f t="shared" si="402"/>
        <v>0</v>
      </c>
      <c r="AX2312" s="53">
        <f t="shared" si="403"/>
        <v>480760000</v>
      </c>
      <c r="AY2312" s="41" t="s">
        <v>557</v>
      </c>
    </row>
    <row r="2313" spans="1:51" x14ac:dyDescent="0.2">
      <c r="A2313" s="41" t="s">
        <v>446</v>
      </c>
      <c r="B2313" s="41">
        <v>2004</v>
      </c>
      <c r="C2313" s="41" t="s">
        <v>96</v>
      </c>
      <c r="D2313" s="41" t="s">
        <v>681</v>
      </c>
      <c r="E2313" s="58">
        <v>85</v>
      </c>
      <c r="F2313" s="41" t="s">
        <v>577</v>
      </c>
      <c r="G2313" s="53">
        <v>6254666.666666667</v>
      </c>
      <c r="I2313" s="41">
        <v>5.8</v>
      </c>
      <c r="J2313" s="54">
        <f t="shared" si="404"/>
        <v>1.8430876998507781</v>
      </c>
      <c r="T2313" s="53">
        <v>31714.079866666671</v>
      </c>
      <c r="U2313" s="53">
        <v>5763.9496000000008</v>
      </c>
      <c r="AM2313" s="76">
        <v>50000000</v>
      </c>
      <c r="AO2313" s="53">
        <f t="shared" si="402"/>
        <v>0</v>
      </c>
      <c r="AP2313" s="53">
        <f t="shared" si="402"/>
        <v>36277066.666666664</v>
      </c>
      <c r="AQ2313" s="53">
        <f t="shared" si="402"/>
        <v>11527899.200000001</v>
      </c>
      <c r="AR2313" s="53">
        <f t="shared" si="402"/>
        <v>0</v>
      </c>
      <c r="AS2313" s="53">
        <f t="shared" si="402"/>
        <v>0</v>
      </c>
      <c r="AT2313" s="53">
        <f t="shared" si="402"/>
        <v>0</v>
      </c>
      <c r="AU2313" s="53">
        <f t="shared" si="402"/>
        <v>0</v>
      </c>
      <c r="AV2313" s="53">
        <f t="shared" si="402"/>
        <v>0</v>
      </c>
      <c r="AW2313" s="53">
        <f t="shared" si="402"/>
        <v>0</v>
      </c>
      <c r="AX2313" s="53">
        <f t="shared" si="403"/>
        <v>531646666.66666669</v>
      </c>
      <c r="AY2313" s="41" t="s">
        <v>557</v>
      </c>
    </row>
    <row r="2314" spans="1:51" x14ac:dyDescent="0.2">
      <c r="A2314" s="41" t="s">
        <v>446</v>
      </c>
      <c r="B2314" s="41">
        <v>2005</v>
      </c>
      <c r="C2314" s="41" t="s">
        <v>96</v>
      </c>
      <c r="D2314" s="41" t="s">
        <v>681</v>
      </c>
      <c r="E2314" s="58">
        <v>85</v>
      </c>
      <c r="F2314" s="41" t="s">
        <v>577</v>
      </c>
      <c r="G2314" s="53">
        <v>5724000</v>
      </c>
      <c r="I2314" s="47">
        <v>5</v>
      </c>
      <c r="J2314" s="54">
        <f t="shared" si="404"/>
        <v>1.7140859538784068</v>
      </c>
      <c r="T2314" s="53">
        <v>26345.763733333337</v>
      </c>
      <c r="U2314" s="53">
        <v>4905.7139999999999</v>
      </c>
      <c r="AM2314" s="76">
        <v>40000000</v>
      </c>
      <c r="AO2314" s="53">
        <f t="shared" si="402"/>
        <v>0</v>
      </c>
      <c r="AP2314" s="53">
        <f t="shared" si="402"/>
        <v>28620000</v>
      </c>
      <c r="AQ2314" s="53">
        <f t="shared" si="402"/>
        <v>9811428</v>
      </c>
      <c r="AR2314" s="53">
        <f t="shared" si="402"/>
        <v>0</v>
      </c>
      <c r="AS2314" s="53">
        <f t="shared" si="402"/>
        <v>0</v>
      </c>
      <c r="AT2314" s="53">
        <f t="shared" si="402"/>
        <v>0</v>
      </c>
      <c r="AU2314" s="53">
        <f t="shared" si="402"/>
        <v>0</v>
      </c>
      <c r="AV2314" s="53">
        <f t="shared" si="402"/>
        <v>0</v>
      </c>
      <c r="AW2314" s="53">
        <f t="shared" si="402"/>
        <v>0</v>
      </c>
      <c r="AX2314" s="53">
        <f t="shared" si="403"/>
        <v>486540000</v>
      </c>
      <c r="AY2314" s="41" t="s">
        <v>557</v>
      </c>
    </row>
    <row r="2315" spans="1:51" x14ac:dyDescent="0.2">
      <c r="A2315" s="41" t="s">
        <v>446</v>
      </c>
      <c r="B2315" s="41">
        <v>2006</v>
      </c>
      <c r="C2315" s="41" t="s">
        <v>96</v>
      </c>
      <c r="D2315" s="41" t="s">
        <v>681</v>
      </c>
      <c r="E2315" s="58">
        <v>85</v>
      </c>
      <c r="F2315" s="41" t="s">
        <v>577</v>
      </c>
      <c r="G2315" s="53">
        <v>4566240</v>
      </c>
      <c r="I2315" s="46">
        <v>3.4966931216931219</v>
      </c>
      <c r="J2315" s="54">
        <f t="shared" si="404"/>
        <v>1.4198998738568276</v>
      </c>
      <c r="T2315" s="53">
        <v>14029.555555555555</v>
      </c>
      <c r="U2315" s="53">
        <v>3241.8018000000002</v>
      </c>
      <c r="AM2315" s="53">
        <v>24652857.599999998</v>
      </c>
      <c r="AO2315" s="53">
        <f t="shared" si="402"/>
        <v>0</v>
      </c>
      <c r="AP2315" s="53">
        <f t="shared" si="402"/>
        <v>15966740</v>
      </c>
      <c r="AQ2315" s="53">
        <f t="shared" si="402"/>
        <v>6483603.6000000006</v>
      </c>
      <c r="AR2315" s="53">
        <f t="shared" si="402"/>
        <v>0</v>
      </c>
      <c r="AS2315" s="53">
        <f t="shared" si="402"/>
        <v>0</v>
      </c>
      <c r="AT2315" s="53">
        <f t="shared" si="402"/>
        <v>0</v>
      </c>
      <c r="AU2315" s="53">
        <f t="shared" si="402"/>
        <v>0</v>
      </c>
      <c r="AV2315" s="53">
        <f t="shared" si="402"/>
        <v>0</v>
      </c>
      <c r="AW2315" s="53">
        <f t="shared" si="402"/>
        <v>0</v>
      </c>
      <c r="AX2315" s="53">
        <f t="shared" si="403"/>
        <v>388130400</v>
      </c>
      <c r="AY2315" s="41" t="s">
        <v>557</v>
      </c>
    </row>
    <row r="2316" spans="1:51" x14ac:dyDescent="0.2">
      <c r="A2316" s="41" t="s">
        <v>446</v>
      </c>
      <c r="B2316" s="41">
        <v>2007</v>
      </c>
      <c r="C2316" s="41" t="s">
        <v>96</v>
      </c>
      <c r="D2316" s="41" t="s">
        <v>681</v>
      </c>
      <c r="E2316" s="58">
        <v>85</v>
      </c>
      <c r="F2316" s="41" t="s">
        <v>577</v>
      </c>
      <c r="G2316" s="53">
        <v>4769962.1052631577</v>
      </c>
      <c r="I2316" s="46">
        <v>3.9080687830687832</v>
      </c>
      <c r="J2316" s="54">
        <f t="shared" si="404"/>
        <v>1.0374703385042892</v>
      </c>
      <c r="T2316" s="53">
        <v>15942.84210526316</v>
      </c>
      <c r="U2316" s="53">
        <v>2474.3471</v>
      </c>
      <c r="AM2316" s="53">
        <v>36162000</v>
      </c>
      <c r="AO2316" s="53">
        <f t="shared" si="402"/>
        <v>0</v>
      </c>
      <c r="AP2316" s="53">
        <f t="shared" si="402"/>
        <v>18641340</v>
      </c>
      <c r="AQ2316" s="53">
        <f t="shared" si="402"/>
        <v>4948694.2</v>
      </c>
      <c r="AR2316" s="53">
        <f t="shared" si="402"/>
        <v>0</v>
      </c>
      <c r="AS2316" s="53">
        <f t="shared" si="402"/>
        <v>0</v>
      </c>
      <c r="AT2316" s="53">
        <f t="shared" si="402"/>
        <v>0</v>
      </c>
      <c r="AU2316" s="53">
        <f t="shared" si="402"/>
        <v>0</v>
      </c>
      <c r="AV2316" s="53">
        <f t="shared" si="402"/>
        <v>0</v>
      </c>
      <c r="AW2316" s="53">
        <f t="shared" si="402"/>
        <v>0</v>
      </c>
      <c r="AX2316" s="53">
        <f t="shared" si="403"/>
        <v>405446778.94736838</v>
      </c>
      <c r="AY2316" s="41" t="s">
        <v>557</v>
      </c>
    </row>
    <row r="2317" spans="1:51" x14ac:dyDescent="0.2">
      <c r="A2317" s="41" t="s">
        <v>446</v>
      </c>
      <c r="B2317" s="41">
        <v>2008</v>
      </c>
      <c r="C2317" s="41" t="s">
        <v>96</v>
      </c>
      <c r="D2317" s="41" t="s">
        <v>681</v>
      </c>
      <c r="E2317" s="58">
        <v>85</v>
      </c>
      <c r="F2317" s="41" t="s">
        <v>577</v>
      </c>
      <c r="G2317" s="53">
        <v>6048636.6315789474</v>
      </c>
      <c r="I2317" s="46">
        <v>3.9766313932980601</v>
      </c>
      <c r="J2317" s="54">
        <f t="shared" si="404"/>
        <v>0.93177063581165775</v>
      </c>
      <c r="T2317" s="53">
        <v>20526</v>
      </c>
      <c r="U2317" s="53">
        <v>2817.971</v>
      </c>
      <c r="AM2317" s="53">
        <v>37433936.842105262</v>
      </c>
      <c r="AO2317" s="53">
        <f t="shared" si="402"/>
        <v>0</v>
      </c>
      <c r="AP2317" s="53">
        <f t="shared" si="402"/>
        <v>24053198.315789476</v>
      </c>
      <c r="AQ2317" s="53">
        <f t="shared" si="402"/>
        <v>5635942</v>
      </c>
      <c r="AR2317" s="53">
        <f t="shared" si="402"/>
        <v>0</v>
      </c>
      <c r="AS2317" s="53">
        <f t="shared" si="402"/>
        <v>0</v>
      </c>
      <c r="AT2317" s="53">
        <f t="shared" si="402"/>
        <v>0</v>
      </c>
      <c r="AU2317" s="53">
        <f t="shared" si="402"/>
        <v>0</v>
      </c>
      <c r="AV2317" s="53">
        <f t="shared" si="402"/>
        <v>0</v>
      </c>
      <c r="AW2317" s="53">
        <f t="shared" si="402"/>
        <v>0</v>
      </c>
      <c r="AX2317" s="53">
        <f t="shared" si="403"/>
        <v>514134113.68421054</v>
      </c>
      <c r="AY2317" s="41" t="s">
        <v>557</v>
      </c>
    </row>
    <row r="2318" spans="1:51" x14ac:dyDescent="0.2">
      <c r="A2318" s="41" t="s">
        <v>446</v>
      </c>
      <c r="B2318" s="41">
        <v>2009</v>
      </c>
      <c r="C2318" s="41" t="s">
        <v>96</v>
      </c>
      <c r="D2318" s="41" t="s">
        <v>681</v>
      </c>
      <c r="E2318" s="58">
        <v>85</v>
      </c>
      <c r="F2318" s="41" t="s">
        <v>577</v>
      </c>
      <c r="G2318" s="53">
        <v>5426010.9473684216</v>
      </c>
      <c r="I2318" s="46">
        <v>3.7709435626102294</v>
      </c>
      <c r="J2318" s="54">
        <f t="shared" si="404"/>
        <v>1.0863083132662505</v>
      </c>
      <c r="T2318" s="53">
        <v>18038</v>
      </c>
      <c r="U2318" s="53">
        <v>2947.1603999999998</v>
      </c>
      <c r="AM2318" s="53">
        <v>30911646.315789476</v>
      </c>
      <c r="AO2318" s="53">
        <f t="shared" si="402"/>
        <v>0</v>
      </c>
      <c r="AP2318" s="53">
        <f t="shared" si="402"/>
        <v>20461181.052631583</v>
      </c>
      <c r="AQ2318" s="53">
        <f t="shared" si="402"/>
        <v>5894320.7999999998</v>
      </c>
      <c r="AR2318" s="53">
        <f t="shared" si="402"/>
        <v>0</v>
      </c>
      <c r="AS2318" s="53">
        <f t="shared" si="402"/>
        <v>0</v>
      </c>
      <c r="AT2318" s="53">
        <f t="shared" si="402"/>
        <v>0</v>
      </c>
      <c r="AU2318" s="53">
        <f t="shared" si="402"/>
        <v>0</v>
      </c>
      <c r="AV2318" s="53">
        <f t="shared" si="402"/>
        <v>0</v>
      </c>
      <c r="AW2318" s="53">
        <f t="shared" si="402"/>
        <v>0</v>
      </c>
      <c r="AX2318" s="53">
        <f t="shared" si="403"/>
        <v>461210930.52631581</v>
      </c>
      <c r="AY2318" s="41" t="s">
        <v>557</v>
      </c>
    </row>
    <row r="2319" spans="1:51" x14ac:dyDescent="0.2">
      <c r="A2319" s="41" t="s">
        <v>446</v>
      </c>
      <c r="B2319" s="41">
        <v>2010</v>
      </c>
      <c r="C2319" s="41" t="s">
        <v>96</v>
      </c>
      <c r="D2319" s="41" t="s">
        <v>681</v>
      </c>
      <c r="E2319" s="58">
        <v>85</v>
      </c>
      <c r="F2319" s="41" t="s">
        <v>577</v>
      </c>
      <c r="G2319" s="53">
        <v>5200643.3684210535</v>
      </c>
      <c r="I2319" s="46">
        <v>3.7709435626102294</v>
      </c>
      <c r="J2319" s="58">
        <v>1</v>
      </c>
      <c r="T2319" s="53">
        <v>16990.42105263158</v>
      </c>
      <c r="U2319" s="76">
        <f>0.5*J2319*G2319/1000</f>
        <v>2600.3216842105267</v>
      </c>
      <c r="AM2319" s="53">
        <v>28424963.368421052</v>
      </c>
      <c r="AO2319" s="53">
        <f t="shared" si="402"/>
        <v>0</v>
      </c>
      <c r="AP2319" s="53">
        <f t="shared" si="402"/>
        <v>19611332.631578952</v>
      </c>
      <c r="AQ2319" s="53">
        <f t="shared" si="402"/>
        <v>5200643.3684210535</v>
      </c>
      <c r="AR2319" s="53">
        <f t="shared" si="402"/>
        <v>0</v>
      </c>
      <c r="AS2319" s="53">
        <f t="shared" si="402"/>
        <v>0</v>
      </c>
      <c r="AT2319" s="53">
        <f t="shared" si="402"/>
        <v>0</v>
      </c>
      <c r="AU2319" s="53">
        <f t="shared" si="402"/>
        <v>0</v>
      </c>
      <c r="AV2319" s="53">
        <f t="shared" si="402"/>
        <v>0</v>
      </c>
      <c r="AW2319" s="53">
        <f t="shared" si="402"/>
        <v>0</v>
      </c>
      <c r="AX2319" s="53">
        <f t="shared" si="403"/>
        <v>442054686.31578952</v>
      </c>
      <c r="AY2319" s="41" t="s">
        <v>557</v>
      </c>
    </row>
    <row r="2320" spans="1:51" x14ac:dyDescent="0.2">
      <c r="A2320" s="41" t="s">
        <v>446</v>
      </c>
      <c r="B2320" s="41">
        <v>2011</v>
      </c>
      <c r="C2320" s="41" t="s">
        <v>96</v>
      </c>
      <c r="D2320" s="41" t="s">
        <v>681</v>
      </c>
      <c r="E2320" s="58">
        <v>85</v>
      </c>
      <c r="F2320" s="41" t="s">
        <v>577</v>
      </c>
      <c r="G2320" s="53">
        <v>5343885.4736842113</v>
      </c>
      <c r="I2320" s="46">
        <v>3.5309744268077603</v>
      </c>
      <c r="J2320" s="58">
        <v>1</v>
      </c>
      <c r="T2320" s="53">
        <v>16368.42105263158</v>
      </c>
      <c r="U2320" s="76">
        <f>0.5*J2320*G2320/1000</f>
        <v>2671.9427368421057</v>
      </c>
      <c r="AM2320" s="53">
        <v>21812907.789473683</v>
      </c>
      <c r="AO2320" s="53">
        <f t="shared" si="402"/>
        <v>0</v>
      </c>
      <c r="AP2320" s="53">
        <f t="shared" si="402"/>
        <v>18869122.947368424</v>
      </c>
      <c r="AQ2320" s="53">
        <f t="shared" si="402"/>
        <v>5343885.4736842113</v>
      </c>
      <c r="AR2320" s="53">
        <f t="shared" si="402"/>
        <v>0</v>
      </c>
      <c r="AS2320" s="53">
        <f t="shared" si="402"/>
        <v>0</v>
      </c>
      <c r="AT2320" s="53">
        <f t="shared" si="402"/>
        <v>0</v>
      </c>
      <c r="AU2320" s="53">
        <f t="shared" si="402"/>
        <v>0</v>
      </c>
      <c r="AV2320" s="53">
        <f t="shared" si="402"/>
        <v>0</v>
      </c>
      <c r="AW2320" s="53">
        <f t="shared" si="402"/>
        <v>0</v>
      </c>
      <c r="AX2320" s="53">
        <f t="shared" si="403"/>
        <v>454230265.26315796</v>
      </c>
      <c r="AY2320" s="41" t="s">
        <v>557</v>
      </c>
    </row>
    <row r="2321" spans="1:51" x14ac:dyDescent="0.2">
      <c r="A2321" s="41" t="s">
        <v>446</v>
      </c>
      <c r="B2321" s="41">
        <v>2012</v>
      </c>
      <c r="C2321" s="41" t="s">
        <v>96</v>
      </c>
      <c r="D2321" s="41" t="s">
        <v>681</v>
      </c>
      <c r="E2321" s="58">
        <v>85</v>
      </c>
      <c r="F2321" s="41" t="s">
        <v>577</v>
      </c>
      <c r="G2321" s="53">
        <v>5224517.0526315793</v>
      </c>
      <c r="I2321" s="46">
        <v>3.1881613756613758</v>
      </c>
      <c r="J2321" s="58">
        <v>1</v>
      </c>
      <c r="T2321" s="53">
        <v>14273.263157894738</v>
      </c>
      <c r="U2321" s="76">
        <f>0.5*J2321*G2321/1000</f>
        <v>2612.2585263157898</v>
      </c>
      <c r="AM2321" s="53">
        <v>17865155.368421055</v>
      </c>
      <c r="AO2321" s="53">
        <f t="shared" si="402"/>
        <v>0</v>
      </c>
      <c r="AP2321" s="53">
        <f t="shared" si="402"/>
        <v>16656603.473684212</v>
      </c>
      <c r="AQ2321" s="53">
        <f t="shared" si="402"/>
        <v>5224517.0526315793</v>
      </c>
      <c r="AR2321" s="53">
        <f t="shared" si="402"/>
        <v>0</v>
      </c>
      <c r="AS2321" s="53">
        <f t="shared" si="402"/>
        <v>0</v>
      </c>
      <c r="AT2321" s="53">
        <f t="shared" si="402"/>
        <v>0</v>
      </c>
      <c r="AU2321" s="53">
        <f t="shared" si="402"/>
        <v>0</v>
      </c>
      <c r="AV2321" s="53">
        <f t="shared" si="402"/>
        <v>0</v>
      </c>
      <c r="AW2321" s="53">
        <f t="shared" si="402"/>
        <v>0</v>
      </c>
      <c r="AX2321" s="53">
        <f t="shared" si="403"/>
        <v>444083949.47368425</v>
      </c>
      <c r="AY2321" s="41" t="s">
        <v>557</v>
      </c>
    </row>
    <row r="2322" spans="1:51" x14ac:dyDescent="0.2">
      <c r="A2322" s="41" t="s">
        <v>446</v>
      </c>
      <c r="B2322" s="41">
        <v>2013</v>
      </c>
      <c r="C2322" s="41" t="s">
        <v>96</v>
      </c>
      <c r="D2322" s="41" t="s">
        <v>681</v>
      </c>
      <c r="E2322" s="58">
        <v>85</v>
      </c>
      <c r="F2322" s="41" t="s">
        <v>577</v>
      </c>
      <c r="G2322" s="53">
        <v>5354000</v>
      </c>
      <c r="I2322" s="46">
        <v>3.2224426807760143</v>
      </c>
      <c r="J2322" s="58">
        <v>1</v>
      </c>
      <c r="T2322" s="53">
        <v>15779.157894736843</v>
      </c>
      <c r="U2322" s="76">
        <f>0.5*J2322*G2322/1000</f>
        <v>2677</v>
      </c>
      <c r="AM2322" s="53">
        <v>13972631.578947369</v>
      </c>
      <c r="AO2322" s="53">
        <f t="shared" si="402"/>
        <v>0</v>
      </c>
      <c r="AP2322" s="53">
        <f t="shared" si="402"/>
        <v>17252958.11287478</v>
      </c>
      <c r="AQ2322" s="53">
        <f t="shared" si="402"/>
        <v>5354000</v>
      </c>
      <c r="AR2322" s="53">
        <f t="shared" si="402"/>
        <v>0</v>
      </c>
      <c r="AS2322" s="53">
        <f t="shared" si="402"/>
        <v>0</v>
      </c>
      <c r="AT2322" s="53">
        <f t="shared" si="402"/>
        <v>0</v>
      </c>
      <c r="AU2322" s="53">
        <f t="shared" si="402"/>
        <v>0</v>
      </c>
      <c r="AV2322" s="53">
        <f t="shared" si="402"/>
        <v>0</v>
      </c>
      <c r="AW2322" s="53">
        <f t="shared" si="402"/>
        <v>0</v>
      </c>
      <c r="AX2322" s="53">
        <f t="shared" si="403"/>
        <v>455090000</v>
      </c>
      <c r="AY2322" s="41" t="s">
        <v>557</v>
      </c>
    </row>
    <row r="2323" spans="1:51" x14ac:dyDescent="0.2">
      <c r="A2323" s="41" t="s">
        <v>446</v>
      </c>
      <c r="B2323" s="60" t="s">
        <v>559</v>
      </c>
      <c r="C2323" s="60" t="s">
        <v>96</v>
      </c>
      <c r="D2323" s="60" t="s">
        <v>681</v>
      </c>
      <c r="E2323" s="78">
        <f>AX2323/$G2323</f>
        <v>82.145893688461555</v>
      </c>
      <c r="F2323" s="60" t="s">
        <v>577</v>
      </c>
      <c r="G2323" s="79">
        <f>SUM(G2299:G2322)</f>
        <v>107383796.24561402</v>
      </c>
      <c r="I2323" s="80">
        <f>AP2323/$G2323</f>
        <v>6.1784460588735479</v>
      </c>
      <c r="J2323" s="78">
        <f>AQ2323/$G2323</f>
        <v>1.898504068793001</v>
      </c>
      <c r="T2323" s="79">
        <f>SUM(T2299:T2322)</f>
        <v>572667.96891871351</v>
      </c>
      <c r="U2323" s="79">
        <f>SUM(U2299:U2322)</f>
        <v>101934.28704736845</v>
      </c>
      <c r="AM2323" s="79">
        <f>SUM(AM2299:AM2322)</f>
        <v>879117916.86315799</v>
      </c>
      <c r="AO2323" s="79">
        <f t="shared" ref="AO2323:AX2323" si="405">SUM(AO2299:AO2322)</f>
        <v>0</v>
      </c>
      <c r="AP2323" s="79">
        <f t="shared" si="405"/>
        <v>663464992.70059407</v>
      </c>
      <c r="AQ2323" s="79">
        <f t="shared" si="405"/>
        <v>203868574.09473681</v>
      </c>
      <c r="AR2323" s="79">
        <f t="shared" si="405"/>
        <v>0</v>
      </c>
      <c r="AS2323" s="79">
        <f t="shared" si="405"/>
        <v>0</v>
      </c>
      <c r="AT2323" s="79">
        <f t="shared" si="405"/>
        <v>0</v>
      </c>
      <c r="AU2323" s="79">
        <f t="shared" si="405"/>
        <v>0</v>
      </c>
      <c r="AV2323" s="79">
        <f t="shared" si="405"/>
        <v>0</v>
      </c>
      <c r="AW2323" s="79">
        <f t="shared" si="405"/>
        <v>0</v>
      </c>
      <c r="AX2323" s="79">
        <f t="shared" si="405"/>
        <v>8821137910.2556267</v>
      </c>
      <c r="AY2323" s="41" t="s">
        <v>557</v>
      </c>
    </row>
    <row r="2324" spans="1:51" x14ac:dyDescent="0.2">
      <c r="A2324" s="41" t="s">
        <v>446</v>
      </c>
      <c r="B2324" s="43" t="s">
        <v>560</v>
      </c>
      <c r="G2324" s="53">
        <f>STDEV(G2299:G2322)</f>
        <v>1763487.2239062972</v>
      </c>
      <c r="I2324" s="47">
        <f>STDEV(I2299:I2322)</f>
        <v>16.739664682011938</v>
      </c>
      <c r="J2324" s="47">
        <f>STDEV(J2299:J2322)</f>
        <v>17.202736924850697</v>
      </c>
      <c r="T2324" s="53">
        <f>STDEV(T2299:T2322)</f>
        <v>8699.7662817627934</v>
      </c>
      <c r="U2324" s="53">
        <f>STDEV(U2299:U2322)</f>
        <v>3227.8830716031716</v>
      </c>
      <c r="AM2324" s="53">
        <f>STDEV(AM2299:AM2322)</f>
        <v>19654711.443185493</v>
      </c>
      <c r="AY2324" s="41" t="s">
        <v>557</v>
      </c>
    </row>
    <row r="2325" spans="1:51" x14ac:dyDescent="0.2">
      <c r="A2325" s="41" t="s">
        <v>446</v>
      </c>
      <c r="B2325" s="81" t="s">
        <v>249</v>
      </c>
      <c r="G2325" s="41">
        <f>COUNT(G2299:G2322)</f>
        <v>24</v>
      </c>
      <c r="I2325" s="41">
        <f>COUNT(I2299:I2322)</f>
        <v>24</v>
      </c>
      <c r="J2325" s="41">
        <f>COUNT(J2299:J2322)</f>
        <v>24</v>
      </c>
      <c r="T2325" s="41">
        <f>COUNT(T2299:T2322)</f>
        <v>24</v>
      </c>
      <c r="U2325" s="41">
        <f>COUNT(U2299:U2322)</f>
        <v>24</v>
      </c>
      <c r="AM2325" s="41">
        <f>COUNT(AM2299:AM2322)</f>
        <v>23</v>
      </c>
      <c r="AY2325" s="41" t="s">
        <v>557</v>
      </c>
    </row>
    <row r="2326" spans="1:51" x14ac:dyDescent="0.2">
      <c r="A2326" s="82"/>
      <c r="B2326" s="82"/>
      <c r="C2326" s="82"/>
      <c r="D2326" s="82"/>
      <c r="E2326" s="82"/>
      <c r="F2326" s="82"/>
      <c r="G2326" s="82"/>
      <c r="H2326" s="82"/>
      <c r="I2326" s="82"/>
      <c r="J2326" s="82"/>
      <c r="K2326" s="82"/>
      <c r="L2326" s="82"/>
      <c r="M2326" s="82"/>
      <c r="N2326" s="82"/>
      <c r="O2326" s="82"/>
      <c r="P2326" s="82"/>
      <c r="Q2326" s="82"/>
      <c r="R2326" s="82"/>
      <c r="S2326" s="82"/>
      <c r="T2326" s="82"/>
      <c r="U2326" s="82"/>
      <c r="V2326" s="82"/>
      <c r="W2326" s="82"/>
      <c r="X2326" s="82"/>
      <c r="Y2326" s="82"/>
      <c r="Z2326" s="82"/>
      <c r="AA2326" s="82"/>
      <c r="AB2326" s="82"/>
      <c r="AC2326" s="82"/>
      <c r="AD2326" s="82"/>
      <c r="AE2326" s="82"/>
      <c r="AF2326" s="82"/>
      <c r="AG2326" s="82"/>
      <c r="AH2326" s="82"/>
      <c r="AI2326" s="82"/>
      <c r="AJ2326" s="82"/>
      <c r="AK2326" s="82"/>
      <c r="AL2326" s="82"/>
      <c r="AM2326" s="82"/>
      <c r="AN2326" s="82"/>
      <c r="AO2326" s="82"/>
      <c r="AP2326" s="82"/>
      <c r="AQ2326" s="82"/>
      <c r="AR2326" s="82"/>
      <c r="AS2326" s="82"/>
      <c r="AT2326" s="82"/>
      <c r="AU2326" s="82"/>
      <c r="AV2326" s="82"/>
      <c r="AW2326" s="82"/>
      <c r="AX2326" s="82"/>
      <c r="AY2326" s="41" t="s">
        <v>557</v>
      </c>
    </row>
    <row r="2327" spans="1:51" x14ac:dyDescent="0.2">
      <c r="A2327" s="41" t="s">
        <v>95</v>
      </c>
      <c r="B2327" s="41">
        <v>2006</v>
      </c>
      <c r="C2327" s="41" t="s">
        <v>96</v>
      </c>
      <c r="D2327" s="41" t="s">
        <v>88</v>
      </c>
      <c r="E2327" s="41">
        <v>100</v>
      </c>
      <c r="F2327" s="41" t="s">
        <v>556</v>
      </c>
      <c r="AM2327" s="53">
        <v>10000000</v>
      </c>
      <c r="AY2327" s="41" t="s">
        <v>557</v>
      </c>
    </row>
    <row r="2328" spans="1:51" x14ac:dyDescent="0.2">
      <c r="A2328" s="41" t="s">
        <v>95</v>
      </c>
      <c r="B2328" s="41">
        <v>2007</v>
      </c>
      <c r="C2328" s="41" t="s">
        <v>96</v>
      </c>
      <c r="D2328" s="41" t="s">
        <v>88</v>
      </c>
      <c r="E2328" s="41">
        <v>100</v>
      </c>
      <c r="F2328" s="41" t="s">
        <v>556</v>
      </c>
      <c r="AM2328" s="53">
        <v>67000000</v>
      </c>
      <c r="AY2328" s="41" t="s">
        <v>557</v>
      </c>
    </row>
    <row r="2329" spans="1:51" x14ac:dyDescent="0.2">
      <c r="A2329" s="41" t="s">
        <v>95</v>
      </c>
      <c r="B2329" s="41">
        <v>2008</v>
      </c>
      <c r="C2329" s="41" t="s">
        <v>96</v>
      </c>
      <c r="D2329" s="41" t="s">
        <v>88</v>
      </c>
      <c r="E2329" s="41">
        <v>100</v>
      </c>
      <c r="F2329" s="41" t="s">
        <v>556</v>
      </c>
      <c r="AM2329" s="53">
        <v>65000000</v>
      </c>
      <c r="AY2329" s="41" t="s">
        <v>557</v>
      </c>
    </row>
    <row r="2330" spans="1:51" x14ac:dyDescent="0.2">
      <c r="A2330" s="41" t="s">
        <v>95</v>
      </c>
      <c r="B2330" s="41">
        <v>2009</v>
      </c>
      <c r="C2330" s="41" t="s">
        <v>96</v>
      </c>
      <c r="D2330" s="41" t="s">
        <v>88</v>
      </c>
      <c r="E2330" s="41">
        <v>100</v>
      </c>
      <c r="F2330" s="41" t="s">
        <v>556</v>
      </c>
      <c r="G2330" s="53">
        <v>6538275</v>
      </c>
      <c r="H2330" s="46">
        <v>1.8772522721971774</v>
      </c>
      <c r="I2330" s="46">
        <v>0.61461464988854086</v>
      </c>
      <c r="J2330" s="46">
        <v>4.9625296121683471</v>
      </c>
      <c r="R2330" s="53">
        <v>178066</v>
      </c>
      <c r="S2330" s="53">
        <v>96310</v>
      </c>
      <c r="T2330" s="53">
        <v>2349.1385</v>
      </c>
      <c r="U2330" s="53">
        <v>21775.535800000001</v>
      </c>
      <c r="AM2330" s="53">
        <v>38467993</v>
      </c>
      <c r="AO2330" s="53">
        <f t="shared" ref="AO2330:AW2336" si="406">$G2330*H2330</f>
        <v>12273991.6</v>
      </c>
      <c r="AP2330" s="53">
        <f t="shared" si="406"/>
        <v>4018519.5999999996</v>
      </c>
      <c r="AQ2330" s="53">
        <f t="shared" si="406"/>
        <v>32446383.300000001</v>
      </c>
      <c r="AR2330" s="53">
        <f t="shared" si="406"/>
        <v>0</v>
      </c>
      <c r="AS2330" s="53">
        <f t="shared" si="406"/>
        <v>0</v>
      </c>
      <c r="AT2330" s="53">
        <f t="shared" si="406"/>
        <v>0</v>
      </c>
      <c r="AU2330" s="53">
        <f t="shared" si="406"/>
        <v>0</v>
      </c>
      <c r="AV2330" s="53">
        <f t="shared" si="406"/>
        <v>0</v>
      </c>
      <c r="AW2330" s="53">
        <f t="shared" si="406"/>
        <v>0</v>
      </c>
      <c r="AX2330" s="53">
        <f t="shared" si="403"/>
        <v>653827500</v>
      </c>
      <c r="AY2330" s="41" t="s">
        <v>557</v>
      </c>
    </row>
    <row r="2331" spans="1:51" x14ac:dyDescent="0.2">
      <c r="A2331" s="41" t="s">
        <v>95</v>
      </c>
      <c r="B2331" s="41">
        <v>2010</v>
      </c>
      <c r="C2331" s="41" t="s">
        <v>96</v>
      </c>
      <c r="D2331" s="41" t="s">
        <v>88</v>
      </c>
      <c r="E2331" s="41">
        <v>100</v>
      </c>
      <c r="F2331" s="41" t="s">
        <v>556</v>
      </c>
      <c r="G2331" s="53">
        <v>9537461</v>
      </c>
      <c r="H2331" s="46">
        <v>1.3201994021259957</v>
      </c>
      <c r="I2331" s="46">
        <v>0.82100150658545279</v>
      </c>
      <c r="J2331" s="46">
        <v>2.9586769822702288</v>
      </c>
      <c r="R2331" s="53">
        <v>220589</v>
      </c>
      <c r="S2331" s="53">
        <v>112171</v>
      </c>
      <c r="T2331" s="53">
        <v>6108.04</v>
      </c>
      <c r="U2331" s="53">
        <v>19152.437400000003</v>
      </c>
      <c r="AM2331" s="53">
        <v>53353057</v>
      </c>
      <c r="AO2331" s="53">
        <f t="shared" si="406"/>
        <v>12591350.310000001</v>
      </c>
      <c r="AP2331" s="53">
        <f t="shared" si="406"/>
        <v>7830269.8499999987</v>
      </c>
      <c r="AQ2331" s="53">
        <f t="shared" si="406"/>
        <v>28218266.329999998</v>
      </c>
      <c r="AR2331" s="53">
        <f t="shared" si="406"/>
        <v>0</v>
      </c>
      <c r="AS2331" s="53">
        <f t="shared" si="406"/>
        <v>0</v>
      </c>
      <c r="AT2331" s="53">
        <f t="shared" si="406"/>
        <v>0</v>
      </c>
      <c r="AU2331" s="53">
        <f t="shared" si="406"/>
        <v>0</v>
      </c>
      <c r="AV2331" s="53">
        <f t="shared" si="406"/>
        <v>0</v>
      </c>
      <c r="AW2331" s="53">
        <f t="shared" si="406"/>
        <v>0</v>
      </c>
      <c r="AX2331" s="53">
        <f t="shared" si="403"/>
        <v>953746100</v>
      </c>
      <c r="AY2331" s="41" t="s">
        <v>557</v>
      </c>
    </row>
    <row r="2332" spans="1:51" x14ac:dyDescent="0.2">
      <c r="A2332" s="41" t="s">
        <v>95</v>
      </c>
      <c r="B2332" s="41">
        <v>2011</v>
      </c>
      <c r="C2332" s="41" t="s">
        <v>96</v>
      </c>
      <c r="D2332" s="41" t="s">
        <v>88</v>
      </c>
      <c r="E2332" s="41">
        <v>100</v>
      </c>
      <c r="F2332" s="41" t="s">
        <v>556</v>
      </c>
      <c r="G2332" s="53">
        <v>9891820</v>
      </c>
      <c r="H2332" s="46">
        <v>1.2041720563051088</v>
      </c>
      <c r="I2332" s="46">
        <v>0.64486385417445924</v>
      </c>
      <c r="J2332" s="46">
        <v>2.5234358196974873</v>
      </c>
      <c r="R2332" s="53">
        <v>204225</v>
      </c>
      <c r="S2332" s="53">
        <v>107744</v>
      </c>
      <c r="T2332" s="53">
        <v>4976.2487999999994</v>
      </c>
      <c r="U2332" s="53">
        <v>19061.252199999999</v>
      </c>
      <c r="AM2332" s="53">
        <v>57683667</v>
      </c>
      <c r="AO2332" s="53">
        <f t="shared" si="406"/>
        <v>11911453.230000002</v>
      </c>
      <c r="AP2332" s="53">
        <f t="shared" si="406"/>
        <v>6378877.169999999</v>
      </c>
      <c r="AQ2332" s="53">
        <f t="shared" si="406"/>
        <v>24961372.91</v>
      </c>
      <c r="AR2332" s="53">
        <f t="shared" si="406"/>
        <v>0</v>
      </c>
      <c r="AS2332" s="53">
        <f t="shared" si="406"/>
        <v>0</v>
      </c>
      <c r="AT2332" s="53">
        <f t="shared" si="406"/>
        <v>0</v>
      </c>
      <c r="AU2332" s="53">
        <f t="shared" si="406"/>
        <v>0</v>
      </c>
      <c r="AV2332" s="53">
        <f t="shared" si="406"/>
        <v>0</v>
      </c>
      <c r="AW2332" s="53">
        <f t="shared" si="406"/>
        <v>0</v>
      </c>
      <c r="AX2332" s="53">
        <f t="shared" si="403"/>
        <v>989182000</v>
      </c>
      <c r="AY2332" s="41" t="s">
        <v>557</v>
      </c>
    </row>
    <row r="2333" spans="1:51" x14ac:dyDescent="0.2">
      <c r="A2333" s="41" t="s">
        <v>95</v>
      </c>
      <c r="B2333" s="41">
        <v>2012</v>
      </c>
      <c r="C2333" s="41" t="s">
        <v>96</v>
      </c>
      <c r="D2333" s="41" t="s">
        <v>88</v>
      </c>
      <c r="E2333" s="47">
        <v>94.519688512127644</v>
      </c>
      <c r="F2333" s="41" t="s">
        <v>556</v>
      </c>
      <c r="G2333" s="53">
        <v>9648325</v>
      </c>
      <c r="H2333" s="46">
        <v>1.1858474294761008</v>
      </c>
      <c r="I2333" s="46">
        <v>0.59789590939359938</v>
      </c>
      <c r="J2333" s="46">
        <v>3.0483877242941131</v>
      </c>
      <c r="R2333" s="53">
        <v>202355</v>
      </c>
      <c r="S2333" s="53">
        <v>101737</v>
      </c>
      <c r="T2333" s="53">
        <v>4377.2006000000001</v>
      </c>
      <c r="U2333" s="53">
        <v>22454.1378</v>
      </c>
      <c r="AM2333" s="53">
        <v>73009951</v>
      </c>
      <c r="AO2333" s="53">
        <f t="shared" si="406"/>
        <v>11441441.4</v>
      </c>
      <c r="AP2333" s="53">
        <f t="shared" si="406"/>
        <v>5768694.0499999998</v>
      </c>
      <c r="AQ2333" s="53">
        <f t="shared" si="406"/>
        <v>29411835.489999998</v>
      </c>
      <c r="AR2333" s="53">
        <f t="shared" si="406"/>
        <v>0</v>
      </c>
      <c r="AS2333" s="53">
        <f t="shared" si="406"/>
        <v>0</v>
      </c>
      <c r="AT2333" s="53">
        <f t="shared" si="406"/>
        <v>0</v>
      </c>
      <c r="AU2333" s="53">
        <f t="shared" si="406"/>
        <v>0</v>
      </c>
      <c r="AV2333" s="53">
        <f t="shared" si="406"/>
        <v>0</v>
      </c>
      <c r="AW2333" s="53">
        <f t="shared" si="406"/>
        <v>0</v>
      </c>
      <c r="AX2333" s="53">
        <f t="shared" si="403"/>
        <v>911956673.66377389</v>
      </c>
      <c r="AY2333" s="41" t="s">
        <v>557</v>
      </c>
    </row>
    <row r="2334" spans="1:51" x14ac:dyDescent="0.2">
      <c r="A2334" s="41" t="s">
        <v>95</v>
      </c>
      <c r="B2334" s="41">
        <v>2013</v>
      </c>
      <c r="C2334" s="41" t="s">
        <v>96</v>
      </c>
      <c r="D2334" s="41" t="s">
        <v>88</v>
      </c>
      <c r="E2334" s="47">
        <v>87.296765815817835</v>
      </c>
      <c r="F2334" s="41" t="s">
        <v>556</v>
      </c>
      <c r="G2334" s="53">
        <v>9499296</v>
      </c>
      <c r="H2334" s="46">
        <v>0.87396815195568178</v>
      </c>
      <c r="I2334" s="46">
        <v>0.55097315211569353</v>
      </c>
      <c r="J2334" s="46">
        <v>2.6711755292181651</v>
      </c>
      <c r="R2334" s="53">
        <v>154369</v>
      </c>
      <c r="S2334" s="53">
        <v>73362</v>
      </c>
      <c r="T2334" s="53">
        <v>3982.1995000000002</v>
      </c>
      <c r="U2334" s="53">
        <v>19079.787800000002</v>
      </c>
      <c r="AM2334" s="53">
        <v>78507746</v>
      </c>
      <c r="AO2334" s="53">
        <f t="shared" si="406"/>
        <v>8302082.1699999999</v>
      </c>
      <c r="AP2334" s="53">
        <f t="shared" si="406"/>
        <v>5233857.0599999987</v>
      </c>
      <c r="AQ2334" s="53">
        <f t="shared" si="406"/>
        <v>25374287.02</v>
      </c>
      <c r="AR2334" s="53">
        <f t="shared" si="406"/>
        <v>0</v>
      </c>
      <c r="AS2334" s="53">
        <f t="shared" si="406"/>
        <v>0</v>
      </c>
      <c r="AT2334" s="53">
        <f t="shared" si="406"/>
        <v>0</v>
      </c>
      <c r="AU2334" s="53">
        <f t="shared" si="406"/>
        <v>0</v>
      </c>
      <c r="AV2334" s="53">
        <f t="shared" si="406"/>
        <v>0</v>
      </c>
      <c r="AW2334" s="53">
        <f t="shared" si="406"/>
        <v>0</v>
      </c>
      <c r="AX2334" s="53">
        <f t="shared" si="403"/>
        <v>829257818.32713509</v>
      </c>
      <c r="AY2334" s="41" t="s">
        <v>557</v>
      </c>
    </row>
    <row r="2335" spans="1:51" x14ac:dyDescent="0.2">
      <c r="A2335" s="41" t="s">
        <v>95</v>
      </c>
      <c r="B2335" s="41">
        <v>2014</v>
      </c>
      <c r="C2335" s="41" t="s">
        <v>96</v>
      </c>
      <c r="D2335" s="41" t="s">
        <v>88</v>
      </c>
      <c r="E2335" s="47">
        <v>86.351506481866366</v>
      </c>
      <c r="F2335" s="41" t="s">
        <v>556</v>
      </c>
      <c r="G2335" s="53">
        <v>9870854</v>
      </c>
      <c r="H2335" s="46">
        <v>1.045229920329082</v>
      </c>
      <c r="I2335" s="46">
        <v>0.60043809076701971</v>
      </c>
      <c r="J2335" s="46">
        <v>2.6909421221304659</v>
      </c>
      <c r="R2335" s="53">
        <v>176519</v>
      </c>
      <c r="S2335" s="53">
        <v>92614</v>
      </c>
      <c r="T2335" s="53">
        <v>4608.7712000000001</v>
      </c>
      <c r="U2335" s="53">
        <v>20307.926800000001</v>
      </c>
      <c r="AM2335" s="53">
        <v>67956871</v>
      </c>
      <c r="AO2335" s="53">
        <f t="shared" si="406"/>
        <v>10317311.940000001</v>
      </c>
      <c r="AP2335" s="53">
        <f t="shared" si="406"/>
        <v>5926836.7299999995</v>
      </c>
      <c r="AQ2335" s="53">
        <f t="shared" si="406"/>
        <v>26561896.809999999</v>
      </c>
      <c r="AR2335" s="53">
        <f t="shared" si="406"/>
        <v>0</v>
      </c>
      <c r="AS2335" s="53">
        <f t="shared" si="406"/>
        <v>0</v>
      </c>
      <c r="AT2335" s="53">
        <f t="shared" si="406"/>
        <v>0</v>
      </c>
      <c r="AU2335" s="53">
        <f t="shared" si="406"/>
        <v>0</v>
      </c>
      <c r="AV2335" s="53">
        <f t="shared" si="406"/>
        <v>0</v>
      </c>
      <c r="AW2335" s="53">
        <f t="shared" si="406"/>
        <v>0</v>
      </c>
      <c r="AX2335" s="53">
        <f t="shared" si="403"/>
        <v>852363113.16255653</v>
      </c>
      <c r="AY2335" s="41" t="s">
        <v>557</v>
      </c>
    </row>
    <row r="2336" spans="1:51" x14ac:dyDescent="0.2">
      <c r="A2336" s="41" t="s">
        <v>95</v>
      </c>
      <c r="B2336" s="41">
        <v>2015</v>
      </c>
      <c r="C2336" s="41" t="s">
        <v>96</v>
      </c>
      <c r="D2336" s="41" t="s">
        <v>88</v>
      </c>
      <c r="E2336" s="47">
        <v>87.119373406863815</v>
      </c>
      <c r="F2336" s="41" t="s">
        <v>556</v>
      </c>
      <c r="G2336" s="53">
        <v>10589261</v>
      </c>
      <c r="H2336" s="46">
        <v>1.3867832297267959</v>
      </c>
      <c r="I2336" s="46">
        <v>0.45870013686507499</v>
      </c>
      <c r="J2336" s="46">
        <v>3.0223725092808653</v>
      </c>
      <c r="R2336" s="53">
        <v>255710</v>
      </c>
      <c r="S2336" s="53">
        <v>130305</v>
      </c>
      <c r="T2336" s="53">
        <v>3515.1708000000003</v>
      </c>
      <c r="U2336" s="53">
        <v>23304.753900000003</v>
      </c>
      <c r="AM2336" s="53">
        <v>37985268</v>
      </c>
      <c r="AO2336" s="53">
        <f t="shared" si="406"/>
        <v>14685009.57</v>
      </c>
      <c r="AP2336" s="53">
        <f t="shared" si="406"/>
        <v>4857295.4700000007</v>
      </c>
      <c r="AQ2336" s="53">
        <f t="shared" si="406"/>
        <v>32004691.340000004</v>
      </c>
      <c r="AR2336" s="53">
        <f t="shared" si="406"/>
        <v>0</v>
      </c>
      <c r="AS2336" s="53">
        <f t="shared" si="406"/>
        <v>0</v>
      </c>
      <c r="AT2336" s="53">
        <f t="shared" si="406"/>
        <v>0</v>
      </c>
      <c r="AU2336" s="53">
        <f t="shared" si="406"/>
        <v>0</v>
      </c>
      <c r="AV2336" s="53">
        <f t="shared" si="406"/>
        <v>0</v>
      </c>
      <c r="AW2336" s="53">
        <f t="shared" si="406"/>
        <v>0</v>
      </c>
      <c r="AX2336" s="53">
        <f t="shared" si="403"/>
        <v>922529783.16174018</v>
      </c>
      <c r="AY2336" s="41" t="s">
        <v>557</v>
      </c>
    </row>
    <row r="2337" spans="1:51" x14ac:dyDescent="0.2">
      <c r="A2337" s="41" t="s">
        <v>95</v>
      </c>
      <c r="B2337" s="60" t="s">
        <v>559</v>
      </c>
      <c r="C2337" s="60" t="s">
        <v>96</v>
      </c>
      <c r="D2337" s="60" t="s">
        <v>88</v>
      </c>
      <c r="E2337" s="78">
        <f>AX2337/$G2337</f>
        <v>93.218997611405328</v>
      </c>
      <c r="F2337" s="60" t="s">
        <v>556</v>
      </c>
      <c r="G2337" s="79">
        <f>SUM(G2330:G2336)</f>
        <v>65575292</v>
      </c>
      <c r="H2337" s="80">
        <f>AO2337/SUM($G2330:$G2336)</f>
        <v>1.2431914175845378</v>
      </c>
      <c r="I2337" s="80">
        <f>AP2337/SUM($G2330:$G2336)</f>
        <v>0.61020467785335963</v>
      </c>
      <c r="J2337" s="80">
        <f>AQ2337/SUM($G2330:$G2336)</f>
        <v>3.0343552751545504</v>
      </c>
      <c r="R2337" s="79">
        <f>SUM(R2330:R2336)</f>
        <v>1391833</v>
      </c>
      <c r="S2337" s="79">
        <f>SUM(S2330:S2336)</f>
        <v>714243</v>
      </c>
      <c r="T2337" s="79">
        <f>SUM(T2330:T2336)</f>
        <v>29916.769399999997</v>
      </c>
      <c r="U2337" s="79">
        <f>SUM(U2330:U2336)</f>
        <v>145135.83170000001</v>
      </c>
      <c r="AM2337" s="79">
        <f>SUM(AM2327:AM2336)</f>
        <v>548964553</v>
      </c>
      <c r="AO2337" s="79">
        <f t="shared" ref="AO2337:AX2337" si="407">SUM(AO2330:AO2336)</f>
        <v>81522640.219999999</v>
      </c>
      <c r="AP2337" s="79">
        <f t="shared" si="407"/>
        <v>40014349.929999992</v>
      </c>
      <c r="AQ2337" s="79">
        <f t="shared" si="407"/>
        <v>198978733.19999999</v>
      </c>
      <c r="AR2337" s="79">
        <f t="shared" si="407"/>
        <v>0</v>
      </c>
      <c r="AS2337" s="79">
        <f t="shared" si="407"/>
        <v>0</v>
      </c>
      <c r="AT2337" s="79">
        <f t="shared" si="407"/>
        <v>0</v>
      </c>
      <c r="AU2337" s="79">
        <f t="shared" si="407"/>
        <v>0</v>
      </c>
      <c r="AV2337" s="79">
        <f t="shared" si="407"/>
        <v>0</v>
      </c>
      <c r="AW2337" s="79">
        <f t="shared" si="407"/>
        <v>0</v>
      </c>
      <c r="AX2337" s="79">
        <f t="shared" si="407"/>
        <v>6112862988.3152065</v>
      </c>
      <c r="AY2337" s="41" t="s">
        <v>557</v>
      </c>
    </row>
    <row r="2338" spans="1:51" x14ac:dyDescent="0.2">
      <c r="A2338" s="41" t="s">
        <v>95</v>
      </c>
      <c r="B2338" s="43" t="s">
        <v>560</v>
      </c>
      <c r="G2338" s="53">
        <f>STDEV(G2330:G2336)</f>
        <v>1300679.9021803222</v>
      </c>
      <c r="H2338" s="46">
        <f>STDEV(H2330:H2336)</f>
        <v>0.31719859938227479</v>
      </c>
      <c r="I2338" s="46">
        <f>STDEV(I2330:I2336)</f>
        <v>0.10979021649317686</v>
      </c>
      <c r="J2338" s="46">
        <f>STDEV(J2330:J2336)</f>
        <v>0.83434821983900831</v>
      </c>
      <c r="R2338" s="53">
        <f>STDEV(R2330:R2336)</f>
        <v>33306.718525017815</v>
      </c>
      <c r="S2338" s="53">
        <f>STDEV(S2330:S2336)</f>
        <v>17693.146862691279</v>
      </c>
      <c r="T2338" s="53">
        <f>STDEV(T2330:T2336)</f>
        <v>1179.3811289052474</v>
      </c>
      <c r="U2338" s="53">
        <f>STDEV(U2330:U2336)</f>
        <v>1773.4066863384705</v>
      </c>
      <c r="AM2338" s="53">
        <f>STDEV(AM2327:AM2336)</f>
        <v>20780515.976848718</v>
      </c>
      <c r="AY2338" s="41" t="s">
        <v>557</v>
      </c>
    </row>
    <row r="2339" spans="1:51" x14ac:dyDescent="0.2">
      <c r="A2339" s="41" t="s">
        <v>95</v>
      </c>
      <c r="B2339" s="81" t="s">
        <v>249</v>
      </c>
      <c r="G2339" s="41">
        <f>COUNT(G2330:G2336)</f>
        <v>7</v>
      </c>
      <c r="H2339" s="41">
        <f>COUNT(H2330:H2336)</f>
        <v>7</v>
      </c>
      <c r="I2339" s="41">
        <f>COUNT(I2330:I2336)</f>
        <v>7</v>
      </c>
      <c r="J2339" s="41">
        <f>COUNT(J2330:J2336)</f>
        <v>7</v>
      </c>
      <c r="R2339" s="41">
        <f>COUNT(R2330:R2336)</f>
        <v>7</v>
      </c>
      <c r="S2339" s="41">
        <f>COUNT(S2330:S2336)</f>
        <v>7</v>
      </c>
      <c r="T2339" s="41">
        <f>COUNT(T2330:T2336)</f>
        <v>7</v>
      </c>
      <c r="U2339" s="41">
        <f>COUNT(U2330:U2336)</f>
        <v>7</v>
      </c>
      <c r="AM2339" s="41">
        <f>COUNT(AM2327:AM2336)</f>
        <v>10</v>
      </c>
      <c r="AY2339" s="41" t="s">
        <v>557</v>
      </c>
    </row>
    <row r="2340" spans="1:51" x14ac:dyDescent="0.2">
      <c r="A2340" s="82"/>
      <c r="B2340" s="82"/>
      <c r="C2340" s="82"/>
      <c r="D2340" s="82"/>
      <c r="E2340" s="82"/>
      <c r="F2340" s="82"/>
      <c r="G2340" s="82"/>
      <c r="H2340" s="82"/>
      <c r="I2340" s="82"/>
      <c r="J2340" s="82"/>
      <c r="K2340" s="82"/>
      <c r="L2340" s="82"/>
      <c r="M2340" s="82"/>
      <c r="N2340" s="82"/>
      <c r="O2340" s="82"/>
      <c r="P2340" s="82"/>
      <c r="Q2340" s="82"/>
      <c r="R2340" s="82"/>
      <c r="S2340" s="82"/>
      <c r="T2340" s="82"/>
      <c r="U2340" s="82"/>
      <c r="V2340" s="82"/>
      <c r="W2340" s="82"/>
      <c r="X2340" s="82"/>
      <c r="Y2340" s="82"/>
      <c r="Z2340" s="82"/>
      <c r="AA2340" s="82"/>
      <c r="AB2340" s="82"/>
      <c r="AC2340" s="82"/>
      <c r="AD2340" s="82"/>
      <c r="AE2340" s="82"/>
      <c r="AF2340" s="82"/>
      <c r="AG2340" s="82"/>
      <c r="AH2340" s="82"/>
      <c r="AI2340" s="82"/>
      <c r="AJ2340" s="82"/>
      <c r="AK2340" s="82"/>
      <c r="AL2340" s="82"/>
      <c r="AM2340" s="82"/>
      <c r="AN2340" s="82"/>
      <c r="AO2340" s="82"/>
      <c r="AP2340" s="82"/>
      <c r="AQ2340" s="82"/>
      <c r="AR2340" s="82"/>
      <c r="AS2340" s="82"/>
      <c r="AT2340" s="82"/>
      <c r="AU2340" s="82"/>
      <c r="AV2340" s="82"/>
      <c r="AW2340" s="82"/>
      <c r="AX2340" s="82"/>
      <c r="AY2340" s="41" t="s">
        <v>557</v>
      </c>
    </row>
    <row r="2341" spans="1:51" x14ac:dyDescent="0.2">
      <c r="A2341" s="41" t="s">
        <v>429</v>
      </c>
      <c r="B2341" s="41">
        <v>2012</v>
      </c>
      <c r="C2341" s="41" t="s">
        <v>87</v>
      </c>
      <c r="D2341" s="41" t="s">
        <v>401</v>
      </c>
      <c r="E2341" s="41">
        <v>100</v>
      </c>
      <c r="F2341" s="41" t="s">
        <v>390</v>
      </c>
      <c r="G2341" s="53">
        <f>(490000*0.9072)/0.6</f>
        <v>740880</v>
      </c>
      <c r="I2341" s="46">
        <f>0.147*31.1/0.9072</f>
        <v>5.0393518518518521</v>
      </c>
      <c r="J2341" s="41">
        <v>40.1</v>
      </c>
      <c r="T2341" s="53">
        <f>67000*31.1/1000/0.6</f>
        <v>3472.833333333333</v>
      </c>
      <c r="U2341" s="53">
        <f>184800*31.1/1000/0.4</f>
        <v>14368.199999999999</v>
      </c>
      <c r="AM2341" s="53">
        <f>(10638000-490000)*0.9072</f>
        <v>9206265.5999999996</v>
      </c>
      <c r="AO2341" s="53">
        <f t="shared" ref="AO2341:AW2345" si="408">$G2341*H2341</f>
        <v>0</v>
      </c>
      <c r="AP2341" s="53">
        <f t="shared" si="408"/>
        <v>3733555</v>
      </c>
      <c r="AQ2341" s="53">
        <f t="shared" si="408"/>
        <v>29709288</v>
      </c>
      <c r="AR2341" s="53">
        <f t="shared" si="408"/>
        <v>0</v>
      </c>
      <c r="AS2341" s="53">
        <f t="shared" si="408"/>
        <v>0</v>
      </c>
      <c r="AT2341" s="53">
        <f t="shared" si="408"/>
        <v>0</v>
      </c>
      <c r="AU2341" s="53">
        <f t="shared" si="408"/>
        <v>0</v>
      </c>
      <c r="AV2341" s="53">
        <f t="shared" si="408"/>
        <v>0</v>
      </c>
      <c r="AW2341" s="53">
        <f t="shared" si="408"/>
        <v>0</v>
      </c>
      <c r="AX2341" s="53">
        <f t="shared" si="403"/>
        <v>74088000</v>
      </c>
      <c r="AY2341" s="41" t="s">
        <v>557</v>
      </c>
    </row>
    <row r="2342" spans="1:51" x14ac:dyDescent="0.2">
      <c r="A2342" s="41" t="s">
        <v>429</v>
      </c>
      <c r="B2342" s="41">
        <v>2013</v>
      </c>
      <c r="C2342" s="41" t="s">
        <v>87</v>
      </c>
      <c r="D2342" s="41" t="s">
        <v>401</v>
      </c>
      <c r="E2342" s="41">
        <v>100</v>
      </c>
      <c r="F2342" s="41" t="s">
        <v>390</v>
      </c>
      <c r="G2342" s="53">
        <f>(2929000*0.9072)/0.6</f>
        <v>4428648</v>
      </c>
      <c r="I2342" s="46">
        <f>0.18*31.1/0.9072</f>
        <v>6.17063492063492</v>
      </c>
      <c r="J2342" s="41">
        <v>42.4</v>
      </c>
      <c r="T2342" s="53">
        <f>488000*31.1/1000/0.6</f>
        <v>25294.666666666668</v>
      </c>
      <c r="U2342" s="53">
        <f>833600*31.1/1000/0.4</f>
        <v>64812.399999999994</v>
      </c>
      <c r="AM2342" s="53">
        <f>(9192000-2658000)/0.6</f>
        <v>10890000</v>
      </c>
      <c r="AO2342" s="53">
        <f t="shared" si="408"/>
        <v>0</v>
      </c>
      <c r="AP2342" s="53">
        <f t="shared" si="408"/>
        <v>27327569.999999996</v>
      </c>
      <c r="AQ2342" s="53">
        <f t="shared" si="408"/>
        <v>187774675.19999999</v>
      </c>
      <c r="AR2342" s="53">
        <f t="shared" si="408"/>
        <v>0</v>
      </c>
      <c r="AS2342" s="53">
        <f t="shared" si="408"/>
        <v>0</v>
      </c>
      <c r="AT2342" s="53">
        <f t="shared" si="408"/>
        <v>0</v>
      </c>
      <c r="AU2342" s="53">
        <f t="shared" si="408"/>
        <v>0</v>
      </c>
      <c r="AV2342" s="53">
        <f t="shared" si="408"/>
        <v>0</v>
      </c>
      <c r="AW2342" s="53">
        <f t="shared" si="408"/>
        <v>0</v>
      </c>
      <c r="AX2342" s="53">
        <f t="shared" si="403"/>
        <v>442864800</v>
      </c>
      <c r="AY2342" s="41" t="s">
        <v>557</v>
      </c>
    </row>
    <row r="2343" spans="1:51" x14ac:dyDescent="0.2">
      <c r="A2343" s="41" t="s">
        <v>429</v>
      </c>
      <c r="B2343" s="41">
        <v>2014</v>
      </c>
      <c r="C2343" s="41" t="s">
        <v>87</v>
      </c>
      <c r="D2343" s="41" t="s">
        <v>401</v>
      </c>
      <c r="E2343" s="41">
        <v>100</v>
      </c>
      <c r="F2343" s="41" t="s">
        <v>390</v>
      </c>
      <c r="G2343" s="53">
        <f>4027000/0.6</f>
        <v>6711666.666666667</v>
      </c>
      <c r="I2343" s="41">
        <v>5.53</v>
      </c>
      <c r="J2343" s="41">
        <v>31.7</v>
      </c>
      <c r="T2343" s="53">
        <f>665000*31.1/1000/0.6</f>
        <v>34469.166666666672</v>
      </c>
      <c r="U2343" s="53">
        <f>1541800*31.1/1000/0.4</f>
        <v>119874.95</v>
      </c>
      <c r="AM2343" s="53">
        <f>(21055000-4027000)/0.6</f>
        <v>28380000</v>
      </c>
      <c r="AO2343" s="53">
        <f t="shared" si="408"/>
        <v>0</v>
      </c>
      <c r="AP2343" s="53">
        <f t="shared" si="408"/>
        <v>37115516.666666672</v>
      </c>
      <c r="AQ2343" s="53">
        <f t="shared" si="408"/>
        <v>212759833.33333334</v>
      </c>
      <c r="AR2343" s="53">
        <f t="shared" si="408"/>
        <v>0</v>
      </c>
      <c r="AS2343" s="53">
        <f t="shared" si="408"/>
        <v>0</v>
      </c>
      <c r="AT2343" s="53">
        <f t="shared" si="408"/>
        <v>0</v>
      </c>
      <c r="AU2343" s="53">
        <f t="shared" si="408"/>
        <v>0</v>
      </c>
      <c r="AV2343" s="53">
        <f t="shared" si="408"/>
        <v>0</v>
      </c>
      <c r="AW2343" s="53">
        <f t="shared" si="408"/>
        <v>0</v>
      </c>
      <c r="AX2343" s="53">
        <f t="shared" si="403"/>
        <v>671166666.66666675</v>
      </c>
      <c r="AY2343" s="41" t="s">
        <v>557</v>
      </c>
    </row>
    <row r="2344" spans="1:51" x14ac:dyDescent="0.2">
      <c r="A2344" s="41" t="s">
        <v>429</v>
      </c>
      <c r="B2344" s="41">
        <v>2015</v>
      </c>
      <c r="C2344" s="41" t="s">
        <v>87</v>
      </c>
      <c r="D2344" s="41" t="s">
        <v>401</v>
      </c>
      <c r="E2344" s="41">
        <v>100</v>
      </c>
      <c r="F2344" s="41" t="s">
        <v>390</v>
      </c>
      <c r="G2344" s="53">
        <f>4150000/0.6</f>
        <v>6916666.666666667</v>
      </c>
      <c r="H2344" s="56">
        <f>100*S2344/G2344/0.25</f>
        <v>1.04928468295754E-2</v>
      </c>
      <c r="I2344" s="41">
        <v>4.9400000000000004</v>
      </c>
      <c r="J2344" s="47">
        <v>34</v>
      </c>
      <c r="R2344" s="76">
        <f>S2344*4</f>
        <v>725.75523904563192</v>
      </c>
      <c r="S2344" s="53">
        <f>400000/2204.6</f>
        <v>181.43880976140798</v>
      </c>
      <c r="T2344" s="53">
        <f>572000*31.1/1000/0.6</f>
        <v>29648.666666666668</v>
      </c>
      <c r="U2344" s="53">
        <f>998200*31.1/1000/0.4</f>
        <v>77610.05</v>
      </c>
      <c r="AM2344" s="53">
        <f>(22736000-4150000)/0.6</f>
        <v>30976666.666666668</v>
      </c>
      <c r="AO2344" s="53">
        <f t="shared" si="408"/>
        <v>72575.52390456319</v>
      </c>
      <c r="AP2344" s="53">
        <f t="shared" si="408"/>
        <v>34168333.333333336</v>
      </c>
      <c r="AQ2344" s="53">
        <f t="shared" si="408"/>
        <v>235166666.66666669</v>
      </c>
      <c r="AR2344" s="53">
        <f t="shared" si="408"/>
        <v>0</v>
      </c>
      <c r="AS2344" s="53">
        <f t="shared" si="408"/>
        <v>0</v>
      </c>
      <c r="AT2344" s="53">
        <f t="shared" si="408"/>
        <v>0</v>
      </c>
      <c r="AU2344" s="53">
        <f t="shared" si="408"/>
        <v>0</v>
      </c>
      <c r="AV2344" s="53">
        <f t="shared" si="408"/>
        <v>0</v>
      </c>
      <c r="AW2344" s="53">
        <f t="shared" si="408"/>
        <v>0</v>
      </c>
      <c r="AX2344" s="53">
        <f t="shared" si="403"/>
        <v>691666666.66666675</v>
      </c>
      <c r="AY2344" s="41" t="s">
        <v>557</v>
      </c>
    </row>
    <row r="2345" spans="1:51" x14ac:dyDescent="0.2">
      <c r="A2345" s="41" t="s">
        <v>429</v>
      </c>
      <c r="B2345" s="41">
        <v>2016</v>
      </c>
      <c r="C2345" s="41" t="s">
        <v>87</v>
      </c>
      <c r="D2345" s="41" t="s">
        <v>401</v>
      </c>
      <c r="E2345" s="41">
        <v>100</v>
      </c>
      <c r="F2345" s="41" t="s">
        <v>390</v>
      </c>
      <c r="G2345" s="53">
        <f>4527000/0.6</f>
        <v>7545000</v>
      </c>
      <c r="I2345" s="41">
        <v>5.29</v>
      </c>
      <c r="J2345" s="54">
        <v>17.329999999999998</v>
      </c>
      <c r="T2345" s="53">
        <f>700000*31.1/1000/0.6</f>
        <v>36283.333333333336</v>
      </c>
      <c r="U2345" s="76">
        <f>0.5*G2345*J2345/1000</f>
        <v>65377.424999999996</v>
      </c>
      <c r="AM2345" s="53">
        <f>(23278000-4527000)/0.6</f>
        <v>31251666.666666668</v>
      </c>
      <c r="AO2345" s="53">
        <f t="shared" si="408"/>
        <v>0</v>
      </c>
      <c r="AP2345" s="53">
        <f t="shared" si="408"/>
        <v>39913050</v>
      </c>
      <c r="AQ2345" s="53">
        <f t="shared" si="408"/>
        <v>130754849.99999999</v>
      </c>
      <c r="AR2345" s="53">
        <f t="shared" si="408"/>
        <v>0</v>
      </c>
      <c r="AS2345" s="53">
        <f t="shared" si="408"/>
        <v>0</v>
      </c>
      <c r="AT2345" s="53">
        <f t="shared" si="408"/>
        <v>0</v>
      </c>
      <c r="AU2345" s="53">
        <f t="shared" si="408"/>
        <v>0</v>
      </c>
      <c r="AV2345" s="53">
        <f t="shared" si="408"/>
        <v>0</v>
      </c>
      <c r="AW2345" s="53">
        <f t="shared" si="408"/>
        <v>0</v>
      </c>
      <c r="AX2345" s="53">
        <f t="shared" si="403"/>
        <v>754500000</v>
      </c>
      <c r="AY2345" s="41" t="s">
        <v>557</v>
      </c>
    </row>
    <row r="2346" spans="1:51" x14ac:dyDescent="0.2">
      <c r="A2346" s="41" t="s">
        <v>429</v>
      </c>
      <c r="B2346" s="60" t="s">
        <v>559</v>
      </c>
      <c r="C2346" s="60" t="s">
        <v>87</v>
      </c>
      <c r="D2346" s="60" t="s">
        <v>401</v>
      </c>
      <c r="E2346" s="60">
        <v>100</v>
      </c>
      <c r="F2346" s="60" t="s">
        <v>390</v>
      </c>
      <c r="G2346" s="79">
        <f>SUM(G2341:G2345)</f>
        <v>26342861.333333336</v>
      </c>
      <c r="H2346" s="80">
        <f>AO2346/$G2346</f>
        <v>2.755035718641872E-3</v>
      </c>
      <c r="I2346" s="80">
        <f>AP2346/$G2346</f>
        <v>5.4002495476826455</v>
      </c>
      <c r="J2346" s="78">
        <f>AQ2346/$G2346</f>
        <v>30.223190378812809</v>
      </c>
      <c r="R2346" s="79">
        <f>SUM(R2341:R2345)</f>
        <v>725.75523904563192</v>
      </c>
      <c r="S2346" s="79">
        <f>SUM(S2341:S2345)</f>
        <v>181.43880976140798</v>
      </c>
      <c r="T2346" s="79">
        <f>SUM(T2341:T2345)</f>
        <v>129168.66666666669</v>
      </c>
      <c r="U2346" s="79">
        <f>SUM(U2341:U2345)</f>
        <v>342043.02499999997</v>
      </c>
      <c r="AM2346" s="79">
        <f>SUM(AM2341:AM2345)</f>
        <v>110704598.93333334</v>
      </c>
      <c r="AO2346" s="79">
        <f>SUM(AO2341:AO2345)</f>
        <v>72575.52390456319</v>
      </c>
      <c r="AP2346" s="79">
        <f t="shared" ref="AP2346:AX2346" si="409">SUM(AP2341:AP2345)</f>
        <v>142258025</v>
      </c>
      <c r="AQ2346" s="79">
        <f t="shared" si="409"/>
        <v>796165313.20000005</v>
      </c>
      <c r="AR2346" s="79">
        <f t="shared" si="409"/>
        <v>0</v>
      </c>
      <c r="AS2346" s="79">
        <f t="shared" si="409"/>
        <v>0</v>
      </c>
      <c r="AT2346" s="79">
        <f t="shared" si="409"/>
        <v>0</v>
      </c>
      <c r="AU2346" s="79">
        <f t="shared" si="409"/>
        <v>0</v>
      </c>
      <c r="AV2346" s="79">
        <f t="shared" si="409"/>
        <v>0</v>
      </c>
      <c r="AW2346" s="79">
        <f t="shared" si="409"/>
        <v>0</v>
      </c>
      <c r="AX2346" s="79">
        <f t="shared" si="409"/>
        <v>2634286133.3333335</v>
      </c>
      <c r="AY2346" s="41" t="s">
        <v>557</v>
      </c>
    </row>
    <row r="2347" spans="1:51" x14ac:dyDescent="0.2">
      <c r="A2347" s="41" t="s">
        <v>429</v>
      </c>
      <c r="B2347" s="43" t="s">
        <v>560</v>
      </c>
      <c r="G2347" s="53">
        <f>STDEV(G2341:G2345)</f>
        <v>2792236.1047680271</v>
      </c>
      <c r="I2347" s="46">
        <f>STDEV(I2341:I2345)</f>
        <v>0.49101046549425131</v>
      </c>
      <c r="J2347" s="47">
        <f>STDEV(J2341:J2345)</f>
        <v>9.8355569237334244</v>
      </c>
      <c r="T2347" s="53">
        <f>STDEV(T2341:T2345)</f>
        <v>13215.700955996746</v>
      </c>
      <c r="U2347" s="53">
        <f>STDEV(U2341:U2345)</f>
        <v>37669.408586097743</v>
      </c>
      <c r="AM2347" s="53">
        <f>STDEV(AM2341:AM2345)</f>
        <v>11111826.228414577</v>
      </c>
      <c r="AY2347" s="41" t="s">
        <v>557</v>
      </c>
    </row>
    <row r="2348" spans="1:51" x14ac:dyDescent="0.2">
      <c r="A2348" s="41" t="s">
        <v>429</v>
      </c>
      <c r="B2348" s="81" t="s">
        <v>249</v>
      </c>
      <c r="G2348" s="41">
        <f>COUNT(G2341:G2345)</f>
        <v>5</v>
      </c>
      <c r="H2348" s="41">
        <f>COUNT(H2341:H2345)</f>
        <v>1</v>
      </c>
      <c r="I2348" s="41">
        <f>COUNT(I2341:I2345)</f>
        <v>5</v>
      </c>
      <c r="J2348" s="41">
        <f>COUNT(J2341:J2345)</f>
        <v>5</v>
      </c>
      <c r="R2348" s="41">
        <f>COUNT(R2341:R2345)</f>
        <v>1</v>
      </c>
      <c r="S2348" s="41">
        <f>COUNT(S2341:S2345)</f>
        <v>1</v>
      </c>
      <c r="T2348" s="41">
        <f>COUNT(T2341:T2345)</f>
        <v>5</v>
      </c>
      <c r="U2348" s="41">
        <f>COUNT(U2341:U2345)</f>
        <v>5</v>
      </c>
      <c r="AM2348" s="41">
        <f>COUNT(AM2341:AM2345)</f>
        <v>5</v>
      </c>
      <c r="AY2348" s="41" t="s">
        <v>557</v>
      </c>
    </row>
    <row r="2349" spans="1:51" x14ac:dyDescent="0.2">
      <c r="A2349" s="82"/>
      <c r="B2349" s="82"/>
      <c r="C2349" s="82"/>
      <c r="D2349" s="82"/>
      <c r="E2349" s="82"/>
      <c r="F2349" s="82"/>
      <c r="G2349" s="82"/>
      <c r="H2349" s="82"/>
      <c r="I2349" s="82"/>
      <c r="J2349" s="82"/>
      <c r="K2349" s="82"/>
      <c r="L2349" s="82"/>
      <c r="M2349" s="82"/>
      <c r="N2349" s="82"/>
      <c r="O2349" s="82"/>
      <c r="P2349" s="82"/>
      <c r="Q2349" s="82"/>
      <c r="R2349" s="82"/>
      <c r="S2349" s="82"/>
      <c r="T2349" s="82"/>
      <c r="U2349" s="82"/>
      <c r="V2349" s="82"/>
      <c r="W2349" s="82"/>
      <c r="X2349" s="82"/>
      <c r="Y2349" s="82"/>
      <c r="Z2349" s="82"/>
      <c r="AA2349" s="82"/>
      <c r="AB2349" s="82"/>
      <c r="AC2349" s="82"/>
      <c r="AD2349" s="82"/>
      <c r="AE2349" s="82"/>
      <c r="AF2349" s="82"/>
      <c r="AG2349" s="82"/>
      <c r="AH2349" s="82"/>
      <c r="AI2349" s="82"/>
      <c r="AJ2349" s="82"/>
      <c r="AK2349" s="82"/>
      <c r="AL2349" s="82"/>
      <c r="AM2349" s="82"/>
      <c r="AN2349" s="82"/>
      <c r="AO2349" s="82"/>
      <c r="AP2349" s="82"/>
      <c r="AQ2349" s="82"/>
      <c r="AR2349" s="82"/>
      <c r="AS2349" s="82"/>
      <c r="AT2349" s="82"/>
      <c r="AU2349" s="82"/>
      <c r="AV2349" s="82"/>
      <c r="AW2349" s="82"/>
      <c r="AX2349" s="82"/>
      <c r="AY2349" s="41" t="s">
        <v>557</v>
      </c>
    </row>
    <row r="2350" spans="1:51" x14ac:dyDescent="0.2">
      <c r="A2350" s="41" t="s">
        <v>155</v>
      </c>
      <c r="B2350" s="41">
        <v>1998</v>
      </c>
      <c r="C2350" s="41" t="s">
        <v>87</v>
      </c>
      <c r="D2350" s="41" t="s">
        <v>113</v>
      </c>
      <c r="E2350" s="41">
        <v>100</v>
      </c>
      <c r="F2350" s="41" t="s">
        <v>9</v>
      </c>
      <c r="AI2350" s="53">
        <v>2648000</v>
      </c>
      <c r="AJ2350" s="41">
        <v>0.77</v>
      </c>
      <c r="AL2350" s="53">
        <v>19297</v>
      </c>
      <c r="AM2350" s="53">
        <v>953280</v>
      </c>
      <c r="AO2350" s="53">
        <f t="shared" ref="AO2350:AO2368" si="410">$AI2350*AJ2350</f>
        <v>2038960</v>
      </c>
      <c r="AY2350" s="41" t="s">
        <v>557</v>
      </c>
    </row>
    <row r="2351" spans="1:51" x14ac:dyDescent="0.2">
      <c r="A2351" s="41" t="s">
        <v>155</v>
      </c>
      <c r="B2351" s="41">
        <v>1999</v>
      </c>
      <c r="C2351" s="41" t="s">
        <v>87</v>
      </c>
      <c r="D2351" s="41" t="s">
        <v>113</v>
      </c>
      <c r="E2351" s="41">
        <v>100</v>
      </c>
      <c r="F2351" s="41" t="s">
        <v>9</v>
      </c>
      <c r="AI2351" s="53">
        <v>8081000</v>
      </c>
      <c r="AJ2351" s="41">
        <v>0.59</v>
      </c>
      <c r="AL2351" s="53">
        <v>44640</v>
      </c>
      <c r="AM2351" s="53">
        <v>2909160</v>
      </c>
      <c r="AO2351" s="53">
        <f t="shared" si="410"/>
        <v>4767790</v>
      </c>
      <c r="AY2351" s="41" t="s">
        <v>557</v>
      </c>
    </row>
    <row r="2352" spans="1:51" x14ac:dyDescent="0.2">
      <c r="A2352" s="41" t="s">
        <v>155</v>
      </c>
      <c r="B2352" s="41">
        <v>2000</v>
      </c>
      <c r="C2352" s="41" t="s">
        <v>87</v>
      </c>
      <c r="D2352" s="41" t="s">
        <v>113</v>
      </c>
      <c r="E2352" s="41">
        <v>100</v>
      </c>
      <c r="F2352" s="41" t="s">
        <v>9</v>
      </c>
      <c r="AI2352" s="53">
        <v>10006000</v>
      </c>
      <c r="AJ2352" s="41">
        <v>0.48</v>
      </c>
      <c r="AL2352" s="53">
        <v>51292</v>
      </c>
      <c r="AM2352" s="53">
        <v>3602160</v>
      </c>
      <c r="AO2352" s="53">
        <f t="shared" si="410"/>
        <v>4802880</v>
      </c>
      <c r="AY2352" s="41" t="s">
        <v>557</v>
      </c>
    </row>
    <row r="2353" spans="1:51" x14ac:dyDescent="0.2">
      <c r="A2353" s="41" t="s">
        <v>155</v>
      </c>
      <c r="B2353" s="41">
        <v>2001</v>
      </c>
      <c r="C2353" s="41" t="s">
        <v>87</v>
      </c>
      <c r="D2353" s="41" t="s">
        <v>113</v>
      </c>
      <c r="E2353" s="41">
        <v>100</v>
      </c>
      <c r="F2353" s="41" t="s">
        <v>9</v>
      </c>
      <c r="AI2353" s="53">
        <v>21700000</v>
      </c>
      <c r="AJ2353" s="46">
        <v>0.37063857801184996</v>
      </c>
      <c r="AL2353" s="53">
        <v>56300</v>
      </c>
      <c r="AM2353" s="53">
        <v>7812000</v>
      </c>
      <c r="AO2353" s="53">
        <f t="shared" si="410"/>
        <v>8042857.1428571446</v>
      </c>
      <c r="AY2353" s="41" t="s">
        <v>557</v>
      </c>
    </row>
    <row r="2354" spans="1:51" x14ac:dyDescent="0.2">
      <c r="A2354" s="41" t="s">
        <v>155</v>
      </c>
      <c r="B2354" s="41">
        <v>2002</v>
      </c>
      <c r="C2354" s="41" t="s">
        <v>87</v>
      </c>
      <c r="D2354" s="41" t="s">
        <v>113</v>
      </c>
      <c r="E2354" s="41">
        <v>100</v>
      </c>
      <c r="F2354" s="41" t="s">
        <v>9</v>
      </c>
      <c r="AI2354" s="53">
        <v>26700000</v>
      </c>
      <c r="AJ2354" s="46">
        <v>0.31728196896736227</v>
      </c>
      <c r="AL2354" s="53">
        <v>59300</v>
      </c>
      <c r="AM2354" s="53">
        <v>9612000</v>
      </c>
      <c r="AO2354" s="53">
        <f t="shared" si="410"/>
        <v>8471428.5714285728</v>
      </c>
      <c r="AY2354" s="41" t="s">
        <v>557</v>
      </c>
    </row>
    <row r="2355" spans="1:51" x14ac:dyDescent="0.2">
      <c r="A2355" s="41" t="s">
        <v>155</v>
      </c>
      <c r="B2355" s="41">
        <v>2003</v>
      </c>
      <c r="C2355" s="41" t="s">
        <v>87</v>
      </c>
      <c r="D2355" s="41" t="s">
        <v>113</v>
      </c>
      <c r="E2355" s="41">
        <v>100</v>
      </c>
      <c r="F2355" s="41" t="s">
        <v>9</v>
      </c>
      <c r="AI2355" s="53">
        <v>30400000</v>
      </c>
      <c r="AJ2355" s="46">
        <v>0.30580465587044531</v>
      </c>
      <c r="AL2355" s="53">
        <v>60427</v>
      </c>
      <c r="AM2355" s="53">
        <v>10944000</v>
      </c>
      <c r="AO2355" s="53">
        <f t="shared" si="410"/>
        <v>9296461.538461538</v>
      </c>
      <c r="AY2355" s="41" t="s">
        <v>557</v>
      </c>
    </row>
    <row r="2356" spans="1:51" x14ac:dyDescent="0.2">
      <c r="A2356" s="41" t="s">
        <v>155</v>
      </c>
      <c r="B2356" s="41">
        <v>2004</v>
      </c>
      <c r="C2356" s="41" t="s">
        <v>87</v>
      </c>
      <c r="D2356" s="41" t="s">
        <v>113</v>
      </c>
      <c r="E2356" s="41">
        <v>100</v>
      </c>
      <c r="F2356" s="41" t="s">
        <v>9</v>
      </c>
      <c r="AI2356" s="53">
        <v>29600000</v>
      </c>
      <c r="AJ2356" s="46">
        <v>0.32245841995841995</v>
      </c>
      <c r="AL2356" s="53">
        <v>62041</v>
      </c>
      <c r="AM2356" s="53">
        <v>10656000</v>
      </c>
      <c r="AO2356" s="53">
        <f t="shared" si="410"/>
        <v>9544769.2307692301</v>
      </c>
      <c r="AY2356" s="41" t="s">
        <v>557</v>
      </c>
    </row>
    <row r="2357" spans="1:51" x14ac:dyDescent="0.2">
      <c r="A2357" s="41" t="s">
        <v>155</v>
      </c>
      <c r="B2357" s="41">
        <v>2005</v>
      </c>
      <c r="C2357" s="41" t="s">
        <v>87</v>
      </c>
      <c r="D2357" s="41" t="s">
        <v>113</v>
      </c>
      <c r="E2357" s="41">
        <v>100</v>
      </c>
      <c r="F2357" s="41" t="s">
        <v>9</v>
      </c>
      <c r="AI2357" s="53">
        <v>37911430</v>
      </c>
      <c r="AJ2357" s="46">
        <v>0.31508968667233073</v>
      </c>
      <c r="AL2357" s="53">
        <v>63147</v>
      </c>
      <c r="AM2357" s="53">
        <v>2705910</v>
      </c>
      <c r="AO2357" s="53">
        <f t="shared" si="410"/>
        <v>11945500.6</v>
      </c>
      <c r="AY2357" s="41" t="s">
        <v>557</v>
      </c>
    </row>
    <row r="2358" spans="1:51" x14ac:dyDescent="0.2">
      <c r="A2358" s="41" t="s">
        <v>155</v>
      </c>
      <c r="B2358" s="41">
        <v>2006</v>
      </c>
      <c r="C2358" s="41" t="s">
        <v>87</v>
      </c>
      <c r="D2358" s="41" t="s">
        <v>113</v>
      </c>
      <c r="E2358" s="41">
        <v>100</v>
      </c>
      <c r="F2358" s="41" t="s">
        <v>9</v>
      </c>
      <c r="AI2358" s="53">
        <v>28708321</v>
      </c>
      <c r="AJ2358" s="46">
        <v>0.36012545665767082</v>
      </c>
      <c r="AL2358" s="53">
        <v>64312</v>
      </c>
      <c r="AM2358" s="53">
        <v>12950310</v>
      </c>
      <c r="AO2358" s="53">
        <f t="shared" si="410"/>
        <v>10338597.210000001</v>
      </c>
      <c r="AY2358" s="41" t="s">
        <v>557</v>
      </c>
    </row>
    <row r="2359" spans="1:51" x14ac:dyDescent="0.2">
      <c r="A2359" s="41" t="s">
        <v>155</v>
      </c>
      <c r="B2359" s="41">
        <v>2007</v>
      </c>
      <c r="C2359" s="41" t="s">
        <v>87</v>
      </c>
      <c r="D2359" s="41" t="s">
        <v>113</v>
      </c>
      <c r="E2359" s="41">
        <v>100</v>
      </c>
      <c r="F2359" s="41" t="s">
        <v>9</v>
      </c>
      <c r="AI2359" s="53">
        <v>35539546</v>
      </c>
      <c r="AJ2359" s="46">
        <v>0.30896786638748847</v>
      </c>
      <c r="AL2359" s="53">
        <v>61401</v>
      </c>
      <c r="AM2359" s="53">
        <v>12457829</v>
      </c>
      <c r="AO2359" s="53">
        <f t="shared" si="410"/>
        <v>10980577.699999999</v>
      </c>
      <c r="AY2359" s="41" t="s">
        <v>557</v>
      </c>
    </row>
    <row r="2360" spans="1:51" x14ac:dyDescent="0.2">
      <c r="A2360" s="41" t="s">
        <v>155</v>
      </c>
      <c r="B2360" s="41">
        <v>2008</v>
      </c>
      <c r="C2360" s="41" t="s">
        <v>87</v>
      </c>
      <c r="D2360" s="41" t="s">
        <v>113</v>
      </c>
      <c r="E2360" s="41">
        <v>100</v>
      </c>
      <c r="F2360" s="41" t="s">
        <v>9</v>
      </c>
      <c r="AI2360" s="53">
        <v>44779539</v>
      </c>
      <c r="AJ2360" s="46">
        <v>0.28494985064495637</v>
      </c>
      <c r="AL2360" s="53">
        <v>59134</v>
      </c>
      <c r="AM2360" s="53">
        <v>7565814</v>
      </c>
      <c r="AO2360" s="53">
        <f t="shared" si="410"/>
        <v>12759922.949999999</v>
      </c>
      <c r="AY2360" s="41" t="s">
        <v>557</v>
      </c>
    </row>
    <row r="2361" spans="1:51" x14ac:dyDescent="0.2">
      <c r="A2361" s="41" t="s">
        <v>155</v>
      </c>
      <c r="B2361" s="41">
        <v>2009</v>
      </c>
      <c r="C2361" s="41" t="s">
        <v>87</v>
      </c>
      <c r="D2361" s="41" t="s">
        <v>113</v>
      </c>
      <c r="E2361" s="41">
        <v>100</v>
      </c>
      <c r="F2361" s="41" t="s">
        <v>9</v>
      </c>
      <c r="AI2361" s="53">
        <v>50997825</v>
      </c>
      <c r="AJ2361" s="46">
        <v>0.31403927775351204</v>
      </c>
      <c r="AL2361" s="53">
        <v>73043</v>
      </c>
      <c r="AM2361" s="53">
        <v>3377131</v>
      </c>
      <c r="AO2361" s="53">
        <f t="shared" si="410"/>
        <v>16015320.130000001</v>
      </c>
      <c r="AY2361" s="41" t="s">
        <v>557</v>
      </c>
    </row>
    <row r="2362" spans="1:51" x14ac:dyDescent="0.2">
      <c r="A2362" s="41" t="s">
        <v>155</v>
      </c>
      <c r="B2362" s="41">
        <f>B2361+1</f>
        <v>2010</v>
      </c>
      <c r="C2362" s="41" t="s">
        <v>87</v>
      </c>
      <c r="D2362" s="41" t="s">
        <v>113</v>
      </c>
      <c r="E2362" s="41">
        <v>100</v>
      </c>
      <c r="F2362" s="41" t="s">
        <v>9</v>
      </c>
      <c r="AI2362" s="53">
        <v>49143981</v>
      </c>
      <c r="AJ2362" s="46">
        <v>0.29765651280876088</v>
      </c>
      <c r="AL2362" s="53">
        <v>71795</v>
      </c>
      <c r="AM2362" s="53">
        <v>7494870</v>
      </c>
      <c r="AO2362" s="53">
        <f t="shared" si="410"/>
        <v>14628026.010000002</v>
      </c>
      <c r="AY2362" s="41" t="s">
        <v>557</v>
      </c>
    </row>
    <row r="2363" spans="1:51" x14ac:dyDescent="0.2">
      <c r="A2363" s="41" t="s">
        <v>155</v>
      </c>
      <c r="B2363" s="41">
        <f t="shared" ref="B2363:B2368" si="411">B2362+1</f>
        <v>2011</v>
      </c>
      <c r="C2363" s="41" t="s">
        <v>87</v>
      </c>
      <c r="D2363" s="41" t="s">
        <v>113</v>
      </c>
      <c r="E2363" s="41">
        <v>100</v>
      </c>
      <c r="F2363" s="41" t="s">
        <v>9</v>
      </c>
      <c r="AI2363" s="53">
        <v>57307226</v>
      </c>
      <c r="AJ2363" s="46">
        <v>0.28783789639372875</v>
      </c>
      <c r="AL2363" s="53">
        <v>73605</v>
      </c>
      <c r="AM2363" s="53">
        <v>9593683</v>
      </c>
      <c r="AO2363" s="53">
        <f t="shared" si="410"/>
        <v>16495191.379999999</v>
      </c>
      <c r="AY2363" s="41" t="s">
        <v>557</v>
      </c>
    </row>
    <row r="2364" spans="1:51" x14ac:dyDescent="0.2">
      <c r="A2364" s="41" t="s">
        <v>155</v>
      </c>
      <c r="B2364" s="41">
        <f t="shared" si="411"/>
        <v>2012</v>
      </c>
      <c r="C2364" s="41" t="s">
        <v>87</v>
      </c>
      <c r="D2364" s="41" t="s">
        <v>113</v>
      </c>
      <c r="E2364" s="41">
        <v>100</v>
      </c>
      <c r="F2364" s="41" t="s">
        <v>9</v>
      </c>
      <c r="AI2364" s="53">
        <v>53610449</v>
      </c>
      <c r="AJ2364" s="46">
        <v>0.28200412199494918</v>
      </c>
      <c r="AL2364" s="53">
        <v>73333</v>
      </c>
      <c r="AM2364" s="53">
        <v>8945999</v>
      </c>
      <c r="AO2364" s="53">
        <f t="shared" si="410"/>
        <v>15118367.600000001</v>
      </c>
      <c r="AY2364" s="41" t="s">
        <v>557</v>
      </c>
    </row>
    <row r="2365" spans="1:51" x14ac:dyDescent="0.2">
      <c r="A2365" s="41" t="s">
        <v>155</v>
      </c>
      <c r="B2365" s="41">
        <f t="shared" si="411"/>
        <v>2013</v>
      </c>
      <c r="C2365" s="41" t="s">
        <v>87</v>
      </c>
      <c r="D2365" s="41" t="s">
        <v>113</v>
      </c>
      <c r="E2365" s="41">
        <v>100</v>
      </c>
      <c r="F2365" s="41" t="s">
        <v>9</v>
      </c>
      <c r="AI2365" s="53">
        <v>44726584.673604533</v>
      </c>
      <c r="AJ2365" s="46">
        <v>0.3317937219730942</v>
      </c>
      <c r="AL2365" s="53">
        <v>74200</v>
      </c>
      <c r="AM2365" s="53">
        <v>7156253.5477767251</v>
      </c>
      <c r="AO2365" s="53">
        <f t="shared" si="410"/>
        <v>14839999.999999998</v>
      </c>
      <c r="AY2365" s="41" t="s">
        <v>557</v>
      </c>
    </row>
    <row r="2366" spans="1:51" x14ac:dyDescent="0.2">
      <c r="A2366" s="41" t="s">
        <v>155</v>
      </c>
      <c r="B2366" s="41">
        <f t="shared" si="411"/>
        <v>2014</v>
      </c>
      <c r="C2366" s="41" t="s">
        <v>87</v>
      </c>
      <c r="D2366" s="41" t="s">
        <v>113</v>
      </c>
      <c r="E2366" s="41">
        <v>100</v>
      </c>
      <c r="F2366" s="41" t="s">
        <v>9</v>
      </c>
      <c r="AI2366" s="53">
        <v>43646758.075761095</v>
      </c>
      <c r="AJ2366" s="46">
        <v>0.30517730496453904</v>
      </c>
      <c r="AL2366" s="53">
        <v>66600</v>
      </c>
      <c r="AM2366" s="53">
        <v>6983481.2921217754</v>
      </c>
      <c r="AO2366" s="53">
        <f t="shared" si="410"/>
        <v>13320000</v>
      </c>
      <c r="AY2366" s="41" t="s">
        <v>557</v>
      </c>
    </row>
    <row r="2367" spans="1:51" x14ac:dyDescent="0.2">
      <c r="A2367" s="41" t="s">
        <v>155</v>
      </c>
      <c r="B2367" s="41">
        <f t="shared" si="411"/>
        <v>2015</v>
      </c>
      <c r="C2367" s="41" t="s">
        <v>87</v>
      </c>
      <c r="D2367" s="41" t="s">
        <v>113</v>
      </c>
      <c r="E2367" s="41">
        <v>100</v>
      </c>
      <c r="F2367" s="41" t="s">
        <v>9</v>
      </c>
      <c r="AI2367" s="53">
        <v>48390772.368085645</v>
      </c>
      <c r="AJ2367" s="46">
        <v>0.29385767790262174</v>
      </c>
      <c r="AL2367" s="53">
        <v>71100</v>
      </c>
      <c r="AM2367" s="53">
        <v>7742523.5788937034</v>
      </c>
      <c r="AO2367" s="53">
        <f t="shared" si="410"/>
        <v>14220000</v>
      </c>
      <c r="AY2367" s="41" t="s">
        <v>557</v>
      </c>
    </row>
    <row r="2368" spans="1:51" x14ac:dyDescent="0.2">
      <c r="A2368" s="41" t="s">
        <v>155</v>
      </c>
      <c r="B2368" s="41">
        <f t="shared" si="411"/>
        <v>2016</v>
      </c>
      <c r="C2368" s="41" t="s">
        <v>87</v>
      </c>
      <c r="D2368" s="41" t="s">
        <v>113</v>
      </c>
      <c r="E2368" s="41">
        <v>100</v>
      </c>
      <c r="F2368" s="41" t="s">
        <v>9</v>
      </c>
      <c r="AI2368" s="53">
        <v>54448126.433851644</v>
      </c>
      <c r="AJ2368" s="46">
        <v>0.29385767790262174</v>
      </c>
      <c r="AL2368" s="53">
        <v>80000</v>
      </c>
      <c r="AM2368" s="53">
        <v>8711700.2294162624</v>
      </c>
      <c r="AO2368" s="53">
        <f t="shared" si="410"/>
        <v>16000000.000000002</v>
      </c>
      <c r="AY2368" s="41" t="s">
        <v>557</v>
      </c>
    </row>
    <row r="2369" spans="1:51" x14ac:dyDescent="0.2">
      <c r="A2369" s="41" t="s">
        <v>155</v>
      </c>
      <c r="B2369" s="60" t="s">
        <v>559</v>
      </c>
      <c r="C2369" s="60" t="s">
        <v>87</v>
      </c>
      <c r="D2369" s="60" t="s">
        <v>113</v>
      </c>
      <c r="E2369" s="60">
        <v>100</v>
      </c>
      <c r="F2369" s="60" t="s">
        <v>9</v>
      </c>
      <c r="AI2369" s="79">
        <f>SUM(AI2350:AI2367)+0.333*AI2368</f>
        <v>642028658.21992385</v>
      </c>
      <c r="AJ2369" s="80">
        <f>AO2369/AI2369</f>
        <v>0.31611462738474105</v>
      </c>
      <c r="AK2369" s="80"/>
      <c r="AL2369" s="79">
        <f>SUM(AL2350:AL2367)+0.333*AL2368</f>
        <v>1131607</v>
      </c>
      <c r="AM2369" s="79">
        <f>SUM(AM2350:AM2367)+0.333*AM2368</f>
        <v>136363400.59518781</v>
      </c>
      <c r="AO2369" s="79">
        <f>SUM(AO2350:AO2367)+0.333*AO2368</f>
        <v>202954650.0635165</v>
      </c>
      <c r="AY2369" s="41" t="s">
        <v>557</v>
      </c>
    </row>
    <row r="2370" spans="1:51" x14ac:dyDescent="0.2">
      <c r="A2370" s="41" t="s">
        <v>155</v>
      </c>
      <c r="B2370" s="43" t="s">
        <v>560</v>
      </c>
      <c r="AI2370" s="53">
        <f>STDEV(AI2350:AI2368)</f>
        <v>16420789.296396639</v>
      </c>
      <c r="AJ2370" s="46">
        <f>STDEV(AJ2344:AJ2368)</f>
        <v>0.12511662657839095</v>
      </c>
      <c r="AK2370" s="46"/>
      <c r="AL2370" s="53">
        <f>STDEV(AL2350:AL2368)</f>
        <v>13646.987645030904</v>
      </c>
      <c r="AM2370" s="53">
        <f>STDEV(AM2350:AM2368)</f>
        <v>3400656.3451315654</v>
      </c>
      <c r="AY2370" s="41" t="s">
        <v>557</v>
      </c>
    </row>
    <row r="2371" spans="1:51" x14ac:dyDescent="0.2">
      <c r="A2371" s="41" t="s">
        <v>155</v>
      </c>
      <c r="B2371" s="81" t="s">
        <v>249</v>
      </c>
      <c r="AI2371" s="41">
        <f>COUNT(AI2350:AI2368)</f>
        <v>19</v>
      </c>
      <c r="AJ2371" s="41">
        <f>COUNT(AJ2344:AJ2368)</f>
        <v>19</v>
      </c>
      <c r="AL2371" s="41">
        <f>COUNT(AL2350:AL2368)</f>
        <v>19</v>
      </c>
      <c r="AM2371" s="41">
        <f>COUNT(AM2350:AM2368)</f>
        <v>19</v>
      </c>
      <c r="AY2371" s="41" t="s">
        <v>557</v>
      </c>
    </row>
    <row r="2372" spans="1:51" x14ac:dyDescent="0.2">
      <c r="A2372" s="82"/>
      <c r="B2372" s="82"/>
      <c r="C2372" s="82"/>
      <c r="D2372" s="82"/>
      <c r="E2372" s="82"/>
      <c r="F2372" s="82"/>
      <c r="G2372" s="82"/>
      <c r="H2372" s="82"/>
      <c r="I2372" s="82"/>
      <c r="J2372" s="82"/>
      <c r="K2372" s="82"/>
      <c r="L2372" s="82"/>
      <c r="M2372" s="82"/>
      <c r="N2372" s="82"/>
      <c r="O2372" s="82"/>
      <c r="P2372" s="82"/>
      <c r="Q2372" s="82"/>
      <c r="R2372" s="82"/>
      <c r="S2372" s="82"/>
      <c r="T2372" s="82"/>
      <c r="U2372" s="82"/>
      <c r="V2372" s="82"/>
      <c r="W2372" s="82"/>
      <c r="X2372" s="82"/>
      <c r="Y2372" s="82"/>
      <c r="Z2372" s="82"/>
      <c r="AA2372" s="82"/>
      <c r="AB2372" s="82"/>
      <c r="AC2372" s="82"/>
      <c r="AD2372" s="82"/>
      <c r="AE2372" s="82"/>
      <c r="AF2372" s="82"/>
      <c r="AG2372" s="82"/>
      <c r="AH2372" s="82"/>
      <c r="AI2372" s="82"/>
      <c r="AJ2372" s="82"/>
      <c r="AK2372" s="82"/>
      <c r="AL2372" s="82"/>
      <c r="AM2372" s="82"/>
      <c r="AN2372" s="82"/>
      <c r="AO2372" s="82"/>
      <c r="AP2372" s="82"/>
      <c r="AQ2372" s="82"/>
      <c r="AR2372" s="82"/>
      <c r="AS2372" s="82"/>
      <c r="AT2372" s="82"/>
      <c r="AU2372" s="82"/>
      <c r="AV2372" s="82"/>
      <c r="AW2372" s="82"/>
      <c r="AX2372" s="82"/>
      <c r="AY2372" s="41" t="s">
        <v>557</v>
      </c>
    </row>
    <row r="2373" spans="1:51" x14ac:dyDescent="0.2">
      <c r="A2373" s="86" t="s">
        <v>141</v>
      </c>
      <c r="B2373" s="58" t="s">
        <v>682</v>
      </c>
      <c r="AY2373" s="41" t="s">
        <v>557</v>
      </c>
    </row>
    <row r="2374" spans="1:51" x14ac:dyDescent="0.2">
      <c r="A2374" s="86" t="s">
        <v>141</v>
      </c>
      <c r="B2374" s="41">
        <v>2011</v>
      </c>
      <c r="C2374" s="41" t="s">
        <v>87</v>
      </c>
      <c r="D2374" s="41" t="s">
        <v>88</v>
      </c>
      <c r="E2374" s="41">
        <v>100</v>
      </c>
      <c r="F2374" s="41" t="s">
        <v>683</v>
      </c>
      <c r="G2374" s="53">
        <v>73140000</v>
      </c>
      <c r="H2374" s="46">
        <v>0.76376674870112116</v>
      </c>
      <c r="K2374" s="44">
        <v>2.8675599307264603E-3</v>
      </c>
      <c r="S2374" s="53">
        <v>470096</v>
      </c>
      <c r="W2374" s="53">
        <v>1573</v>
      </c>
      <c r="AI2374" s="93">
        <v>63904000</v>
      </c>
      <c r="AM2374" s="93">
        <v>93245000</v>
      </c>
      <c r="AO2374" s="53">
        <f t="shared" ref="AO2374:AW2378" si="412">$G2374*H2374</f>
        <v>55861900</v>
      </c>
      <c r="AP2374" s="53">
        <f t="shared" si="412"/>
        <v>0</v>
      </c>
      <c r="AQ2374" s="53">
        <f t="shared" si="412"/>
        <v>0</v>
      </c>
      <c r="AR2374" s="53">
        <f t="shared" si="412"/>
        <v>209733.33333333331</v>
      </c>
      <c r="AS2374" s="53">
        <f t="shared" si="412"/>
        <v>0</v>
      </c>
      <c r="AT2374" s="53">
        <f t="shared" si="412"/>
        <v>0</v>
      </c>
      <c r="AU2374" s="53">
        <f t="shared" si="412"/>
        <v>0</v>
      </c>
      <c r="AV2374" s="53">
        <f t="shared" si="412"/>
        <v>0</v>
      </c>
      <c r="AW2374" s="53">
        <f t="shared" si="412"/>
        <v>0</v>
      </c>
      <c r="AX2374" s="53">
        <f>$G2374*E2374</f>
        <v>7314000000</v>
      </c>
      <c r="AY2374" s="41" t="s">
        <v>557</v>
      </c>
    </row>
    <row r="2375" spans="1:51" x14ac:dyDescent="0.2">
      <c r="A2375" s="86" t="s">
        <v>141</v>
      </c>
      <c r="B2375" s="41">
        <v>2012</v>
      </c>
      <c r="C2375" s="41" t="s">
        <v>87</v>
      </c>
      <c r="D2375" s="41" t="s">
        <v>88</v>
      </c>
      <c r="E2375" s="41">
        <v>100</v>
      </c>
      <c r="F2375" s="41" t="s">
        <v>683</v>
      </c>
      <c r="G2375" s="53">
        <v>94791876.710355744</v>
      </c>
      <c r="H2375" s="41">
        <v>0.53</v>
      </c>
      <c r="K2375" s="41">
        <v>2.5000000000000001E-3</v>
      </c>
      <c r="S2375" s="53">
        <v>427791</v>
      </c>
      <c r="W2375" s="53">
        <v>1777.3476883191704</v>
      </c>
      <c r="AI2375" s="53">
        <v>85982000</v>
      </c>
      <c r="AM2375" s="93">
        <v>76107000</v>
      </c>
      <c r="AO2375" s="53">
        <f t="shared" si="412"/>
        <v>50239694.656488545</v>
      </c>
      <c r="AP2375" s="53">
        <f t="shared" si="412"/>
        <v>0</v>
      </c>
      <c r="AQ2375" s="53">
        <f t="shared" si="412"/>
        <v>0</v>
      </c>
      <c r="AR2375" s="53">
        <f t="shared" si="412"/>
        <v>236979.69177588937</v>
      </c>
      <c r="AS2375" s="53">
        <f t="shared" si="412"/>
        <v>0</v>
      </c>
      <c r="AT2375" s="53">
        <f t="shared" si="412"/>
        <v>0</v>
      </c>
      <c r="AU2375" s="53">
        <f t="shared" si="412"/>
        <v>0</v>
      </c>
      <c r="AV2375" s="53">
        <f t="shared" si="412"/>
        <v>0</v>
      </c>
      <c r="AW2375" s="53">
        <f t="shared" si="412"/>
        <v>0</v>
      </c>
      <c r="AX2375" s="53">
        <f>$G2375*E2375</f>
        <v>9479187671.035574</v>
      </c>
      <c r="AY2375" s="41" t="s">
        <v>557</v>
      </c>
    </row>
    <row r="2376" spans="1:51" x14ac:dyDescent="0.2">
      <c r="A2376" s="86" t="s">
        <v>141</v>
      </c>
      <c r="B2376" s="41">
        <v>2013</v>
      </c>
      <c r="C2376" s="41" t="s">
        <v>87</v>
      </c>
      <c r="D2376" s="41" t="s">
        <v>88</v>
      </c>
      <c r="E2376" s="41">
        <v>100</v>
      </c>
      <c r="F2376" s="41" t="s">
        <v>683</v>
      </c>
      <c r="G2376" s="53">
        <v>74700000</v>
      </c>
      <c r="H2376" s="47">
        <v>0.7</v>
      </c>
      <c r="K2376" s="44">
        <v>2.0365908076751451E-3</v>
      </c>
      <c r="S2376" s="53">
        <v>379589</v>
      </c>
      <c r="W2376" s="53">
        <v>1141</v>
      </c>
      <c r="AI2376" s="53">
        <v>69543000</v>
      </c>
      <c r="AM2376" s="53">
        <f>97500000+7683000</f>
        <v>105183000</v>
      </c>
      <c r="AO2376" s="53">
        <f t="shared" si="412"/>
        <v>52290000</v>
      </c>
      <c r="AP2376" s="53">
        <f t="shared" si="412"/>
        <v>0</v>
      </c>
      <c r="AQ2376" s="53">
        <f t="shared" si="412"/>
        <v>0</v>
      </c>
      <c r="AR2376" s="53">
        <f t="shared" si="412"/>
        <v>152133.33333333334</v>
      </c>
      <c r="AS2376" s="53">
        <f t="shared" si="412"/>
        <v>0</v>
      </c>
      <c r="AT2376" s="53">
        <f t="shared" si="412"/>
        <v>0</v>
      </c>
      <c r="AU2376" s="53">
        <f t="shared" si="412"/>
        <v>0</v>
      </c>
      <c r="AV2376" s="53">
        <f t="shared" si="412"/>
        <v>0</v>
      </c>
      <c r="AW2376" s="53">
        <f t="shared" si="412"/>
        <v>0</v>
      </c>
      <c r="AX2376" s="53">
        <f>$G2376*E2376</f>
        <v>7470000000</v>
      </c>
      <c r="AY2376" s="41" t="s">
        <v>557</v>
      </c>
    </row>
    <row r="2377" spans="1:51" x14ac:dyDescent="0.2">
      <c r="A2377" s="86" t="s">
        <v>141</v>
      </c>
      <c r="B2377" s="41">
        <v>2015</v>
      </c>
      <c r="C2377" s="41" t="s">
        <v>87</v>
      </c>
      <c r="D2377" s="41" t="s">
        <v>88</v>
      </c>
      <c r="E2377" s="41">
        <v>100</v>
      </c>
      <c r="F2377" s="41" t="s">
        <v>683</v>
      </c>
      <c r="G2377" s="53">
        <v>74162536.699941278</v>
      </c>
      <c r="H2377" s="46">
        <v>0.5</v>
      </c>
      <c r="K2377" s="44">
        <v>2.1142750366590973E-3</v>
      </c>
      <c r="S2377" s="53">
        <v>315747</v>
      </c>
      <c r="W2377" s="53">
        <v>1176</v>
      </c>
      <c r="AM2377" s="53">
        <f>100033000+90000</f>
        <v>100123000</v>
      </c>
      <c r="AO2377" s="53">
        <f t="shared" si="412"/>
        <v>37081268.349970639</v>
      </c>
      <c r="AP2377" s="53">
        <f t="shared" si="412"/>
        <v>0</v>
      </c>
      <c r="AQ2377" s="53">
        <f t="shared" si="412"/>
        <v>0</v>
      </c>
      <c r="AR2377" s="53">
        <f t="shared" si="412"/>
        <v>156800</v>
      </c>
      <c r="AS2377" s="53">
        <f t="shared" si="412"/>
        <v>0</v>
      </c>
      <c r="AT2377" s="53">
        <f t="shared" si="412"/>
        <v>0</v>
      </c>
      <c r="AU2377" s="53">
        <f t="shared" si="412"/>
        <v>0</v>
      </c>
      <c r="AV2377" s="53">
        <f t="shared" si="412"/>
        <v>0</v>
      </c>
      <c r="AW2377" s="53">
        <f t="shared" si="412"/>
        <v>0</v>
      </c>
      <c r="AX2377" s="53">
        <f>$G2377*E2377</f>
        <v>7416253669.9941273</v>
      </c>
      <c r="AY2377" s="41" t="s">
        <v>557</v>
      </c>
    </row>
    <row r="2378" spans="1:51" x14ac:dyDescent="0.2">
      <c r="A2378" s="86" t="s">
        <v>141</v>
      </c>
      <c r="B2378" s="41">
        <v>2016</v>
      </c>
      <c r="C2378" s="41" t="s">
        <v>87</v>
      </c>
      <c r="D2378" s="41" t="s">
        <v>88</v>
      </c>
      <c r="E2378" s="41">
        <v>100</v>
      </c>
      <c r="F2378" s="41" t="s">
        <v>683</v>
      </c>
      <c r="G2378" s="53">
        <v>74751614.797416314</v>
      </c>
      <c r="H2378" s="46">
        <v>0.5</v>
      </c>
      <c r="K2378" s="44">
        <v>3.1571224332689204E-3</v>
      </c>
      <c r="S2378" s="53">
        <v>318255</v>
      </c>
      <c r="W2378" s="53">
        <v>1770</v>
      </c>
      <c r="AM2378" s="53">
        <v>109890000</v>
      </c>
      <c r="AO2378" s="53">
        <f t="shared" si="412"/>
        <v>37375807.398708157</v>
      </c>
      <c r="AP2378" s="53">
        <f t="shared" si="412"/>
        <v>0</v>
      </c>
      <c r="AQ2378" s="53">
        <f t="shared" si="412"/>
        <v>0</v>
      </c>
      <c r="AR2378" s="53">
        <f t="shared" si="412"/>
        <v>236000.00000000003</v>
      </c>
      <c r="AS2378" s="53">
        <f t="shared" si="412"/>
        <v>0</v>
      </c>
      <c r="AT2378" s="53">
        <f t="shared" si="412"/>
        <v>0</v>
      </c>
      <c r="AU2378" s="53">
        <f t="shared" si="412"/>
        <v>0</v>
      </c>
      <c r="AV2378" s="53">
        <f t="shared" si="412"/>
        <v>0</v>
      </c>
      <c r="AW2378" s="53">
        <f t="shared" si="412"/>
        <v>0</v>
      </c>
      <c r="AX2378" s="53">
        <f>$G2378*E2378</f>
        <v>7475161479.7416315</v>
      </c>
      <c r="AY2378" s="41" t="s">
        <v>557</v>
      </c>
    </row>
    <row r="2379" spans="1:51" x14ac:dyDescent="0.2">
      <c r="A2379" s="86" t="s">
        <v>141</v>
      </c>
      <c r="B2379" s="60" t="s">
        <v>248</v>
      </c>
      <c r="C2379" s="60" t="s">
        <v>87</v>
      </c>
      <c r="D2379" s="60" t="s">
        <v>88</v>
      </c>
      <c r="E2379" s="60">
        <v>100</v>
      </c>
      <c r="F2379" s="60" t="s">
        <v>683</v>
      </c>
      <c r="G2379" s="79">
        <f>AVERAGE(G2374:G2378)</f>
        <v>78309205.641542673</v>
      </c>
      <c r="H2379" s="80">
        <f>AO2379/SUM($G2374:$G2378)</f>
        <v>0.59469041601832362</v>
      </c>
      <c r="K2379" s="89">
        <f>AR2379/SUM($G2374:$G2378)</f>
        <v>2.5326431300600302E-3</v>
      </c>
      <c r="S2379" s="79">
        <f>AVERAGE(S2374:S2378)</f>
        <v>382295.6</v>
      </c>
      <c r="W2379" s="79">
        <f>AVERAGE(W2374:W2378)</f>
        <v>1487.4695376638342</v>
      </c>
      <c r="AI2379" s="79">
        <f>AVERAGE(AI2374:AI2378)</f>
        <v>73143000</v>
      </c>
      <c r="AM2379" s="79">
        <f>AVERAGE(AM2374:AM2378)</f>
        <v>96909600</v>
      </c>
      <c r="AO2379" s="79">
        <f t="shared" ref="AO2379:AX2379" si="413">SUM(AO2374:AO2378)</f>
        <v>232848670.40516734</v>
      </c>
      <c r="AP2379" s="79">
        <f t="shared" si="413"/>
        <v>0</v>
      </c>
      <c r="AQ2379" s="79">
        <f t="shared" si="413"/>
        <v>0</v>
      </c>
      <c r="AR2379" s="79">
        <f t="shared" si="413"/>
        <v>991646.358442556</v>
      </c>
      <c r="AS2379" s="79">
        <f t="shared" si="413"/>
        <v>0</v>
      </c>
      <c r="AT2379" s="79">
        <f t="shared" si="413"/>
        <v>0</v>
      </c>
      <c r="AU2379" s="79">
        <f t="shared" si="413"/>
        <v>0</v>
      </c>
      <c r="AV2379" s="79">
        <f t="shared" si="413"/>
        <v>0</v>
      </c>
      <c r="AW2379" s="79">
        <f t="shared" si="413"/>
        <v>0</v>
      </c>
      <c r="AX2379" s="79">
        <f t="shared" si="413"/>
        <v>39154602820.771332</v>
      </c>
      <c r="AY2379" s="41" t="s">
        <v>557</v>
      </c>
    </row>
    <row r="2380" spans="1:51" x14ac:dyDescent="0.2">
      <c r="A2380" s="86" t="s">
        <v>141</v>
      </c>
      <c r="B2380" s="43" t="s">
        <v>560</v>
      </c>
      <c r="G2380" s="53">
        <f>STDEV(G2374:G2378)</f>
        <v>9236839.4732131734</v>
      </c>
      <c r="H2380" s="46">
        <f>STDEV(H2374:H2378)</f>
        <v>0.12420927632003245</v>
      </c>
      <c r="K2380" s="42">
        <f>STDEV(K2374:K2378)</f>
        <v>4.8069704262842979E-4</v>
      </c>
      <c r="S2380" s="53">
        <f>STDEV(S2374:S2378)</f>
        <v>67668.275349679097</v>
      </c>
      <c r="W2380" s="53">
        <f>STDEV(W2374:W2378)</f>
        <v>311.53758913821179</v>
      </c>
      <c r="AI2380" s="53">
        <f>STDEV(AI2374:AI2378)</f>
        <v>11470811.697521672</v>
      </c>
      <c r="AM2380" s="53">
        <f>STDEV(AM2374:AM2378)</f>
        <v>13166656.097886054</v>
      </c>
      <c r="AY2380" s="41" t="s">
        <v>557</v>
      </c>
    </row>
    <row r="2381" spans="1:51" x14ac:dyDescent="0.2">
      <c r="A2381" s="86" t="s">
        <v>141</v>
      </c>
      <c r="B2381" s="81" t="s">
        <v>249</v>
      </c>
      <c r="G2381" s="41">
        <f>COUNT(G2374:G2378)</f>
        <v>5</v>
      </c>
      <c r="H2381" s="41">
        <f>COUNT(H2374:H2378)</f>
        <v>5</v>
      </c>
      <c r="K2381" s="41">
        <f>COUNT(K2374:K2378)</f>
        <v>5</v>
      </c>
      <c r="S2381" s="41">
        <f>COUNT(S2374:S2378)</f>
        <v>5</v>
      </c>
      <c r="W2381" s="41">
        <f>COUNT(W2374:W2378)</f>
        <v>5</v>
      </c>
      <c r="AI2381" s="41">
        <f>COUNT(AI2374:AI2378)</f>
        <v>3</v>
      </c>
      <c r="AM2381" s="41">
        <f>COUNT(AM2374:AM2378)</f>
        <v>5</v>
      </c>
      <c r="AY2381" s="41" t="s">
        <v>557</v>
      </c>
    </row>
    <row r="2382" spans="1:51" x14ac:dyDescent="0.2">
      <c r="A2382" s="82"/>
      <c r="B2382" s="82"/>
      <c r="C2382" s="82"/>
      <c r="D2382" s="82"/>
      <c r="E2382" s="82"/>
      <c r="F2382" s="82"/>
      <c r="G2382" s="82"/>
      <c r="H2382" s="82"/>
      <c r="I2382" s="82"/>
      <c r="J2382" s="82"/>
      <c r="K2382" s="82"/>
      <c r="L2382" s="82"/>
      <c r="M2382" s="82"/>
      <c r="N2382" s="82"/>
      <c r="O2382" s="82"/>
      <c r="P2382" s="82"/>
      <c r="Q2382" s="82"/>
      <c r="R2382" s="82"/>
      <c r="S2382" s="82"/>
      <c r="T2382" s="82"/>
      <c r="U2382" s="82"/>
      <c r="V2382" s="82"/>
      <c r="W2382" s="82"/>
      <c r="X2382" s="82"/>
      <c r="Y2382" s="82"/>
      <c r="Z2382" s="82"/>
      <c r="AA2382" s="82"/>
      <c r="AB2382" s="82"/>
      <c r="AC2382" s="82"/>
      <c r="AD2382" s="82"/>
      <c r="AE2382" s="82"/>
      <c r="AF2382" s="82"/>
      <c r="AG2382" s="82"/>
      <c r="AH2382" s="82"/>
      <c r="AI2382" s="82"/>
      <c r="AJ2382" s="82"/>
      <c r="AK2382" s="82"/>
      <c r="AL2382" s="82"/>
      <c r="AM2382" s="82"/>
      <c r="AN2382" s="82"/>
      <c r="AO2382" s="82"/>
      <c r="AP2382" s="82"/>
      <c r="AQ2382" s="82"/>
      <c r="AR2382" s="82"/>
      <c r="AS2382" s="82"/>
      <c r="AT2382" s="82"/>
      <c r="AU2382" s="82"/>
      <c r="AV2382" s="82"/>
      <c r="AW2382" s="82"/>
      <c r="AX2382" s="82"/>
      <c r="AY2382" s="41" t="s">
        <v>557</v>
      </c>
    </row>
    <row r="2383" spans="1:51" x14ac:dyDescent="0.2">
      <c r="A2383" s="86" t="s">
        <v>684</v>
      </c>
      <c r="B2383" s="58" t="s">
        <v>685</v>
      </c>
      <c r="AY2383" s="41" t="s">
        <v>557</v>
      </c>
    </row>
    <row r="2384" spans="1:51" x14ac:dyDescent="0.2">
      <c r="A2384" s="86" t="s">
        <v>684</v>
      </c>
      <c r="B2384" s="41">
        <v>1995</v>
      </c>
      <c r="C2384" s="41" t="s">
        <v>87</v>
      </c>
      <c r="D2384" s="41" t="s">
        <v>113</v>
      </c>
      <c r="E2384" s="41">
        <v>100</v>
      </c>
      <c r="F2384" s="41" t="s">
        <v>577</v>
      </c>
      <c r="G2384" s="53">
        <v>4837000</v>
      </c>
      <c r="I2384" s="41">
        <v>1.1299999999999999</v>
      </c>
      <c r="J2384" s="41">
        <v>15.6</v>
      </c>
      <c r="T2384" s="53">
        <f>121000*31/1000</f>
        <v>3751</v>
      </c>
      <c r="U2384" s="53">
        <f>982000*31/1000</f>
        <v>30442</v>
      </c>
      <c r="AM2384" s="53"/>
      <c r="AO2384" s="53">
        <f t="shared" ref="AO2384:AW2397" si="414">$G2384*H2384</f>
        <v>0</v>
      </c>
      <c r="AP2384" s="53">
        <f t="shared" si="414"/>
        <v>5465809.9999999991</v>
      </c>
      <c r="AQ2384" s="53">
        <f t="shared" si="414"/>
        <v>75457200</v>
      </c>
      <c r="AR2384" s="53">
        <f t="shared" si="414"/>
        <v>0</v>
      </c>
      <c r="AS2384" s="53">
        <f t="shared" si="414"/>
        <v>0</v>
      </c>
      <c r="AT2384" s="53">
        <f t="shared" si="414"/>
        <v>0</v>
      </c>
      <c r="AU2384" s="53">
        <f t="shared" si="414"/>
        <v>0</v>
      </c>
      <c r="AV2384" s="53">
        <f t="shared" si="414"/>
        <v>0</v>
      </c>
      <c r="AW2384" s="53">
        <f t="shared" si="414"/>
        <v>0</v>
      </c>
      <c r="AX2384" s="53">
        <f t="shared" ref="AX2384:AX2397" si="415">$G2384*E2384</f>
        <v>483700000</v>
      </c>
      <c r="AY2384" s="41" t="s">
        <v>557</v>
      </c>
    </row>
    <row r="2385" spans="1:51" x14ac:dyDescent="0.2">
      <c r="A2385" s="86" t="s">
        <v>684</v>
      </c>
      <c r="B2385" s="41">
        <v>1996</v>
      </c>
      <c r="C2385" s="41" t="s">
        <v>87</v>
      </c>
      <c r="D2385" s="41" t="s">
        <v>113</v>
      </c>
      <c r="E2385" s="41">
        <v>100</v>
      </c>
      <c r="F2385" s="41" t="s">
        <v>577</v>
      </c>
      <c r="G2385" s="53">
        <v>5296000</v>
      </c>
      <c r="I2385" s="41">
        <v>1.1299999999999999</v>
      </c>
      <c r="J2385" s="41">
        <v>18.5</v>
      </c>
      <c r="T2385" s="53">
        <f>127000*31/1000</f>
        <v>3937</v>
      </c>
      <c r="U2385" s="53">
        <f>1088000*31/1000</f>
        <v>33728</v>
      </c>
      <c r="AM2385" s="53"/>
      <c r="AO2385" s="53">
        <f t="shared" si="414"/>
        <v>0</v>
      </c>
      <c r="AP2385" s="53">
        <f t="shared" si="414"/>
        <v>5984479.9999999991</v>
      </c>
      <c r="AQ2385" s="53">
        <f t="shared" si="414"/>
        <v>97976000</v>
      </c>
      <c r="AR2385" s="53">
        <f t="shared" si="414"/>
        <v>0</v>
      </c>
      <c r="AS2385" s="53">
        <f t="shared" si="414"/>
        <v>0</v>
      </c>
      <c r="AT2385" s="53">
        <f t="shared" si="414"/>
        <v>0</v>
      </c>
      <c r="AU2385" s="53">
        <f t="shared" si="414"/>
        <v>0</v>
      </c>
      <c r="AV2385" s="53">
        <f t="shared" si="414"/>
        <v>0</v>
      </c>
      <c r="AW2385" s="53">
        <f t="shared" si="414"/>
        <v>0</v>
      </c>
      <c r="AX2385" s="53">
        <f t="shared" si="415"/>
        <v>529600000</v>
      </c>
      <c r="AY2385" s="41" t="s">
        <v>557</v>
      </c>
    </row>
    <row r="2386" spans="1:51" x14ac:dyDescent="0.2">
      <c r="A2386" s="86" t="s">
        <v>684</v>
      </c>
      <c r="B2386" s="41">
        <v>1997</v>
      </c>
      <c r="C2386" s="41" t="s">
        <v>87</v>
      </c>
      <c r="D2386" s="41" t="s">
        <v>113</v>
      </c>
      <c r="E2386" s="41">
        <v>100</v>
      </c>
      <c r="F2386" s="41" t="s">
        <v>577</v>
      </c>
      <c r="G2386" s="53">
        <v>5282000</v>
      </c>
      <c r="I2386" s="41">
        <v>0.93</v>
      </c>
      <c r="J2386" s="41">
        <v>14.7</v>
      </c>
      <c r="T2386" s="53">
        <f>121000*31/1000</f>
        <v>3751</v>
      </c>
      <c r="U2386" s="53">
        <f>1127000*31/1000</f>
        <v>34937</v>
      </c>
      <c r="AM2386" s="53"/>
      <c r="AO2386" s="53">
        <f t="shared" si="414"/>
        <v>0</v>
      </c>
      <c r="AP2386" s="53">
        <f t="shared" si="414"/>
        <v>4912260</v>
      </c>
      <c r="AQ2386" s="53">
        <f t="shared" si="414"/>
        <v>77645400</v>
      </c>
      <c r="AR2386" s="53">
        <f t="shared" si="414"/>
        <v>0</v>
      </c>
      <c r="AS2386" s="53">
        <f t="shared" si="414"/>
        <v>0</v>
      </c>
      <c r="AT2386" s="53">
        <f t="shared" si="414"/>
        <v>0</v>
      </c>
      <c r="AU2386" s="53">
        <f t="shared" si="414"/>
        <v>0</v>
      </c>
      <c r="AV2386" s="53">
        <f t="shared" si="414"/>
        <v>0</v>
      </c>
      <c r="AW2386" s="53">
        <f t="shared" si="414"/>
        <v>0</v>
      </c>
      <c r="AX2386" s="53">
        <f t="shared" si="415"/>
        <v>528200000</v>
      </c>
      <c r="AY2386" s="41" t="s">
        <v>557</v>
      </c>
    </row>
    <row r="2387" spans="1:51" x14ac:dyDescent="0.2">
      <c r="A2387" s="86" t="s">
        <v>684</v>
      </c>
      <c r="B2387" s="41">
        <v>1998</v>
      </c>
      <c r="C2387" s="41" t="s">
        <v>87</v>
      </c>
      <c r="D2387" s="41" t="s">
        <v>113</v>
      </c>
      <c r="E2387" s="41">
        <v>100</v>
      </c>
      <c r="F2387" s="41" t="s">
        <v>577</v>
      </c>
      <c r="G2387" s="53">
        <v>5435000</v>
      </c>
      <c r="I2387" s="41">
        <v>0.86</v>
      </c>
      <c r="J2387" s="41">
        <v>10.6</v>
      </c>
      <c r="T2387" s="53">
        <f>125000*31/1000</f>
        <v>3875</v>
      </c>
      <c r="U2387" s="53">
        <f>843000*31/1000</f>
        <v>26133</v>
      </c>
      <c r="AM2387" s="53"/>
      <c r="AO2387" s="53">
        <f t="shared" si="414"/>
        <v>0</v>
      </c>
      <c r="AP2387" s="53">
        <f t="shared" si="414"/>
        <v>4674100</v>
      </c>
      <c r="AQ2387" s="53">
        <f t="shared" si="414"/>
        <v>57611000</v>
      </c>
      <c r="AR2387" s="53">
        <f t="shared" si="414"/>
        <v>0</v>
      </c>
      <c r="AS2387" s="53">
        <f t="shared" si="414"/>
        <v>0</v>
      </c>
      <c r="AT2387" s="53">
        <f t="shared" si="414"/>
        <v>0</v>
      </c>
      <c r="AU2387" s="53">
        <f t="shared" si="414"/>
        <v>0</v>
      </c>
      <c r="AV2387" s="53">
        <f t="shared" si="414"/>
        <v>0</v>
      </c>
      <c r="AW2387" s="53">
        <f t="shared" si="414"/>
        <v>0</v>
      </c>
      <c r="AX2387" s="53">
        <f t="shared" si="415"/>
        <v>543500000</v>
      </c>
      <c r="AY2387" s="41" t="s">
        <v>557</v>
      </c>
    </row>
    <row r="2388" spans="1:51" x14ac:dyDescent="0.2">
      <c r="A2388" s="86" t="s">
        <v>684</v>
      </c>
      <c r="B2388" s="41">
        <v>1999</v>
      </c>
      <c r="C2388" s="41" t="s">
        <v>87</v>
      </c>
      <c r="D2388" s="41" t="s">
        <v>113</v>
      </c>
      <c r="E2388" s="41">
        <v>100</v>
      </c>
      <c r="F2388" s="41" t="s">
        <v>577</v>
      </c>
      <c r="G2388" s="53">
        <v>6129000</v>
      </c>
      <c r="I2388" s="41">
        <v>0.86</v>
      </c>
      <c r="J2388" s="41">
        <v>11.7</v>
      </c>
      <c r="T2388" s="53">
        <f>113000*31/1000</f>
        <v>3503</v>
      </c>
      <c r="U2388" s="53">
        <f>651000*31/1000</f>
        <v>20181</v>
      </c>
      <c r="AM2388" s="53"/>
      <c r="AO2388" s="53">
        <f t="shared" si="414"/>
        <v>0</v>
      </c>
      <c r="AP2388" s="53">
        <f t="shared" si="414"/>
        <v>5270940</v>
      </c>
      <c r="AQ2388" s="53">
        <f t="shared" si="414"/>
        <v>71709300</v>
      </c>
      <c r="AR2388" s="53">
        <f t="shared" si="414"/>
        <v>0</v>
      </c>
      <c r="AS2388" s="53">
        <f t="shared" si="414"/>
        <v>0</v>
      </c>
      <c r="AT2388" s="53">
        <f t="shared" si="414"/>
        <v>0</v>
      </c>
      <c r="AU2388" s="53">
        <f t="shared" si="414"/>
        <v>0</v>
      </c>
      <c r="AV2388" s="53">
        <f t="shared" si="414"/>
        <v>0</v>
      </c>
      <c r="AW2388" s="53">
        <f t="shared" si="414"/>
        <v>0</v>
      </c>
      <c r="AX2388" s="53">
        <f t="shared" si="415"/>
        <v>612900000</v>
      </c>
      <c r="AY2388" s="41" t="s">
        <v>557</v>
      </c>
    </row>
    <row r="2389" spans="1:51" x14ac:dyDescent="0.2">
      <c r="A2389" s="86" t="s">
        <v>684</v>
      </c>
      <c r="B2389" s="41">
        <v>2000</v>
      </c>
      <c r="C2389" s="41" t="s">
        <v>87</v>
      </c>
      <c r="D2389" s="41" t="s">
        <v>113</v>
      </c>
      <c r="E2389" s="41">
        <v>100</v>
      </c>
      <c r="F2389" s="41" t="s">
        <v>577</v>
      </c>
      <c r="G2389" s="53">
        <v>5929000</v>
      </c>
      <c r="I2389" s="41">
        <v>0.89</v>
      </c>
      <c r="J2389" s="41">
        <v>12.5</v>
      </c>
      <c r="T2389" s="53">
        <f>104000*31/1000</f>
        <v>3224</v>
      </c>
      <c r="U2389" s="53">
        <f>814000*31/1000</f>
        <v>25234</v>
      </c>
      <c r="AM2389" s="53"/>
      <c r="AO2389" s="53">
        <f t="shared" si="414"/>
        <v>0</v>
      </c>
      <c r="AP2389" s="53">
        <f t="shared" si="414"/>
        <v>5276810</v>
      </c>
      <c r="AQ2389" s="53">
        <f t="shared" si="414"/>
        <v>74112500</v>
      </c>
      <c r="AR2389" s="53">
        <f t="shared" si="414"/>
        <v>0</v>
      </c>
      <c r="AS2389" s="53">
        <f t="shared" si="414"/>
        <v>0</v>
      </c>
      <c r="AT2389" s="53">
        <f t="shared" si="414"/>
        <v>0</v>
      </c>
      <c r="AU2389" s="53">
        <f t="shared" si="414"/>
        <v>0</v>
      </c>
      <c r="AV2389" s="53">
        <f t="shared" si="414"/>
        <v>0</v>
      </c>
      <c r="AW2389" s="53">
        <f t="shared" si="414"/>
        <v>0</v>
      </c>
      <c r="AX2389" s="53">
        <f t="shared" si="415"/>
        <v>592900000</v>
      </c>
      <c r="AY2389" s="41" t="s">
        <v>557</v>
      </c>
    </row>
    <row r="2390" spans="1:51" x14ac:dyDescent="0.2">
      <c r="A2390" s="86" t="s">
        <v>684</v>
      </c>
      <c r="B2390" s="41">
        <v>2001</v>
      </c>
      <c r="C2390" s="41" t="s">
        <v>87</v>
      </c>
      <c r="D2390" s="41" t="s">
        <v>113</v>
      </c>
      <c r="E2390" s="41">
        <v>100</v>
      </c>
      <c r="F2390" s="41" t="s">
        <v>577</v>
      </c>
      <c r="G2390" s="53">
        <v>5723000</v>
      </c>
      <c r="I2390" s="41">
        <v>0.96</v>
      </c>
      <c r="J2390" s="41">
        <v>16.399999999999999</v>
      </c>
      <c r="T2390" s="53">
        <f>101000*31/1000</f>
        <v>3131</v>
      </c>
      <c r="U2390" s="53">
        <f>730000*31/1000</f>
        <v>22630</v>
      </c>
      <c r="AM2390" s="53"/>
      <c r="AO2390" s="53">
        <f t="shared" si="414"/>
        <v>0</v>
      </c>
      <c r="AP2390" s="53">
        <f t="shared" si="414"/>
        <v>5494080</v>
      </c>
      <c r="AQ2390" s="53">
        <f t="shared" si="414"/>
        <v>93857199.999999985</v>
      </c>
      <c r="AR2390" s="53">
        <f t="shared" si="414"/>
        <v>0</v>
      </c>
      <c r="AS2390" s="53">
        <f t="shared" si="414"/>
        <v>0</v>
      </c>
      <c r="AT2390" s="53">
        <f t="shared" si="414"/>
        <v>0</v>
      </c>
      <c r="AU2390" s="53">
        <f t="shared" si="414"/>
        <v>0</v>
      </c>
      <c r="AV2390" s="53">
        <f t="shared" si="414"/>
        <v>0</v>
      </c>
      <c r="AW2390" s="53">
        <f t="shared" si="414"/>
        <v>0</v>
      </c>
      <c r="AX2390" s="53">
        <f t="shared" si="415"/>
        <v>572300000</v>
      </c>
      <c r="AY2390" s="41" t="s">
        <v>557</v>
      </c>
    </row>
    <row r="2391" spans="1:51" x14ac:dyDescent="0.2">
      <c r="A2391" s="86" t="s">
        <v>684</v>
      </c>
      <c r="B2391" s="41">
        <v>2002</v>
      </c>
      <c r="C2391" s="41" t="s">
        <v>87</v>
      </c>
      <c r="D2391" s="41" t="s">
        <v>113</v>
      </c>
      <c r="E2391" s="41">
        <v>100</v>
      </c>
      <c r="F2391" s="41" t="s">
        <v>577</v>
      </c>
      <c r="G2391" s="53">
        <v>5385000</v>
      </c>
      <c r="I2391" s="41">
        <v>0.96</v>
      </c>
      <c r="J2391" s="41">
        <v>14.2</v>
      </c>
      <c r="T2391" s="53">
        <f>82000*31/1000</f>
        <v>2542</v>
      </c>
      <c r="U2391" s="53">
        <f>688000*31/1000</f>
        <v>21328</v>
      </c>
      <c r="AM2391" s="53"/>
      <c r="AO2391" s="53">
        <f t="shared" si="414"/>
        <v>0</v>
      </c>
      <c r="AP2391" s="53">
        <f t="shared" si="414"/>
        <v>5169600</v>
      </c>
      <c r="AQ2391" s="53">
        <f t="shared" si="414"/>
        <v>76467000</v>
      </c>
      <c r="AR2391" s="53">
        <f t="shared" si="414"/>
        <v>0</v>
      </c>
      <c r="AS2391" s="53">
        <f t="shared" si="414"/>
        <v>0</v>
      </c>
      <c r="AT2391" s="53">
        <f t="shared" si="414"/>
        <v>0</v>
      </c>
      <c r="AU2391" s="53">
        <f t="shared" si="414"/>
        <v>0</v>
      </c>
      <c r="AV2391" s="53">
        <f t="shared" si="414"/>
        <v>0</v>
      </c>
      <c r="AW2391" s="53">
        <f t="shared" si="414"/>
        <v>0</v>
      </c>
      <c r="AX2391" s="53">
        <f t="shared" si="415"/>
        <v>538500000</v>
      </c>
      <c r="AY2391" s="41" t="s">
        <v>557</v>
      </c>
    </row>
    <row r="2392" spans="1:51" x14ac:dyDescent="0.2">
      <c r="A2392" s="86" t="s">
        <v>684</v>
      </c>
      <c r="B2392" s="41">
        <v>2003</v>
      </c>
      <c r="C2392" s="41" t="s">
        <v>87</v>
      </c>
      <c r="D2392" s="41" t="s">
        <v>113</v>
      </c>
      <c r="E2392" s="41">
        <v>100</v>
      </c>
      <c r="F2392" s="41" t="s">
        <v>577</v>
      </c>
      <c r="G2392" s="53">
        <v>1614000</v>
      </c>
      <c r="I2392" s="41">
        <v>0.51</v>
      </c>
      <c r="J2392" s="41">
        <v>9.4</v>
      </c>
      <c r="T2392" s="53">
        <f>64000*31/1000</f>
        <v>1984</v>
      </c>
      <c r="U2392" s="53">
        <f>530000*31/1000</f>
        <v>16430</v>
      </c>
      <c r="AM2392" s="53"/>
      <c r="AO2392" s="53">
        <f t="shared" si="414"/>
        <v>0</v>
      </c>
      <c r="AP2392" s="53">
        <f t="shared" si="414"/>
        <v>823140</v>
      </c>
      <c r="AQ2392" s="53">
        <f t="shared" si="414"/>
        <v>15171600</v>
      </c>
      <c r="AR2392" s="53">
        <f t="shared" si="414"/>
        <v>0</v>
      </c>
      <c r="AS2392" s="53">
        <f t="shared" si="414"/>
        <v>0</v>
      </c>
      <c r="AT2392" s="53">
        <f t="shared" si="414"/>
        <v>0</v>
      </c>
      <c r="AU2392" s="53">
        <f t="shared" si="414"/>
        <v>0</v>
      </c>
      <c r="AV2392" s="53">
        <f t="shared" si="414"/>
        <v>0</v>
      </c>
      <c r="AW2392" s="53">
        <f t="shared" si="414"/>
        <v>0</v>
      </c>
      <c r="AX2392" s="53">
        <f t="shared" si="415"/>
        <v>161400000</v>
      </c>
      <c r="AY2392" s="41" t="s">
        <v>557</v>
      </c>
    </row>
    <row r="2393" spans="1:51" x14ac:dyDescent="0.2">
      <c r="A2393" s="86" t="s">
        <v>684</v>
      </c>
      <c r="B2393" s="41">
        <v>2004</v>
      </c>
      <c r="C2393" s="41" t="s">
        <v>87</v>
      </c>
      <c r="D2393" s="41" t="s">
        <v>113</v>
      </c>
      <c r="E2393" s="41">
        <v>100</v>
      </c>
      <c r="F2393" s="41" t="s">
        <v>577</v>
      </c>
      <c r="T2393" s="53">
        <f>50000*31/1000</f>
        <v>1550</v>
      </c>
      <c r="U2393" s="53">
        <f>462000*31/1000</f>
        <v>14322</v>
      </c>
      <c r="AM2393" s="53"/>
      <c r="AO2393" s="53">
        <f t="shared" si="414"/>
        <v>0</v>
      </c>
      <c r="AP2393" s="53">
        <f t="shared" si="414"/>
        <v>0</v>
      </c>
      <c r="AQ2393" s="53">
        <f t="shared" si="414"/>
        <v>0</v>
      </c>
      <c r="AR2393" s="53">
        <f t="shared" si="414"/>
        <v>0</v>
      </c>
      <c r="AS2393" s="53">
        <f t="shared" si="414"/>
        <v>0</v>
      </c>
      <c r="AT2393" s="53">
        <f t="shared" si="414"/>
        <v>0</v>
      </c>
      <c r="AU2393" s="53">
        <f t="shared" si="414"/>
        <v>0</v>
      </c>
      <c r="AV2393" s="53">
        <f t="shared" si="414"/>
        <v>0</v>
      </c>
      <c r="AW2393" s="53">
        <f t="shared" si="414"/>
        <v>0</v>
      </c>
      <c r="AX2393" s="53">
        <f t="shared" si="415"/>
        <v>0</v>
      </c>
      <c r="AY2393" s="41" t="s">
        <v>557</v>
      </c>
    </row>
    <row r="2394" spans="1:51" x14ac:dyDescent="0.2">
      <c r="A2394" s="86" t="s">
        <v>684</v>
      </c>
      <c r="B2394" s="41">
        <v>2005</v>
      </c>
      <c r="C2394" s="41" t="s">
        <v>87</v>
      </c>
      <c r="D2394" s="41" t="s">
        <v>113</v>
      </c>
      <c r="E2394" s="41">
        <v>100</v>
      </c>
      <c r="F2394" s="41" t="s">
        <v>577</v>
      </c>
      <c r="T2394" s="53">
        <f>35000*31/1000</f>
        <v>1085</v>
      </c>
      <c r="U2394" s="53">
        <f>320000*31/1000</f>
        <v>9920</v>
      </c>
      <c r="AM2394" s="53"/>
      <c r="AO2394" s="53">
        <f t="shared" si="414"/>
        <v>0</v>
      </c>
      <c r="AP2394" s="53">
        <f t="shared" si="414"/>
        <v>0</v>
      </c>
      <c r="AQ2394" s="53">
        <f t="shared" si="414"/>
        <v>0</v>
      </c>
      <c r="AR2394" s="53">
        <f t="shared" si="414"/>
        <v>0</v>
      </c>
      <c r="AS2394" s="53">
        <f t="shared" si="414"/>
        <v>0</v>
      </c>
      <c r="AT2394" s="53">
        <f t="shared" si="414"/>
        <v>0</v>
      </c>
      <c r="AU2394" s="53">
        <f t="shared" si="414"/>
        <v>0</v>
      </c>
      <c r="AV2394" s="53">
        <f t="shared" si="414"/>
        <v>0</v>
      </c>
      <c r="AW2394" s="53">
        <f t="shared" si="414"/>
        <v>0</v>
      </c>
      <c r="AX2394" s="53">
        <f t="shared" si="415"/>
        <v>0</v>
      </c>
      <c r="AY2394" s="41" t="s">
        <v>557</v>
      </c>
    </row>
    <row r="2395" spans="1:51" x14ac:dyDescent="0.2">
      <c r="A2395" s="86" t="s">
        <v>684</v>
      </c>
      <c r="B2395" s="41">
        <v>2006</v>
      </c>
      <c r="C2395" s="41" t="s">
        <v>87</v>
      </c>
      <c r="D2395" s="41" t="s">
        <v>113</v>
      </c>
      <c r="E2395" s="41">
        <v>100</v>
      </c>
      <c r="F2395" s="41" t="s">
        <v>577</v>
      </c>
      <c r="T2395" s="53">
        <f>26000*31/1000</f>
        <v>806</v>
      </c>
      <c r="U2395" s="53">
        <f>232000*31/1000</f>
        <v>7192</v>
      </c>
      <c r="AM2395" s="53"/>
      <c r="AO2395" s="53">
        <f t="shared" si="414"/>
        <v>0</v>
      </c>
      <c r="AP2395" s="53">
        <f t="shared" si="414"/>
        <v>0</v>
      </c>
      <c r="AQ2395" s="53">
        <f t="shared" si="414"/>
        <v>0</v>
      </c>
      <c r="AR2395" s="53">
        <f t="shared" si="414"/>
        <v>0</v>
      </c>
      <c r="AS2395" s="53">
        <f t="shared" si="414"/>
        <v>0</v>
      </c>
      <c r="AT2395" s="53">
        <f t="shared" si="414"/>
        <v>0</v>
      </c>
      <c r="AU2395" s="53">
        <f t="shared" si="414"/>
        <v>0</v>
      </c>
      <c r="AV2395" s="53">
        <f t="shared" si="414"/>
        <v>0</v>
      </c>
      <c r="AW2395" s="53">
        <f t="shared" si="414"/>
        <v>0</v>
      </c>
      <c r="AX2395" s="53">
        <f t="shared" si="415"/>
        <v>0</v>
      </c>
      <c r="AY2395" s="41" t="s">
        <v>557</v>
      </c>
    </row>
    <row r="2396" spans="1:51" x14ac:dyDescent="0.2">
      <c r="A2396" s="86" t="s">
        <v>684</v>
      </c>
      <c r="B2396" s="41">
        <v>2007</v>
      </c>
      <c r="C2396" s="41" t="s">
        <v>87</v>
      </c>
      <c r="D2396" s="41" t="s">
        <v>113</v>
      </c>
      <c r="E2396" s="41">
        <v>100</v>
      </c>
      <c r="F2396" s="41" t="s">
        <v>577</v>
      </c>
      <c r="T2396" s="53">
        <f>19000*31/1000</f>
        <v>589</v>
      </c>
      <c r="U2396" s="53">
        <f>160000*31/1000</f>
        <v>4960</v>
      </c>
      <c r="AM2396" s="53"/>
      <c r="AO2396" s="53">
        <f t="shared" si="414"/>
        <v>0</v>
      </c>
      <c r="AP2396" s="53">
        <f t="shared" si="414"/>
        <v>0</v>
      </c>
      <c r="AQ2396" s="53">
        <f t="shared" si="414"/>
        <v>0</v>
      </c>
      <c r="AR2396" s="53">
        <f t="shared" si="414"/>
        <v>0</v>
      </c>
      <c r="AS2396" s="53">
        <f t="shared" si="414"/>
        <v>0</v>
      </c>
      <c r="AT2396" s="53">
        <f t="shared" si="414"/>
        <v>0</v>
      </c>
      <c r="AU2396" s="53">
        <f t="shared" si="414"/>
        <v>0</v>
      </c>
      <c r="AV2396" s="53">
        <f t="shared" si="414"/>
        <v>0</v>
      </c>
      <c r="AW2396" s="53">
        <f t="shared" si="414"/>
        <v>0</v>
      </c>
      <c r="AX2396" s="53">
        <f t="shared" si="415"/>
        <v>0</v>
      </c>
      <c r="AY2396" s="41" t="s">
        <v>557</v>
      </c>
    </row>
    <row r="2397" spans="1:51" x14ac:dyDescent="0.2">
      <c r="A2397" s="86" t="s">
        <v>684</v>
      </c>
      <c r="B2397" s="41">
        <v>2008</v>
      </c>
      <c r="C2397" s="41" t="s">
        <v>87</v>
      </c>
      <c r="D2397" s="41" t="s">
        <v>113</v>
      </c>
      <c r="E2397" s="41">
        <v>100</v>
      </c>
      <c r="F2397" s="41" t="s">
        <v>577</v>
      </c>
      <c r="T2397" s="53">
        <f>18000*31/1000</f>
        <v>558</v>
      </c>
      <c r="U2397" s="53">
        <f>150000*31/1000</f>
        <v>4650</v>
      </c>
      <c r="AM2397" s="53"/>
      <c r="AO2397" s="53">
        <f t="shared" si="414"/>
        <v>0</v>
      </c>
      <c r="AP2397" s="53">
        <f t="shared" si="414"/>
        <v>0</v>
      </c>
      <c r="AQ2397" s="53">
        <f t="shared" si="414"/>
        <v>0</v>
      </c>
      <c r="AR2397" s="53">
        <f t="shared" si="414"/>
        <v>0</v>
      </c>
      <c r="AS2397" s="53">
        <f t="shared" si="414"/>
        <v>0</v>
      </c>
      <c r="AT2397" s="53">
        <f t="shared" si="414"/>
        <v>0</v>
      </c>
      <c r="AU2397" s="53">
        <f t="shared" si="414"/>
        <v>0</v>
      </c>
      <c r="AV2397" s="53">
        <f t="shared" si="414"/>
        <v>0</v>
      </c>
      <c r="AW2397" s="53">
        <f t="shared" si="414"/>
        <v>0</v>
      </c>
      <c r="AX2397" s="53">
        <f t="shared" si="415"/>
        <v>0</v>
      </c>
      <c r="AY2397" s="41" t="s">
        <v>557</v>
      </c>
    </row>
    <row r="2398" spans="1:51" x14ac:dyDescent="0.2">
      <c r="A2398" s="86" t="s">
        <v>684</v>
      </c>
      <c r="B2398" s="60" t="s">
        <v>559</v>
      </c>
      <c r="C2398" s="60" t="s">
        <v>87</v>
      </c>
      <c r="D2398" s="60" t="s">
        <v>113</v>
      </c>
      <c r="E2398" s="60">
        <v>100</v>
      </c>
      <c r="F2398" s="60" t="s">
        <v>577</v>
      </c>
      <c r="G2398" s="79">
        <f>SUM(G2384:G2397)</f>
        <v>45630000</v>
      </c>
      <c r="I2398" s="80">
        <f>AP2398/$G2398</f>
        <v>0.9439232960771422</v>
      </c>
      <c r="J2398" s="78">
        <f>AQ2398/$G2398</f>
        <v>14.026017970633355</v>
      </c>
      <c r="T2398" s="79">
        <f>SUM(T2384:T2397)</f>
        <v>34286</v>
      </c>
      <c r="U2398" s="79">
        <f>SUM(U2384:U2397)</f>
        <v>272087</v>
      </c>
      <c r="AO2398" s="79">
        <f>SUM(AO2384:AO2397)</f>
        <v>0</v>
      </c>
      <c r="AP2398" s="79">
        <f t="shared" ref="AP2398:AX2398" si="416">SUM(AP2384:AP2397)</f>
        <v>43071220</v>
      </c>
      <c r="AQ2398" s="79">
        <f t="shared" si="416"/>
        <v>640007200</v>
      </c>
      <c r="AR2398" s="79">
        <f t="shared" si="416"/>
        <v>0</v>
      </c>
      <c r="AS2398" s="79">
        <f t="shared" si="416"/>
        <v>0</v>
      </c>
      <c r="AT2398" s="79">
        <f t="shared" si="416"/>
        <v>0</v>
      </c>
      <c r="AU2398" s="79">
        <f t="shared" si="416"/>
        <v>0</v>
      </c>
      <c r="AV2398" s="79">
        <f t="shared" si="416"/>
        <v>0</v>
      </c>
      <c r="AW2398" s="79">
        <f t="shared" si="416"/>
        <v>0</v>
      </c>
      <c r="AX2398" s="79">
        <f t="shared" si="416"/>
        <v>4563000000</v>
      </c>
      <c r="AY2398" s="41" t="s">
        <v>557</v>
      </c>
    </row>
    <row r="2399" spans="1:51" x14ac:dyDescent="0.2">
      <c r="A2399" s="86" t="s">
        <v>684</v>
      </c>
      <c r="B2399" s="43" t="s">
        <v>560</v>
      </c>
      <c r="G2399" s="53">
        <f>STDEV(G2384:G2397)</f>
        <v>1351502.2197540039</v>
      </c>
      <c r="I2399" s="46">
        <f>STDEV(I2384:I2397)</f>
        <v>0.18283264964928342</v>
      </c>
      <c r="J2399" s="47">
        <f>STDEV(J2384:J2397)</f>
        <v>2.9308701779505695</v>
      </c>
      <c r="T2399" s="53">
        <f>STDEV(T2384:T2397)</f>
        <v>1313.9252408191032</v>
      </c>
      <c r="U2399" s="53">
        <f>STDEV(U2384:U2397)</f>
        <v>10236.87307409664</v>
      </c>
      <c r="AY2399" s="41" t="s">
        <v>557</v>
      </c>
    </row>
    <row r="2400" spans="1:51" x14ac:dyDescent="0.2">
      <c r="A2400" s="86" t="s">
        <v>684</v>
      </c>
      <c r="B2400" s="81" t="s">
        <v>249</v>
      </c>
      <c r="G2400" s="41">
        <f>COUNT(G2384:G2397)</f>
        <v>9</v>
      </c>
      <c r="I2400" s="41">
        <f>COUNT(I2384:I2397)</f>
        <v>9</v>
      </c>
      <c r="J2400" s="41">
        <f>COUNT(J2384:J2397)</f>
        <v>9</v>
      </c>
      <c r="T2400" s="41">
        <f>COUNT(T2384:T2397)</f>
        <v>14</v>
      </c>
      <c r="U2400" s="41">
        <f>COUNT(U2384:U2397)</f>
        <v>14</v>
      </c>
      <c r="AY2400" s="41" t="s">
        <v>557</v>
      </c>
    </row>
    <row r="2401" spans="1:51" x14ac:dyDescent="0.2">
      <c r="A2401" s="82"/>
      <c r="B2401" s="82"/>
      <c r="C2401" s="82"/>
      <c r="D2401" s="82"/>
      <c r="E2401" s="82"/>
      <c r="F2401" s="82"/>
      <c r="G2401" s="82"/>
      <c r="H2401" s="82"/>
      <c r="I2401" s="82"/>
      <c r="J2401" s="82"/>
      <c r="K2401" s="82"/>
      <c r="L2401" s="82"/>
      <c r="M2401" s="82"/>
      <c r="N2401" s="82"/>
      <c r="O2401" s="82"/>
      <c r="P2401" s="82"/>
      <c r="Q2401" s="82"/>
      <c r="R2401" s="82"/>
      <c r="S2401" s="82"/>
      <c r="T2401" s="82"/>
      <c r="U2401" s="82"/>
      <c r="V2401" s="82"/>
      <c r="W2401" s="82"/>
      <c r="X2401" s="82"/>
      <c r="Y2401" s="82"/>
      <c r="Z2401" s="82"/>
      <c r="AA2401" s="82"/>
      <c r="AB2401" s="82"/>
      <c r="AC2401" s="82"/>
      <c r="AD2401" s="82"/>
      <c r="AE2401" s="82"/>
      <c r="AF2401" s="82"/>
      <c r="AG2401" s="82"/>
      <c r="AH2401" s="82"/>
      <c r="AI2401" s="82"/>
      <c r="AJ2401" s="82"/>
      <c r="AK2401" s="82"/>
      <c r="AL2401" s="82"/>
      <c r="AM2401" s="82"/>
      <c r="AN2401" s="82"/>
      <c r="AO2401" s="82"/>
      <c r="AP2401" s="82"/>
      <c r="AQ2401" s="82"/>
      <c r="AR2401" s="82"/>
      <c r="AS2401" s="82"/>
      <c r="AT2401" s="82"/>
      <c r="AU2401" s="82"/>
      <c r="AV2401" s="82"/>
      <c r="AW2401" s="82"/>
      <c r="AX2401" s="82"/>
      <c r="AY2401" s="41" t="s">
        <v>557</v>
      </c>
    </row>
    <row r="2402" spans="1:51" x14ac:dyDescent="0.2">
      <c r="A2402" s="41" t="s">
        <v>257</v>
      </c>
      <c r="B2402" s="41">
        <v>1989</v>
      </c>
      <c r="C2402" s="41" t="s">
        <v>87</v>
      </c>
      <c r="D2402" s="41" t="s">
        <v>88</v>
      </c>
      <c r="E2402" s="41">
        <v>100</v>
      </c>
      <c r="F2402" s="41" t="s">
        <v>599</v>
      </c>
      <c r="G2402" s="53">
        <v>30209.759999999998</v>
      </c>
      <c r="J2402" s="52">
        <v>123.41269841269842</v>
      </c>
      <c r="L2402" s="41">
        <v>7.6</v>
      </c>
      <c r="M2402" s="41">
        <v>20.399999999999999</v>
      </c>
      <c r="U2402" s="53">
        <v>1161.0345600000001</v>
      </c>
      <c r="Y2402" s="53">
        <v>678.04418304000001</v>
      </c>
      <c r="Z2402" s="53">
        <v>7740.2304000000004</v>
      </c>
      <c r="AA2402" s="53">
        <v>3624.7498963200001</v>
      </c>
      <c r="AM2402" s="53">
        <v>15104.88</v>
      </c>
      <c r="AO2402" s="53">
        <f t="shared" ref="AO2402:AW2422" si="417">$G2402*H2402</f>
        <v>0</v>
      </c>
      <c r="AP2402" s="53">
        <f t="shared" si="417"/>
        <v>0</v>
      </c>
      <c r="AQ2402" s="53">
        <f t="shared" si="417"/>
        <v>3728268</v>
      </c>
      <c r="AR2402" s="53">
        <f t="shared" si="417"/>
        <v>0</v>
      </c>
      <c r="AS2402" s="53">
        <f t="shared" si="417"/>
        <v>229594.17599999998</v>
      </c>
      <c r="AT2402" s="53">
        <f t="shared" si="417"/>
        <v>616279.10399999993</v>
      </c>
      <c r="AU2402" s="53">
        <f t="shared" si="417"/>
        <v>0</v>
      </c>
      <c r="AV2402" s="53">
        <f t="shared" si="417"/>
        <v>0</v>
      </c>
      <c r="AW2402" s="53">
        <f t="shared" si="417"/>
        <v>0</v>
      </c>
      <c r="AX2402" s="53">
        <f t="shared" ref="AX2402:AX2422" si="418">$G2402*E2402</f>
        <v>3020976</v>
      </c>
      <c r="AY2402" s="41" t="s">
        <v>557</v>
      </c>
    </row>
    <row r="2403" spans="1:51" x14ac:dyDescent="0.2">
      <c r="A2403" s="41" t="s">
        <v>257</v>
      </c>
      <c r="B2403" s="41">
        <v>1990</v>
      </c>
      <c r="C2403" s="41" t="s">
        <v>87</v>
      </c>
      <c r="D2403" s="41" t="s">
        <v>88</v>
      </c>
      <c r="E2403" s="41">
        <v>100</v>
      </c>
      <c r="F2403" s="41" t="s">
        <v>599</v>
      </c>
      <c r="G2403" s="53">
        <v>904206.24</v>
      </c>
      <c r="J2403" s="52">
        <v>123.41269841269842</v>
      </c>
      <c r="L2403" s="41">
        <v>8.5</v>
      </c>
      <c r="M2403" s="41">
        <v>26.5</v>
      </c>
      <c r="U2403" s="53">
        <v>49760</v>
      </c>
      <c r="Y2403" s="53">
        <v>28292.846399999999</v>
      </c>
      <c r="Z2403" s="53">
        <v>402433.92</v>
      </c>
      <c r="AA2403" s="53">
        <v>174165.16320000001</v>
      </c>
      <c r="AM2403" s="53">
        <v>452103.12</v>
      </c>
      <c r="AO2403" s="53">
        <f t="shared" si="417"/>
        <v>0</v>
      </c>
      <c r="AP2403" s="53">
        <f t="shared" si="417"/>
        <v>0</v>
      </c>
      <c r="AQ2403" s="53">
        <f t="shared" si="417"/>
        <v>111590532</v>
      </c>
      <c r="AR2403" s="53">
        <f t="shared" si="417"/>
        <v>0</v>
      </c>
      <c r="AS2403" s="53">
        <f t="shared" si="417"/>
        <v>7685753.04</v>
      </c>
      <c r="AT2403" s="53">
        <f t="shared" si="417"/>
        <v>23961465.359999999</v>
      </c>
      <c r="AU2403" s="53">
        <f t="shared" si="417"/>
        <v>0</v>
      </c>
      <c r="AV2403" s="53">
        <f t="shared" si="417"/>
        <v>0</v>
      </c>
      <c r="AW2403" s="53">
        <f t="shared" si="417"/>
        <v>0</v>
      </c>
      <c r="AX2403" s="53">
        <f t="shared" si="418"/>
        <v>90420624</v>
      </c>
      <c r="AY2403" s="41" t="s">
        <v>557</v>
      </c>
    </row>
    <row r="2404" spans="1:51" x14ac:dyDescent="0.2">
      <c r="A2404" s="41" t="s">
        <v>257</v>
      </c>
      <c r="B2404" s="41">
        <v>1991</v>
      </c>
      <c r="C2404" s="41" t="s">
        <v>87</v>
      </c>
      <c r="D2404" s="41" t="s">
        <v>88</v>
      </c>
      <c r="E2404" s="41">
        <v>100</v>
      </c>
      <c r="F2404" s="41" t="s">
        <v>599</v>
      </c>
      <c r="G2404" s="53">
        <v>1450884.96</v>
      </c>
      <c r="J2404" s="52">
        <v>95.987654320987659</v>
      </c>
      <c r="L2404" s="41">
        <v>6.6</v>
      </c>
      <c r="M2404" s="41">
        <v>22.5</v>
      </c>
      <c r="U2404" s="53">
        <v>45406</v>
      </c>
      <c r="Y2404" s="53">
        <v>39748.968000000001</v>
      </c>
      <c r="Z2404" s="53">
        <v>473014.08</v>
      </c>
      <c r="AA2404" s="53">
        <v>212747.47200000001</v>
      </c>
      <c r="AM2404" s="53">
        <v>725442.48</v>
      </c>
      <c r="AO2404" s="53">
        <f t="shared" si="417"/>
        <v>0</v>
      </c>
      <c r="AP2404" s="53">
        <f t="shared" si="417"/>
        <v>0</v>
      </c>
      <c r="AQ2404" s="53">
        <f t="shared" si="417"/>
        <v>139267044</v>
      </c>
      <c r="AR2404" s="53">
        <f t="shared" si="417"/>
        <v>0</v>
      </c>
      <c r="AS2404" s="53">
        <f t="shared" si="417"/>
        <v>9575840.7359999996</v>
      </c>
      <c r="AT2404" s="53">
        <f t="shared" si="417"/>
        <v>32644911.599999998</v>
      </c>
      <c r="AU2404" s="53">
        <f t="shared" si="417"/>
        <v>0</v>
      </c>
      <c r="AV2404" s="53">
        <f t="shared" si="417"/>
        <v>0</v>
      </c>
      <c r="AW2404" s="53">
        <f t="shared" si="417"/>
        <v>0</v>
      </c>
      <c r="AX2404" s="53">
        <f t="shared" si="418"/>
        <v>145088496</v>
      </c>
      <c r="AY2404" s="41" t="s">
        <v>557</v>
      </c>
    </row>
    <row r="2405" spans="1:51" x14ac:dyDescent="0.2">
      <c r="A2405" s="41" t="s">
        <v>257</v>
      </c>
      <c r="B2405" s="41">
        <v>1992</v>
      </c>
      <c r="C2405" s="41" t="s">
        <v>87</v>
      </c>
      <c r="D2405" s="41" t="s">
        <v>88</v>
      </c>
      <c r="E2405" s="41">
        <v>100</v>
      </c>
      <c r="F2405" s="41" t="s">
        <v>599</v>
      </c>
      <c r="G2405" s="53">
        <v>1435190.4</v>
      </c>
      <c r="J2405" s="52">
        <v>99.415784832451493</v>
      </c>
      <c r="L2405" s="47">
        <v>6</v>
      </c>
      <c r="M2405" s="41">
        <v>19.899999999999999</v>
      </c>
      <c r="U2405" s="53">
        <v>42918</v>
      </c>
      <c r="Y2405" s="53">
        <v>14478.912</v>
      </c>
      <c r="Z2405" s="53">
        <v>430829.28</v>
      </c>
      <c r="AA2405" s="53">
        <v>209892.51360000001</v>
      </c>
      <c r="AM2405" s="53">
        <v>717595.2</v>
      </c>
      <c r="AO2405" s="53">
        <f t="shared" si="417"/>
        <v>0</v>
      </c>
      <c r="AP2405" s="53">
        <f t="shared" si="417"/>
        <v>0</v>
      </c>
      <c r="AQ2405" s="53">
        <f t="shared" si="417"/>
        <v>142680579.99999997</v>
      </c>
      <c r="AR2405" s="53">
        <f t="shared" si="417"/>
        <v>0</v>
      </c>
      <c r="AS2405" s="53">
        <f t="shared" si="417"/>
        <v>8611142.3999999985</v>
      </c>
      <c r="AT2405" s="53">
        <f t="shared" si="417"/>
        <v>28560288.959999997</v>
      </c>
      <c r="AU2405" s="53">
        <f t="shared" si="417"/>
        <v>0</v>
      </c>
      <c r="AV2405" s="53">
        <f t="shared" si="417"/>
        <v>0</v>
      </c>
      <c r="AW2405" s="53">
        <f t="shared" si="417"/>
        <v>0</v>
      </c>
      <c r="AX2405" s="53">
        <f t="shared" si="418"/>
        <v>143519040</v>
      </c>
      <c r="AY2405" s="41" t="s">
        <v>557</v>
      </c>
    </row>
    <row r="2406" spans="1:51" x14ac:dyDescent="0.2">
      <c r="A2406" s="41" t="s">
        <v>257</v>
      </c>
      <c r="B2406" s="41">
        <v>1993</v>
      </c>
      <c r="C2406" s="41" t="s">
        <v>87</v>
      </c>
      <c r="D2406" s="41" t="s">
        <v>88</v>
      </c>
      <c r="E2406" s="41">
        <v>100</v>
      </c>
      <c r="F2406" s="41" t="s">
        <v>599</v>
      </c>
      <c r="G2406" s="53">
        <v>1702270.08</v>
      </c>
      <c r="J2406" s="52">
        <v>95.987654320987659</v>
      </c>
      <c r="L2406" s="41">
        <v>5.7</v>
      </c>
      <c r="M2406" s="41">
        <v>18.399999999999999</v>
      </c>
      <c r="U2406" s="53">
        <v>46961</v>
      </c>
      <c r="Y2406" s="53">
        <v>22487.673600000002</v>
      </c>
      <c r="Z2406" s="53">
        <v>489706.56</v>
      </c>
      <c r="AA2406" s="53">
        <v>231471.1728</v>
      </c>
      <c r="AM2406" s="53">
        <v>851135.04</v>
      </c>
      <c r="AO2406" s="53">
        <f t="shared" si="417"/>
        <v>0</v>
      </c>
      <c r="AP2406" s="53">
        <f t="shared" si="417"/>
        <v>0</v>
      </c>
      <c r="AQ2406" s="53">
        <f t="shared" si="417"/>
        <v>163396912</v>
      </c>
      <c r="AR2406" s="53">
        <f t="shared" si="417"/>
        <v>0</v>
      </c>
      <c r="AS2406" s="53">
        <f t="shared" si="417"/>
        <v>9702939.4560000002</v>
      </c>
      <c r="AT2406" s="53">
        <f t="shared" si="417"/>
        <v>31321769.471999999</v>
      </c>
      <c r="AU2406" s="53">
        <f t="shared" si="417"/>
        <v>0</v>
      </c>
      <c r="AV2406" s="53">
        <f t="shared" si="417"/>
        <v>0</v>
      </c>
      <c r="AW2406" s="53">
        <f t="shared" si="417"/>
        <v>0</v>
      </c>
      <c r="AX2406" s="53">
        <f t="shared" si="418"/>
        <v>170227008</v>
      </c>
      <c r="AY2406" s="41" t="s">
        <v>557</v>
      </c>
    </row>
    <row r="2407" spans="1:51" x14ac:dyDescent="0.2">
      <c r="A2407" s="41" t="s">
        <v>257</v>
      </c>
      <c r="B2407" s="41">
        <v>1994</v>
      </c>
      <c r="C2407" s="41" t="s">
        <v>87</v>
      </c>
      <c r="D2407" s="41" t="s">
        <v>88</v>
      </c>
      <c r="E2407" s="41">
        <v>100</v>
      </c>
      <c r="F2407" s="41" t="s">
        <v>599</v>
      </c>
      <c r="G2407" s="53">
        <v>2122394.4</v>
      </c>
      <c r="J2407" s="52">
        <v>95.987654320987659</v>
      </c>
      <c r="L2407" s="41">
        <v>5.7</v>
      </c>
      <c r="M2407" s="41">
        <v>18.8</v>
      </c>
      <c r="U2407" s="53">
        <v>57224</v>
      </c>
      <c r="Y2407" s="53">
        <v>29733.48</v>
      </c>
      <c r="Z2407" s="53">
        <v>596937.6</v>
      </c>
      <c r="AA2407" s="53">
        <v>297706.75199999998</v>
      </c>
      <c r="AM2407" s="53">
        <v>1061197.2</v>
      </c>
      <c r="AO2407" s="53">
        <f t="shared" si="417"/>
        <v>0</v>
      </c>
      <c r="AP2407" s="53">
        <f t="shared" si="417"/>
        <v>0</v>
      </c>
      <c r="AQ2407" s="53">
        <f t="shared" si="417"/>
        <v>203723660</v>
      </c>
      <c r="AR2407" s="53">
        <f t="shared" si="417"/>
        <v>0</v>
      </c>
      <c r="AS2407" s="53">
        <f t="shared" si="417"/>
        <v>12097648.08</v>
      </c>
      <c r="AT2407" s="53">
        <f t="shared" si="417"/>
        <v>39901014.719999999</v>
      </c>
      <c r="AU2407" s="53">
        <f t="shared" si="417"/>
        <v>0</v>
      </c>
      <c r="AV2407" s="53">
        <f t="shared" si="417"/>
        <v>0</v>
      </c>
      <c r="AW2407" s="53">
        <f t="shared" si="417"/>
        <v>0</v>
      </c>
      <c r="AX2407" s="53">
        <f t="shared" si="418"/>
        <v>212239440</v>
      </c>
      <c r="AY2407" s="41" t="s">
        <v>557</v>
      </c>
    </row>
    <row r="2408" spans="1:51" x14ac:dyDescent="0.2">
      <c r="A2408" s="41" t="s">
        <v>257</v>
      </c>
      <c r="B2408" s="41">
        <v>1995</v>
      </c>
      <c r="C2408" s="41" t="s">
        <v>87</v>
      </c>
      <c r="D2408" s="41" t="s">
        <v>88</v>
      </c>
      <c r="E2408" s="41">
        <v>100</v>
      </c>
      <c r="F2408" s="41" t="s">
        <v>599</v>
      </c>
      <c r="G2408" s="53">
        <v>2255200</v>
      </c>
      <c r="J2408" s="47">
        <v>95</v>
      </c>
      <c r="L2408" s="41">
        <v>5.8</v>
      </c>
      <c r="M2408" s="47">
        <v>19</v>
      </c>
      <c r="U2408" s="53">
        <v>113549.32</v>
      </c>
      <c r="Y2408" s="53">
        <v>50545.000000000007</v>
      </c>
      <c r="Z2408" s="53">
        <v>683665.92000000004</v>
      </c>
      <c r="AA2408" s="53">
        <v>325371.2</v>
      </c>
      <c r="AM2408" s="53">
        <v>1127600</v>
      </c>
      <c r="AO2408" s="53">
        <f t="shared" si="417"/>
        <v>0</v>
      </c>
      <c r="AP2408" s="53">
        <f t="shared" si="417"/>
        <v>0</v>
      </c>
      <c r="AQ2408" s="53">
        <f t="shared" si="417"/>
        <v>214244000</v>
      </c>
      <c r="AR2408" s="53">
        <f t="shared" si="417"/>
        <v>0</v>
      </c>
      <c r="AS2408" s="53">
        <f t="shared" si="417"/>
        <v>13080160</v>
      </c>
      <c r="AT2408" s="53">
        <f t="shared" si="417"/>
        <v>42848800</v>
      </c>
      <c r="AU2408" s="53">
        <f t="shared" si="417"/>
        <v>0</v>
      </c>
      <c r="AV2408" s="53">
        <f t="shared" si="417"/>
        <v>0</v>
      </c>
      <c r="AW2408" s="53">
        <f t="shared" si="417"/>
        <v>0</v>
      </c>
      <c r="AX2408" s="53">
        <f t="shared" si="418"/>
        <v>225520000</v>
      </c>
      <c r="AY2408" s="41" t="s">
        <v>557</v>
      </c>
    </row>
    <row r="2409" spans="1:51" x14ac:dyDescent="0.2">
      <c r="A2409" s="41" t="s">
        <v>257</v>
      </c>
      <c r="B2409" s="41">
        <v>1996</v>
      </c>
      <c r="C2409" s="41" t="s">
        <v>87</v>
      </c>
      <c r="D2409" s="41" t="s">
        <v>88</v>
      </c>
      <c r="E2409" s="41">
        <v>100</v>
      </c>
      <c r="F2409" s="41" t="s">
        <v>599</v>
      </c>
      <c r="G2409" s="53">
        <v>2098000</v>
      </c>
      <c r="J2409" s="41">
        <v>96.8</v>
      </c>
      <c r="L2409" s="47">
        <v>5</v>
      </c>
      <c r="M2409" s="41">
        <v>18.7</v>
      </c>
      <c r="U2409" s="53">
        <v>134037.024</v>
      </c>
      <c r="Y2409" s="53">
        <v>62105.200000000004</v>
      </c>
      <c r="Z2409" s="53">
        <v>694280.16</v>
      </c>
      <c r="AA2409" s="53">
        <v>324721.60000000003</v>
      </c>
      <c r="AM2409" s="53">
        <v>1049000</v>
      </c>
      <c r="AO2409" s="53">
        <f t="shared" si="417"/>
        <v>0</v>
      </c>
      <c r="AP2409" s="53">
        <f t="shared" si="417"/>
        <v>0</v>
      </c>
      <c r="AQ2409" s="53">
        <f t="shared" si="417"/>
        <v>203086400</v>
      </c>
      <c r="AR2409" s="53">
        <f t="shared" si="417"/>
        <v>0</v>
      </c>
      <c r="AS2409" s="53">
        <f t="shared" si="417"/>
        <v>10490000</v>
      </c>
      <c r="AT2409" s="53">
        <f t="shared" si="417"/>
        <v>39232600</v>
      </c>
      <c r="AU2409" s="53">
        <f t="shared" si="417"/>
        <v>0</v>
      </c>
      <c r="AV2409" s="53">
        <f t="shared" si="417"/>
        <v>0</v>
      </c>
      <c r="AW2409" s="53">
        <f t="shared" si="417"/>
        <v>0</v>
      </c>
      <c r="AX2409" s="53">
        <f t="shared" si="418"/>
        <v>209800000</v>
      </c>
      <c r="AY2409" s="41" t="s">
        <v>557</v>
      </c>
    </row>
    <row r="2410" spans="1:51" x14ac:dyDescent="0.2">
      <c r="A2410" s="41" t="s">
        <v>257</v>
      </c>
      <c r="B2410" s="41">
        <v>1997</v>
      </c>
      <c r="C2410" s="41" t="s">
        <v>87</v>
      </c>
      <c r="D2410" s="41" t="s">
        <v>88</v>
      </c>
      <c r="E2410" s="41">
        <v>100</v>
      </c>
      <c r="F2410" s="41" t="s">
        <v>599</v>
      </c>
      <c r="G2410" s="53">
        <v>1929000</v>
      </c>
      <c r="J2410" s="41">
        <v>98.3</v>
      </c>
      <c r="L2410" s="41">
        <v>5.2</v>
      </c>
      <c r="M2410" s="41">
        <v>20.3</v>
      </c>
      <c r="U2410" s="53">
        <v>132734.49</v>
      </c>
      <c r="Y2410" s="53">
        <v>63561.3</v>
      </c>
      <c r="Z2410" s="53">
        <v>725215.68</v>
      </c>
      <c r="AA2410" s="53">
        <v>336499.20000000001</v>
      </c>
      <c r="AM2410" s="53">
        <v>964500</v>
      </c>
      <c r="AO2410" s="53">
        <f t="shared" si="417"/>
        <v>0</v>
      </c>
      <c r="AP2410" s="53">
        <f t="shared" si="417"/>
        <v>0</v>
      </c>
      <c r="AQ2410" s="53">
        <f t="shared" si="417"/>
        <v>189620700</v>
      </c>
      <c r="AR2410" s="53">
        <f t="shared" si="417"/>
        <v>0</v>
      </c>
      <c r="AS2410" s="53">
        <f t="shared" si="417"/>
        <v>10030800</v>
      </c>
      <c r="AT2410" s="53">
        <f t="shared" si="417"/>
        <v>39158700</v>
      </c>
      <c r="AU2410" s="53">
        <f t="shared" si="417"/>
        <v>0</v>
      </c>
      <c r="AV2410" s="53">
        <f t="shared" si="417"/>
        <v>0</v>
      </c>
      <c r="AW2410" s="53">
        <f t="shared" si="417"/>
        <v>0</v>
      </c>
      <c r="AX2410" s="53">
        <f t="shared" si="418"/>
        <v>192900000</v>
      </c>
      <c r="AY2410" s="41" t="s">
        <v>557</v>
      </c>
    </row>
    <row r="2411" spans="1:51" x14ac:dyDescent="0.2">
      <c r="A2411" s="41" t="s">
        <v>257</v>
      </c>
      <c r="B2411" s="41">
        <v>1998</v>
      </c>
      <c r="C2411" s="41" t="s">
        <v>87</v>
      </c>
      <c r="D2411" s="41" t="s">
        <v>88</v>
      </c>
      <c r="E2411" s="41">
        <v>100</v>
      </c>
      <c r="F2411" s="41" t="s">
        <v>599</v>
      </c>
      <c r="G2411" s="53">
        <v>2497000</v>
      </c>
      <c r="J2411" s="47">
        <v>90</v>
      </c>
      <c r="L2411" s="41">
        <v>5.2</v>
      </c>
      <c r="M2411" s="41">
        <v>21.4</v>
      </c>
      <c r="U2411" s="53">
        <v>150569.1</v>
      </c>
      <c r="Y2411" s="53">
        <v>72600</v>
      </c>
      <c r="Z2411" s="53">
        <v>921509.26560000004</v>
      </c>
      <c r="AA2411" s="53">
        <v>445000</v>
      </c>
      <c r="AM2411" s="53">
        <v>1200000</v>
      </c>
      <c r="AO2411" s="53">
        <f t="shared" si="417"/>
        <v>0</v>
      </c>
      <c r="AP2411" s="53">
        <f t="shared" si="417"/>
        <v>0</v>
      </c>
      <c r="AQ2411" s="53">
        <f t="shared" si="417"/>
        <v>224730000</v>
      </c>
      <c r="AR2411" s="53">
        <f t="shared" si="417"/>
        <v>0</v>
      </c>
      <c r="AS2411" s="53">
        <f t="shared" si="417"/>
        <v>12984400</v>
      </c>
      <c r="AT2411" s="53">
        <f t="shared" si="417"/>
        <v>53435800</v>
      </c>
      <c r="AU2411" s="53">
        <f t="shared" si="417"/>
        <v>0</v>
      </c>
      <c r="AV2411" s="53">
        <f t="shared" si="417"/>
        <v>0</v>
      </c>
      <c r="AW2411" s="53">
        <f t="shared" si="417"/>
        <v>0</v>
      </c>
      <c r="AX2411" s="53">
        <f t="shared" si="418"/>
        <v>249700000</v>
      </c>
      <c r="AY2411" s="41" t="s">
        <v>557</v>
      </c>
    </row>
    <row r="2412" spans="1:51" x14ac:dyDescent="0.2">
      <c r="A2412" s="41" t="s">
        <v>257</v>
      </c>
      <c r="B2412" s="41">
        <v>1999</v>
      </c>
      <c r="C2412" s="41" t="s">
        <v>87</v>
      </c>
      <c r="D2412" s="41" t="s">
        <v>88</v>
      </c>
      <c r="E2412" s="41">
        <v>100</v>
      </c>
      <c r="F2412" s="41" t="s">
        <v>599</v>
      </c>
      <c r="G2412" s="53">
        <v>2978000</v>
      </c>
      <c r="J2412" s="47">
        <v>91</v>
      </c>
      <c r="L2412" s="41">
        <v>5.2</v>
      </c>
      <c r="M2412" s="41">
        <v>20.8</v>
      </c>
      <c r="U2412" s="53">
        <v>189698.59999999998</v>
      </c>
      <c r="Y2412" s="53">
        <v>88900</v>
      </c>
      <c r="Z2412" s="53">
        <v>1095135.5519999999</v>
      </c>
      <c r="AA2412" s="53">
        <v>520700</v>
      </c>
      <c r="AM2412" s="53">
        <v>2242000</v>
      </c>
      <c r="AO2412" s="53">
        <f t="shared" si="417"/>
        <v>0</v>
      </c>
      <c r="AP2412" s="53">
        <f t="shared" si="417"/>
        <v>0</v>
      </c>
      <c r="AQ2412" s="53">
        <f t="shared" si="417"/>
        <v>270998000</v>
      </c>
      <c r="AR2412" s="53">
        <f t="shared" si="417"/>
        <v>0</v>
      </c>
      <c r="AS2412" s="53">
        <f t="shared" si="417"/>
        <v>15485600</v>
      </c>
      <c r="AT2412" s="53">
        <f t="shared" si="417"/>
        <v>61942400</v>
      </c>
      <c r="AU2412" s="53">
        <f t="shared" si="417"/>
        <v>0</v>
      </c>
      <c r="AV2412" s="53">
        <f t="shared" si="417"/>
        <v>0</v>
      </c>
      <c r="AW2412" s="53">
        <f t="shared" si="417"/>
        <v>0</v>
      </c>
      <c r="AX2412" s="53">
        <f t="shared" si="418"/>
        <v>297800000</v>
      </c>
      <c r="AY2412" s="41" t="s">
        <v>557</v>
      </c>
    </row>
    <row r="2413" spans="1:51" x14ac:dyDescent="0.2">
      <c r="A2413" s="41" t="s">
        <v>257</v>
      </c>
      <c r="B2413" s="41">
        <v>2000</v>
      </c>
      <c r="C2413" s="41" t="s">
        <v>87</v>
      </c>
      <c r="D2413" s="41" t="s">
        <v>88</v>
      </c>
      <c r="E2413" s="41">
        <v>100</v>
      </c>
      <c r="F2413" s="41" t="s">
        <v>599</v>
      </c>
      <c r="G2413" s="53">
        <v>3045000</v>
      </c>
      <c r="J2413" s="52">
        <v>85.703262786596113</v>
      </c>
      <c r="L2413" s="41">
        <v>4.7</v>
      </c>
      <c r="M2413" s="47">
        <v>21</v>
      </c>
      <c r="U2413" s="53">
        <v>181624</v>
      </c>
      <c r="Y2413" s="53">
        <v>83000</v>
      </c>
      <c r="Z2413" s="53">
        <v>1099108.1808</v>
      </c>
      <c r="AA2413" s="53">
        <v>531200</v>
      </c>
      <c r="AM2413" s="53">
        <v>3546000</v>
      </c>
      <c r="AO2413" s="53">
        <f t="shared" si="417"/>
        <v>0</v>
      </c>
      <c r="AP2413" s="53">
        <f t="shared" si="417"/>
        <v>0</v>
      </c>
      <c r="AQ2413" s="53">
        <f t="shared" si="417"/>
        <v>260966435.18518516</v>
      </c>
      <c r="AR2413" s="53">
        <f t="shared" si="417"/>
        <v>0</v>
      </c>
      <c r="AS2413" s="53">
        <f t="shared" si="417"/>
        <v>14311500</v>
      </c>
      <c r="AT2413" s="53">
        <f t="shared" si="417"/>
        <v>63945000</v>
      </c>
      <c r="AU2413" s="53">
        <f t="shared" si="417"/>
        <v>0</v>
      </c>
      <c r="AV2413" s="53">
        <f t="shared" si="417"/>
        <v>0</v>
      </c>
      <c r="AW2413" s="53">
        <f t="shared" si="417"/>
        <v>0</v>
      </c>
      <c r="AX2413" s="53">
        <f t="shared" si="418"/>
        <v>304500000</v>
      </c>
      <c r="AY2413" s="41" t="s">
        <v>557</v>
      </c>
    </row>
    <row r="2414" spans="1:51" x14ac:dyDescent="0.2">
      <c r="A2414" s="41" t="s">
        <v>257</v>
      </c>
      <c r="B2414" s="41">
        <v>2001</v>
      </c>
      <c r="C2414" s="41" t="s">
        <v>87</v>
      </c>
      <c r="D2414" s="41" t="s">
        <v>88</v>
      </c>
      <c r="E2414" s="41">
        <v>100</v>
      </c>
      <c r="F2414" s="41" t="s">
        <v>599</v>
      </c>
      <c r="G2414" s="53">
        <v>3211000</v>
      </c>
      <c r="J2414" s="52">
        <v>85.703262786596113</v>
      </c>
      <c r="L2414" s="41">
        <v>5.0999999999999996</v>
      </c>
      <c r="M2414" s="41">
        <v>19.899999999999999</v>
      </c>
      <c r="U2414" s="53">
        <v>183490</v>
      </c>
      <c r="Y2414" s="53">
        <v>95300</v>
      </c>
      <c r="Z2414" s="53">
        <v>1103007.3263999999</v>
      </c>
      <c r="AA2414" s="53">
        <v>517700</v>
      </c>
      <c r="AM2414" s="53">
        <v>4083000</v>
      </c>
      <c r="AO2414" s="53">
        <f t="shared" si="417"/>
        <v>0</v>
      </c>
      <c r="AP2414" s="53">
        <f t="shared" si="417"/>
        <v>0</v>
      </c>
      <c r="AQ2414" s="53">
        <f t="shared" si="417"/>
        <v>275193176.80776012</v>
      </c>
      <c r="AR2414" s="53">
        <f t="shared" si="417"/>
        <v>0</v>
      </c>
      <c r="AS2414" s="53">
        <f t="shared" si="417"/>
        <v>16376099.999999998</v>
      </c>
      <c r="AT2414" s="53">
        <f t="shared" si="417"/>
        <v>63898899.999999993</v>
      </c>
      <c r="AU2414" s="53">
        <f t="shared" si="417"/>
        <v>0</v>
      </c>
      <c r="AV2414" s="53">
        <f t="shared" si="417"/>
        <v>0</v>
      </c>
      <c r="AW2414" s="53">
        <f t="shared" si="417"/>
        <v>0</v>
      </c>
      <c r="AX2414" s="53">
        <f t="shared" si="418"/>
        <v>321100000</v>
      </c>
      <c r="AY2414" s="41" t="s">
        <v>557</v>
      </c>
    </row>
    <row r="2415" spans="1:51" x14ac:dyDescent="0.2">
      <c r="A2415" s="41" t="s">
        <v>257</v>
      </c>
      <c r="B2415" s="41">
        <v>2002</v>
      </c>
      <c r="C2415" s="41" t="s">
        <v>87</v>
      </c>
      <c r="D2415" s="41" t="s">
        <v>88</v>
      </c>
      <c r="E2415" s="41">
        <v>100</v>
      </c>
      <c r="F2415" s="41" t="s">
        <v>599</v>
      </c>
      <c r="G2415" s="53">
        <v>3166000</v>
      </c>
      <c r="J2415" s="52">
        <v>92.559523809523824</v>
      </c>
      <c r="L2415" s="41">
        <v>5.4</v>
      </c>
      <c r="M2415" s="41">
        <v>21.1</v>
      </c>
      <c r="U2415" s="53">
        <v>209925</v>
      </c>
      <c r="Y2415" s="53">
        <v>107900</v>
      </c>
      <c r="Z2415" s="53">
        <v>1239670.656</v>
      </c>
      <c r="AA2415" s="53">
        <v>578400</v>
      </c>
      <c r="AM2415" s="53">
        <v>4091000</v>
      </c>
      <c r="AO2415" s="53">
        <f t="shared" si="417"/>
        <v>0</v>
      </c>
      <c r="AP2415" s="53">
        <f t="shared" si="417"/>
        <v>0</v>
      </c>
      <c r="AQ2415" s="53">
        <f t="shared" si="417"/>
        <v>293043452.38095242</v>
      </c>
      <c r="AR2415" s="53">
        <f t="shared" si="417"/>
        <v>0</v>
      </c>
      <c r="AS2415" s="53">
        <f t="shared" si="417"/>
        <v>17096400</v>
      </c>
      <c r="AT2415" s="53">
        <f t="shared" si="417"/>
        <v>66802600.000000007</v>
      </c>
      <c r="AU2415" s="53">
        <f t="shared" si="417"/>
        <v>0</v>
      </c>
      <c r="AV2415" s="53">
        <f t="shared" si="417"/>
        <v>0</v>
      </c>
      <c r="AW2415" s="53">
        <f t="shared" si="417"/>
        <v>0</v>
      </c>
      <c r="AX2415" s="53">
        <f t="shared" si="418"/>
        <v>316600000</v>
      </c>
      <c r="AY2415" s="41" t="s">
        <v>557</v>
      </c>
    </row>
    <row r="2416" spans="1:51" x14ac:dyDescent="0.2">
      <c r="A2416" s="41" t="s">
        <v>257</v>
      </c>
      <c r="B2416" s="41">
        <v>2003</v>
      </c>
      <c r="C2416" s="41" t="s">
        <v>87</v>
      </c>
      <c r="D2416" s="41" t="s">
        <v>88</v>
      </c>
      <c r="E2416" s="41">
        <v>100</v>
      </c>
      <c r="F2416" s="41" t="s">
        <v>599</v>
      </c>
      <c r="G2416" s="53">
        <v>3154000</v>
      </c>
      <c r="J2416" s="52">
        <v>106.2720458553792</v>
      </c>
      <c r="L2416" s="41">
        <v>6.2</v>
      </c>
      <c r="M2416" s="41">
        <v>21.7</v>
      </c>
      <c r="U2416" s="53">
        <v>239470</v>
      </c>
      <c r="Y2416" s="53">
        <v>124900</v>
      </c>
      <c r="Z2416" s="53">
        <v>1279961.2224000001</v>
      </c>
      <c r="AA2416" s="53">
        <v>579300</v>
      </c>
      <c r="AM2416" s="53">
        <v>3296000</v>
      </c>
      <c r="AO2416" s="53">
        <f t="shared" si="417"/>
        <v>0</v>
      </c>
      <c r="AP2416" s="53">
        <f t="shared" si="417"/>
        <v>0</v>
      </c>
      <c r="AQ2416" s="53">
        <f t="shared" si="417"/>
        <v>335182032.62786603</v>
      </c>
      <c r="AR2416" s="53">
        <f t="shared" si="417"/>
        <v>0</v>
      </c>
      <c r="AS2416" s="53">
        <f t="shared" si="417"/>
        <v>19554800</v>
      </c>
      <c r="AT2416" s="53">
        <f t="shared" si="417"/>
        <v>68441800</v>
      </c>
      <c r="AU2416" s="53">
        <f t="shared" si="417"/>
        <v>0</v>
      </c>
      <c r="AV2416" s="53">
        <f t="shared" si="417"/>
        <v>0</v>
      </c>
      <c r="AW2416" s="53">
        <f t="shared" si="417"/>
        <v>0</v>
      </c>
      <c r="AX2416" s="53">
        <f t="shared" si="418"/>
        <v>315400000</v>
      </c>
      <c r="AY2416" s="41" t="s">
        <v>557</v>
      </c>
    </row>
    <row r="2417" spans="1:51" x14ac:dyDescent="0.2">
      <c r="A2417" s="41" t="s">
        <v>257</v>
      </c>
      <c r="B2417" s="41">
        <v>2004</v>
      </c>
      <c r="C2417" s="41" t="s">
        <v>87</v>
      </c>
      <c r="D2417" s="41" t="s">
        <v>88</v>
      </c>
      <c r="E2417" s="41">
        <v>100</v>
      </c>
      <c r="F2417" s="41" t="s">
        <v>599</v>
      </c>
      <c r="G2417" s="53">
        <v>2948000</v>
      </c>
      <c r="J2417" s="52">
        <v>102.84391534391536</v>
      </c>
      <c r="L2417" s="47">
        <v>6</v>
      </c>
      <c r="M2417" s="47">
        <v>22</v>
      </c>
      <c r="U2417" s="53">
        <v>224542</v>
      </c>
      <c r="Y2417" s="53">
        <v>117000</v>
      </c>
      <c r="Z2417" s="53">
        <v>1213420.824</v>
      </c>
      <c r="AA2417" s="53">
        <v>554200</v>
      </c>
      <c r="AM2417" s="53">
        <v>3470000</v>
      </c>
      <c r="AO2417" s="53">
        <f t="shared" si="417"/>
        <v>0</v>
      </c>
      <c r="AP2417" s="53">
        <f t="shared" si="417"/>
        <v>0</v>
      </c>
      <c r="AQ2417" s="53">
        <f t="shared" si="417"/>
        <v>303183862.43386245</v>
      </c>
      <c r="AR2417" s="53">
        <f t="shared" si="417"/>
        <v>0</v>
      </c>
      <c r="AS2417" s="53">
        <f t="shared" si="417"/>
        <v>17688000</v>
      </c>
      <c r="AT2417" s="53">
        <f t="shared" si="417"/>
        <v>64856000</v>
      </c>
      <c r="AU2417" s="53">
        <f t="shared" si="417"/>
        <v>0</v>
      </c>
      <c r="AV2417" s="53">
        <f t="shared" si="417"/>
        <v>0</v>
      </c>
      <c r="AW2417" s="53">
        <f t="shared" si="417"/>
        <v>0</v>
      </c>
      <c r="AX2417" s="53">
        <f t="shared" si="418"/>
        <v>294800000</v>
      </c>
      <c r="AY2417" s="41" t="s">
        <v>557</v>
      </c>
    </row>
    <row r="2418" spans="1:51" x14ac:dyDescent="0.2">
      <c r="A2418" s="41" t="s">
        <v>257</v>
      </c>
      <c r="B2418" s="41">
        <v>2005</v>
      </c>
      <c r="C2418" s="41" t="s">
        <v>87</v>
      </c>
      <c r="D2418" s="41" t="s">
        <v>88</v>
      </c>
      <c r="E2418" s="41">
        <v>100</v>
      </c>
      <c r="F2418" s="41" t="s">
        <v>599</v>
      </c>
      <c r="G2418" s="53">
        <v>3087000</v>
      </c>
      <c r="J2418" s="52">
        <v>102.84391534391536</v>
      </c>
      <c r="L2418" s="41">
        <v>5.6</v>
      </c>
      <c r="M2418" s="41">
        <v>21.7</v>
      </c>
      <c r="U2418" s="53">
        <v>61267</v>
      </c>
      <c r="Y2418" s="53">
        <v>102300</v>
      </c>
      <c r="Z2418" s="53">
        <v>1207226.4624000001</v>
      </c>
      <c r="AA2418" s="53">
        <v>568000</v>
      </c>
      <c r="AM2418" s="53">
        <v>3591000</v>
      </c>
      <c r="AO2418" s="53">
        <f t="shared" si="417"/>
        <v>0</v>
      </c>
      <c r="AP2418" s="53">
        <f t="shared" si="417"/>
        <v>0</v>
      </c>
      <c r="AQ2418" s="53">
        <f t="shared" si="417"/>
        <v>317479166.66666669</v>
      </c>
      <c r="AR2418" s="53">
        <f t="shared" si="417"/>
        <v>0</v>
      </c>
      <c r="AS2418" s="53">
        <f t="shared" si="417"/>
        <v>17287200</v>
      </c>
      <c r="AT2418" s="53">
        <f t="shared" si="417"/>
        <v>66987900</v>
      </c>
      <c r="AU2418" s="53">
        <f t="shared" si="417"/>
        <v>0</v>
      </c>
      <c r="AV2418" s="53">
        <f t="shared" si="417"/>
        <v>0</v>
      </c>
      <c r="AW2418" s="53">
        <f t="shared" si="417"/>
        <v>0</v>
      </c>
      <c r="AX2418" s="53">
        <f t="shared" si="418"/>
        <v>308700000</v>
      </c>
      <c r="AY2418" s="41" t="s">
        <v>557</v>
      </c>
    </row>
    <row r="2419" spans="1:51" x14ac:dyDescent="0.2">
      <c r="A2419" s="41" t="s">
        <v>257</v>
      </c>
      <c r="B2419" s="41">
        <v>2006</v>
      </c>
      <c r="C2419" s="41" t="s">
        <v>87</v>
      </c>
      <c r="D2419" s="41" t="s">
        <v>88</v>
      </c>
      <c r="E2419" s="41">
        <v>100</v>
      </c>
      <c r="F2419" s="41" t="s">
        <v>599</v>
      </c>
      <c r="G2419" s="53">
        <v>3238000</v>
      </c>
      <c r="J2419" s="52">
        <v>102.84391534391536</v>
      </c>
      <c r="L2419" s="41">
        <v>6.1</v>
      </c>
      <c r="M2419" s="41">
        <v>20.6</v>
      </c>
      <c r="U2419" s="53">
        <v>236982</v>
      </c>
      <c r="Y2419" s="53">
        <v>123500</v>
      </c>
      <c r="Z2419" s="53">
        <v>1250469.9648</v>
      </c>
      <c r="AA2419" s="53">
        <v>557500</v>
      </c>
      <c r="AM2419" s="53">
        <v>4236000</v>
      </c>
      <c r="AO2419" s="53">
        <f t="shared" si="417"/>
        <v>0</v>
      </c>
      <c r="AP2419" s="53">
        <f t="shared" si="417"/>
        <v>0</v>
      </c>
      <c r="AQ2419" s="53">
        <f t="shared" si="417"/>
        <v>333008597.88359791</v>
      </c>
      <c r="AR2419" s="53">
        <f t="shared" si="417"/>
        <v>0</v>
      </c>
      <c r="AS2419" s="53">
        <f t="shared" si="417"/>
        <v>19751800</v>
      </c>
      <c r="AT2419" s="53">
        <f t="shared" si="417"/>
        <v>66702800.000000007</v>
      </c>
      <c r="AU2419" s="53">
        <f t="shared" si="417"/>
        <v>0</v>
      </c>
      <c r="AV2419" s="53">
        <f t="shared" si="417"/>
        <v>0</v>
      </c>
      <c r="AW2419" s="53">
        <f t="shared" si="417"/>
        <v>0</v>
      </c>
      <c r="AX2419" s="53">
        <f t="shared" si="418"/>
        <v>323800000</v>
      </c>
      <c r="AY2419" s="41" t="s">
        <v>557</v>
      </c>
    </row>
    <row r="2420" spans="1:51" x14ac:dyDescent="0.2">
      <c r="A2420" s="41" t="s">
        <v>257</v>
      </c>
      <c r="B2420" s="41">
        <v>2007</v>
      </c>
      <c r="C2420" s="41" t="s">
        <v>87</v>
      </c>
      <c r="D2420" s="41" t="s">
        <v>88</v>
      </c>
      <c r="E2420" s="41">
        <v>100</v>
      </c>
      <c r="F2420" s="41" t="s">
        <v>599</v>
      </c>
      <c r="G2420" s="53">
        <v>3381000</v>
      </c>
      <c r="J2420" s="52">
        <v>106.2720458553792</v>
      </c>
      <c r="L2420" s="41">
        <v>6.1</v>
      </c>
      <c r="M2420" s="41">
        <v>20.2</v>
      </c>
      <c r="U2420" s="53">
        <v>359205</v>
      </c>
      <c r="Y2420" s="53">
        <v>136200</v>
      </c>
      <c r="Z2420" s="53">
        <v>1295494.3008000001</v>
      </c>
      <c r="AA2420" s="53">
        <v>575400</v>
      </c>
      <c r="AM2420" s="53">
        <v>3549000</v>
      </c>
      <c r="AO2420" s="53">
        <f t="shared" si="417"/>
        <v>0</v>
      </c>
      <c r="AP2420" s="53">
        <f t="shared" si="417"/>
        <v>0</v>
      </c>
      <c r="AQ2420" s="53">
        <f t="shared" si="417"/>
        <v>359305787.03703707</v>
      </c>
      <c r="AR2420" s="53">
        <f t="shared" si="417"/>
        <v>0</v>
      </c>
      <c r="AS2420" s="53">
        <f t="shared" si="417"/>
        <v>20624100</v>
      </c>
      <c r="AT2420" s="53">
        <f t="shared" si="417"/>
        <v>68296200</v>
      </c>
      <c r="AU2420" s="53">
        <f t="shared" si="417"/>
        <v>0</v>
      </c>
      <c r="AV2420" s="53">
        <f t="shared" si="417"/>
        <v>0</v>
      </c>
      <c r="AW2420" s="53">
        <f t="shared" si="417"/>
        <v>0</v>
      </c>
      <c r="AX2420" s="53">
        <f t="shared" si="418"/>
        <v>338100000</v>
      </c>
      <c r="AY2420" s="41" t="s">
        <v>557</v>
      </c>
    </row>
    <row r="2421" spans="1:51" x14ac:dyDescent="0.2">
      <c r="A2421" s="41" t="s">
        <v>257</v>
      </c>
      <c r="B2421" s="41">
        <v>2008</v>
      </c>
      <c r="C2421" s="41" t="s">
        <v>87</v>
      </c>
      <c r="D2421" s="41" t="s">
        <v>88</v>
      </c>
      <c r="E2421" s="41">
        <v>100</v>
      </c>
      <c r="F2421" s="41" t="s">
        <v>599</v>
      </c>
      <c r="G2421" s="53">
        <v>3050000</v>
      </c>
      <c r="J2421" s="52">
        <v>106.2720458553792</v>
      </c>
      <c r="L2421" s="47">
        <v>6</v>
      </c>
      <c r="M2421" s="41">
        <v>20.100000000000001</v>
      </c>
      <c r="U2421" s="53">
        <v>233250</v>
      </c>
      <c r="Y2421" s="53">
        <v>122600</v>
      </c>
      <c r="Z2421" s="53">
        <v>1155668.4720000001</v>
      </c>
      <c r="AA2421" s="53">
        <v>515200</v>
      </c>
      <c r="AM2421" s="53">
        <v>3788061.882354585</v>
      </c>
      <c r="AO2421" s="53">
        <f t="shared" si="417"/>
        <v>0</v>
      </c>
      <c r="AP2421" s="53">
        <f t="shared" si="417"/>
        <v>0</v>
      </c>
      <c r="AQ2421" s="53">
        <f t="shared" si="417"/>
        <v>324129739.85890657</v>
      </c>
      <c r="AR2421" s="53">
        <f t="shared" si="417"/>
        <v>0</v>
      </c>
      <c r="AS2421" s="53">
        <f t="shared" si="417"/>
        <v>18300000</v>
      </c>
      <c r="AT2421" s="53">
        <f t="shared" si="417"/>
        <v>61305000.000000007</v>
      </c>
      <c r="AU2421" s="53">
        <f t="shared" si="417"/>
        <v>0</v>
      </c>
      <c r="AV2421" s="53">
        <f t="shared" si="417"/>
        <v>0</v>
      </c>
      <c r="AW2421" s="53">
        <f t="shared" si="417"/>
        <v>0</v>
      </c>
      <c r="AX2421" s="53">
        <f t="shared" si="418"/>
        <v>305000000</v>
      </c>
      <c r="AY2421" s="41" t="s">
        <v>557</v>
      </c>
    </row>
    <row r="2422" spans="1:51" x14ac:dyDescent="0.2">
      <c r="A2422" s="41" t="s">
        <v>257</v>
      </c>
      <c r="B2422" s="41">
        <v>2009</v>
      </c>
      <c r="C2422" s="41" t="s">
        <v>87</v>
      </c>
      <c r="D2422" s="41" t="s">
        <v>88</v>
      </c>
      <c r="E2422" s="41">
        <v>100</v>
      </c>
      <c r="F2422" s="41" t="s">
        <v>599</v>
      </c>
      <c r="G2422" s="53">
        <v>3383000</v>
      </c>
      <c r="J2422" s="52">
        <v>106.2720458553792</v>
      </c>
      <c r="L2422" s="41">
        <v>5.9</v>
      </c>
      <c r="M2422" s="41">
        <v>20.9</v>
      </c>
      <c r="U2422" s="53">
        <v>252532</v>
      </c>
      <c r="Y2422" s="53">
        <v>131500</v>
      </c>
      <c r="Z2422" s="53">
        <v>1311693.264</v>
      </c>
      <c r="AA2422" s="53">
        <v>582500</v>
      </c>
      <c r="AM2422" s="53">
        <v>4852188.0624331348</v>
      </c>
      <c r="AO2422" s="53">
        <f t="shared" si="417"/>
        <v>0</v>
      </c>
      <c r="AP2422" s="53">
        <f t="shared" si="417"/>
        <v>0</v>
      </c>
      <c r="AQ2422" s="53">
        <f t="shared" si="417"/>
        <v>359518331.12874782</v>
      </c>
      <c r="AR2422" s="53">
        <f t="shared" si="417"/>
        <v>0</v>
      </c>
      <c r="AS2422" s="53">
        <f t="shared" si="417"/>
        <v>19959700</v>
      </c>
      <c r="AT2422" s="53">
        <f t="shared" si="417"/>
        <v>70704700</v>
      </c>
      <c r="AU2422" s="53">
        <f t="shared" si="417"/>
        <v>0</v>
      </c>
      <c r="AV2422" s="53">
        <f t="shared" si="417"/>
        <v>0</v>
      </c>
      <c r="AW2422" s="53">
        <f t="shared" si="417"/>
        <v>0</v>
      </c>
      <c r="AX2422" s="53">
        <f t="shared" si="418"/>
        <v>338300000</v>
      </c>
      <c r="AY2422" s="41" t="s">
        <v>557</v>
      </c>
    </row>
    <row r="2423" spans="1:51" x14ac:dyDescent="0.2">
      <c r="A2423" s="60"/>
      <c r="B2423" s="85" t="s">
        <v>686</v>
      </c>
      <c r="C2423" s="60" t="s">
        <v>87</v>
      </c>
      <c r="D2423" s="60" t="s">
        <v>88</v>
      </c>
      <c r="E2423" s="60">
        <v>100</v>
      </c>
      <c r="F2423" s="60" t="s">
        <v>599</v>
      </c>
      <c r="G2423" s="79">
        <f>SUM(G2402:G2421)+(8/12)*G2422</f>
        <v>49937689.173333339</v>
      </c>
      <c r="J2423" s="98">
        <f>AQ2423/$G2423</f>
        <v>98.287231859378707</v>
      </c>
      <c r="L2423" s="78">
        <f>AS2423/$G2423</f>
        <v>5.6924989774349957</v>
      </c>
      <c r="M2423" s="78">
        <f>AT2423/$G2423</f>
        <v>20.665687839511634</v>
      </c>
      <c r="U2423" s="79">
        <f>SUM(U2402:U2421)+(8/12)*U2422</f>
        <v>3062128.2352266666</v>
      </c>
      <c r="Y2423" s="79">
        <f>SUM(Y2402:Y2421)+(8/12)*Y2422</f>
        <v>1573498.0908497067</v>
      </c>
      <c r="Z2423" s="79">
        <f>SUM(Z2402:Z2421)+(8/12)*Z2422</f>
        <v>18238957.8336</v>
      </c>
      <c r="AA2423" s="79">
        <f>SUM(AA2402:AA2421)+(8/12)*AA2422</f>
        <v>8447133.1568296533</v>
      </c>
      <c r="AM2423" s="79">
        <f>SUM(AM2402:AM2421)+(8/12)*AM2422</f>
        <v>47290531.843976676</v>
      </c>
      <c r="AO2423" s="79">
        <f>SUM(AO2402:AO2421)+(8/12)*AO2422</f>
        <v>0</v>
      </c>
      <c r="AP2423" s="79">
        <f t="shared" ref="AP2423:AX2423" si="419">SUM(AP2402:AP2421)+(8/12)*AP2422</f>
        <v>0</v>
      </c>
      <c r="AQ2423" s="79">
        <f t="shared" si="419"/>
        <v>4908237234.3009996</v>
      </c>
      <c r="AR2423" s="79">
        <f t="shared" si="419"/>
        <v>0</v>
      </c>
      <c r="AS2423" s="79">
        <f t="shared" si="419"/>
        <v>284270244.5546667</v>
      </c>
      <c r="AT2423" s="79">
        <f t="shared" si="419"/>
        <v>1031996695.8826666</v>
      </c>
      <c r="AU2423" s="79">
        <f t="shared" si="419"/>
        <v>0</v>
      </c>
      <c r="AV2423" s="79">
        <f t="shared" si="419"/>
        <v>0</v>
      </c>
      <c r="AW2423" s="79">
        <f t="shared" si="419"/>
        <v>0</v>
      </c>
      <c r="AX2423" s="79">
        <f t="shared" si="419"/>
        <v>4993768917.333333</v>
      </c>
      <c r="AY2423" s="41" t="s">
        <v>557</v>
      </c>
    </row>
    <row r="2424" spans="1:51" x14ac:dyDescent="0.2">
      <c r="A2424" s="41" t="s">
        <v>257</v>
      </c>
      <c r="B2424" s="43" t="s">
        <v>560</v>
      </c>
      <c r="G2424" s="53">
        <f>STDEV(G2402:G2422)</f>
        <v>920868.68640373508</v>
      </c>
      <c r="J2424" s="52">
        <f>STDEV(J2402:J2422)</f>
        <v>10.0235998472169</v>
      </c>
      <c r="L2424" s="47">
        <f>STDEV(L2402:L2422)</f>
        <v>0.86964689057439437</v>
      </c>
      <c r="M2424" s="47">
        <f>STDEV(M2402:M2422)</f>
        <v>1.7209216799643809</v>
      </c>
      <c r="U2424" s="53">
        <f>STDEV(U2402:U2422)</f>
        <v>93062.551195643289</v>
      </c>
      <c r="Y2424" s="53">
        <f>STDEV(Y2402:Y2422)</f>
        <v>42743.219779819112</v>
      </c>
      <c r="Z2424" s="53">
        <f>STDEV(Z2402:Z2422)</f>
        <v>381410.35168991023</v>
      </c>
      <c r="AA2424" s="53">
        <f>STDEV(AA2402:AA2422)</f>
        <v>172694.31971938902</v>
      </c>
      <c r="AM2424" s="53">
        <f>STDEV(AM2402:AM2422)</f>
        <v>1568030.0887390054</v>
      </c>
      <c r="AY2424" s="41" t="s">
        <v>557</v>
      </c>
    </row>
    <row r="2425" spans="1:51" x14ac:dyDescent="0.2">
      <c r="A2425" s="41" t="s">
        <v>257</v>
      </c>
      <c r="B2425" s="81" t="s">
        <v>249</v>
      </c>
      <c r="G2425" s="41">
        <f>COUNT(G2402:G2422)</f>
        <v>21</v>
      </c>
      <c r="J2425" s="41">
        <f>COUNT(J2402:J2422)</f>
        <v>21</v>
      </c>
      <c r="L2425" s="41">
        <f>COUNT(L2402:L2422)</f>
        <v>21</v>
      </c>
      <c r="M2425" s="41">
        <f>COUNT(M2402:M2422)</f>
        <v>21</v>
      </c>
      <c r="U2425" s="41">
        <f>COUNT(U2402:U2422)</f>
        <v>21</v>
      </c>
      <c r="Y2425" s="41">
        <f>COUNT(Y2402:Y2422)</f>
        <v>21</v>
      </c>
      <c r="Z2425" s="41">
        <f>COUNT(Z2402:Z2422)</f>
        <v>21</v>
      </c>
      <c r="AA2425" s="41">
        <f>COUNT(AA2402:AA2422)</f>
        <v>21</v>
      </c>
      <c r="AM2425" s="41">
        <f>COUNT(AM2402:AM2422)</f>
        <v>21</v>
      </c>
      <c r="AY2425" s="41" t="s">
        <v>557</v>
      </c>
    </row>
    <row r="2426" spans="1:51" x14ac:dyDescent="0.2">
      <c r="A2426" s="82"/>
      <c r="B2426" s="82"/>
      <c r="C2426" s="82"/>
      <c r="D2426" s="82"/>
      <c r="E2426" s="82"/>
      <c r="F2426" s="82"/>
      <c r="G2426" s="82"/>
      <c r="H2426" s="82"/>
      <c r="I2426" s="82"/>
      <c r="J2426" s="82"/>
      <c r="K2426" s="82"/>
      <c r="L2426" s="82"/>
      <c r="M2426" s="82"/>
      <c r="N2426" s="82"/>
      <c r="O2426" s="82"/>
      <c r="P2426" s="82"/>
      <c r="Q2426" s="82"/>
      <c r="R2426" s="82"/>
      <c r="S2426" s="82"/>
      <c r="T2426" s="82"/>
      <c r="U2426" s="82"/>
      <c r="V2426" s="82"/>
      <c r="W2426" s="82"/>
      <c r="X2426" s="82"/>
      <c r="Y2426" s="82"/>
      <c r="Z2426" s="82"/>
      <c r="AA2426" s="82"/>
      <c r="AB2426" s="82"/>
      <c r="AC2426" s="82"/>
      <c r="AD2426" s="82"/>
      <c r="AE2426" s="82"/>
      <c r="AF2426" s="82"/>
      <c r="AG2426" s="82"/>
      <c r="AH2426" s="82"/>
      <c r="AI2426" s="82"/>
      <c r="AJ2426" s="82"/>
      <c r="AK2426" s="82"/>
      <c r="AL2426" s="82"/>
      <c r="AM2426" s="82"/>
      <c r="AN2426" s="82"/>
      <c r="AO2426" s="82"/>
      <c r="AP2426" s="82"/>
      <c r="AQ2426" s="82"/>
      <c r="AR2426" s="82"/>
      <c r="AS2426" s="82"/>
      <c r="AT2426" s="82"/>
      <c r="AU2426" s="82"/>
      <c r="AV2426" s="82"/>
      <c r="AW2426" s="82"/>
      <c r="AX2426" s="82"/>
      <c r="AY2426" s="41" t="s">
        <v>557</v>
      </c>
    </row>
    <row r="2427" spans="1:51" x14ac:dyDescent="0.2">
      <c r="A2427" s="86" t="s">
        <v>687</v>
      </c>
      <c r="B2427" s="58" t="s">
        <v>688</v>
      </c>
      <c r="AY2427" s="41" t="s">
        <v>557</v>
      </c>
    </row>
    <row r="2428" spans="1:51" x14ac:dyDescent="0.2">
      <c r="A2428" s="86" t="s">
        <v>687</v>
      </c>
      <c r="B2428" s="41">
        <v>1994</v>
      </c>
      <c r="C2428" s="48" t="s">
        <v>91</v>
      </c>
      <c r="D2428" s="41" t="s">
        <v>401</v>
      </c>
      <c r="E2428" s="41">
        <v>0</v>
      </c>
      <c r="F2428" s="41" t="s">
        <v>390</v>
      </c>
      <c r="G2428" s="53">
        <v>304000</v>
      </c>
      <c r="I2428" s="41">
        <v>5.39</v>
      </c>
      <c r="T2428" s="53">
        <f>46000*31/1000</f>
        <v>1426</v>
      </c>
      <c r="AM2428" s="53"/>
      <c r="AO2428" s="53">
        <f t="shared" ref="AO2428:AW2450" si="420">$G2428*H2428</f>
        <v>0</v>
      </c>
      <c r="AP2428" s="53">
        <f t="shared" si="420"/>
        <v>1638560</v>
      </c>
      <c r="AQ2428" s="53">
        <f t="shared" si="420"/>
        <v>0</v>
      </c>
      <c r="AR2428" s="53">
        <f t="shared" si="420"/>
        <v>0</v>
      </c>
      <c r="AS2428" s="53">
        <f t="shared" si="420"/>
        <v>0</v>
      </c>
      <c r="AT2428" s="53">
        <f t="shared" si="420"/>
        <v>0</v>
      </c>
      <c r="AU2428" s="53">
        <f t="shared" si="420"/>
        <v>0</v>
      </c>
      <c r="AV2428" s="53">
        <f t="shared" si="420"/>
        <v>0</v>
      </c>
      <c r="AW2428" s="53">
        <f t="shared" si="420"/>
        <v>0</v>
      </c>
      <c r="AX2428" s="53">
        <f t="shared" ref="AX2428:AX2450" si="421">$G2428*E2428</f>
        <v>0</v>
      </c>
      <c r="AY2428" s="41" t="s">
        <v>557</v>
      </c>
    </row>
    <row r="2429" spans="1:51" x14ac:dyDescent="0.2">
      <c r="A2429" s="86" t="s">
        <v>687</v>
      </c>
      <c r="B2429" s="41">
        <v>1995</v>
      </c>
      <c r="C2429" s="48" t="s">
        <v>91</v>
      </c>
      <c r="D2429" s="41" t="s">
        <v>401</v>
      </c>
      <c r="E2429" s="41">
        <v>0</v>
      </c>
      <c r="F2429" s="41" t="s">
        <v>390</v>
      </c>
      <c r="G2429" s="53">
        <v>294000</v>
      </c>
      <c r="I2429" s="41">
        <v>5.51</v>
      </c>
      <c r="T2429" s="53">
        <f>48000*31/1000</f>
        <v>1488</v>
      </c>
      <c r="AM2429" s="53"/>
      <c r="AO2429" s="53">
        <f t="shared" si="420"/>
        <v>0</v>
      </c>
      <c r="AP2429" s="53">
        <f t="shared" si="420"/>
        <v>1619940</v>
      </c>
      <c r="AQ2429" s="53">
        <f t="shared" si="420"/>
        <v>0</v>
      </c>
      <c r="AR2429" s="53">
        <f t="shared" si="420"/>
        <v>0</v>
      </c>
      <c r="AS2429" s="53">
        <f t="shared" si="420"/>
        <v>0</v>
      </c>
      <c r="AT2429" s="53">
        <f t="shared" si="420"/>
        <v>0</v>
      </c>
      <c r="AU2429" s="53">
        <f t="shared" si="420"/>
        <v>0</v>
      </c>
      <c r="AV2429" s="53">
        <f t="shared" si="420"/>
        <v>0</v>
      </c>
      <c r="AW2429" s="53">
        <f t="shared" si="420"/>
        <v>0</v>
      </c>
      <c r="AX2429" s="53">
        <f t="shared" si="421"/>
        <v>0</v>
      </c>
      <c r="AY2429" s="41" t="s">
        <v>557</v>
      </c>
    </row>
    <row r="2430" spans="1:51" x14ac:dyDescent="0.2">
      <c r="A2430" s="86" t="s">
        <v>687</v>
      </c>
      <c r="B2430" s="41">
        <v>1996</v>
      </c>
      <c r="C2430" s="48" t="s">
        <v>91</v>
      </c>
      <c r="D2430" s="41" t="s">
        <v>401</v>
      </c>
      <c r="E2430" s="41">
        <v>0</v>
      </c>
      <c r="F2430" s="41" t="s">
        <v>390</v>
      </c>
      <c r="G2430" s="53">
        <v>285000</v>
      </c>
      <c r="I2430" s="41">
        <v>5.72</v>
      </c>
      <c r="T2430" s="53">
        <f>47000*31/1000</f>
        <v>1457</v>
      </c>
      <c r="AM2430" s="53"/>
      <c r="AO2430" s="53">
        <f t="shared" si="420"/>
        <v>0</v>
      </c>
      <c r="AP2430" s="53">
        <f t="shared" si="420"/>
        <v>1630200</v>
      </c>
      <c r="AQ2430" s="53">
        <f t="shared" si="420"/>
        <v>0</v>
      </c>
      <c r="AR2430" s="53">
        <f t="shared" si="420"/>
        <v>0</v>
      </c>
      <c r="AS2430" s="53">
        <f t="shared" si="420"/>
        <v>0</v>
      </c>
      <c r="AT2430" s="53">
        <f t="shared" si="420"/>
        <v>0</v>
      </c>
      <c r="AU2430" s="53">
        <f t="shared" si="420"/>
        <v>0</v>
      </c>
      <c r="AV2430" s="53">
        <f t="shared" si="420"/>
        <v>0</v>
      </c>
      <c r="AW2430" s="53">
        <f t="shared" si="420"/>
        <v>0</v>
      </c>
      <c r="AX2430" s="53">
        <f t="shared" si="421"/>
        <v>0</v>
      </c>
      <c r="AY2430" s="41" t="s">
        <v>557</v>
      </c>
    </row>
    <row r="2431" spans="1:51" x14ac:dyDescent="0.2">
      <c r="A2431" s="86" t="s">
        <v>687</v>
      </c>
      <c r="B2431" s="41">
        <v>1997</v>
      </c>
      <c r="C2431" s="48" t="s">
        <v>91</v>
      </c>
      <c r="D2431" s="41" t="s">
        <v>401</v>
      </c>
      <c r="E2431" s="41">
        <v>0</v>
      </c>
      <c r="F2431" s="41" t="s">
        <v>390</v>
      </c>
      <c r="G2431" s="53">
        <v>302000</v>
      </c>
      <c r="I2431" s="41">
        <v>5.66</v>
      </c>
      <c r="T2431" s="53">
        <f>50000*31/1000</f>
        <v>1550</v>
      </c>
      <c r="AM2431" s="53"/>
      <c r="AO2431" s="53">
        <f t="shared" si="420"/>
        <v>0</v>
      </c>
      <c r="AP2431" s="53">
        <f t="shared" si="420"/>
        <v>1709320</v>
      </c>
      <c r="AQ2431" s="53">
        <f t="shared" si="420"/>
        <v>0</v>
      </c>
      <c r="AR2431" s="53">
        <f t="shared" si="420"/>
        <v>0</v>
      </c>
      <c r="AS2431" s="53">
        <f t="shared" si="420"/>
        <v>0</v>
      </c>
      <c r="AT2431" s="53">
        <f t="shared" si="420"/>
        <v>0</v>
      </c>
      <c r="AU2431" s="53">
        <f t="shared" si="420"/>
        <v>0</v>
      </c>
      <c r="AV2431" s="53">
        <f t="shared" si="420"/>
        <v>0</v>
      </c>
      <c r="AW2431" s="53">
        <f t="shared" si="420"/>
        <v>0</v>
      </c>
      <c r="AX2431" s="53">
        <f t="shared" si="421"/>
        <v>0</v>
      </c>
      <c r="AY2431" s="41" t="s">
        <v>557</v>
      </c>
    </row>
    <row r="2432" spans="1:51" x14ac:dyDescent="0.2">
      <c r="A2432" s="86" t="s">
        <v>687</v>
      </c>
      <c r="B2432" s="41">
        <v>1998</v>
      </c>
      <c r="C2432" s="48" t="s">
        <v>91</v>
      </c>
      <c r="D2432" s="41" t="s">
        <v>401</v>
      </c>
      <c r="E2432" s="41">
        <v>0</v>
      </c>
      <c r="F2432" s="41" t="s">
        <v>390</v>
      </c>
      <c r="G2432" s="53">
        <v>305000</v>
      </c>
      <c r="I2432" s="41">
        <v>5.58</v>
      </c>
      <c r="T2432" s="53">
        <f>49000*31/1000</f>
        <v>1519</v>
      </c>
      <c r="AM2432" s="53"/>
      <c r="AO2432" s="53">
        <f t="shared" si="420"/>
        <v>0</v>
      </c>
      <c r="AP2432" s="53">
        <f t="shared" si="420"/>
        <v>1701900</v>
      </c>
      <c r="AQ2432" s="53">
        <f t="shared" si="420"/>
        <v>0</v>
      </c>
      <c r="AR2432" s="53">
        <f t="shared" si="420"/>
        <v>0</v>
      </c>
      <c r="AS2432" s="53">
        <f t="shared" si="420"/>
        <v>0</v>
      </c>
      <c r="AT2432" s="53">
        <f t="shared" si="420"/>
        <v>0</v>
      </c>
      <c r="AU2432" s="53">
        <f t="shared" si="420"/>
        <v>0</v>
      </c>
      <c r="AV2432" s="53">
        <f t="shared" si="420"/>
        <v>0</v>
      </c>
      <c r="AW2432" s="53">
        <f t="shared" si="420"/>
        <v>0</v>
      </c>
      <c r="AX2432" s="53">
        <f t="shared" si="421"/>
        <v>0</v>
      </c>
      <c r="AY2432" s="41" t="s">
        <v>557</v>
      </c>
    </row>
    <row r="2433" spans="1:51" x14ac:dyDescent="0.2">
      <c r="A2433" s="86" t="s">
        <v>687</v>
      </c>
      <c r="B2433" s="41">
        <v>1999</v>
      </c>
      <c r="C2433" s="48" t="s">
        <v>91</v>
      </c>
      <c r="D2433" s="41" t="s">
        <v>401</v>
      </c>
      <c r="E2433" s="41">
        <v>0</v>
      </c>
      <c r="F2433" s="41" t="s">
        <v>390</v>
      </c>
      <c r="G2433" s="53">
        <v>309000</v>
      </c>
      <c r="I2433" s="46">
        <v>5.3</v>
      </c>
      <c r="T2433" s="53">
        <f>46000*31/1000</f>
        <v>1426</v>
      </c>
      <c r="AM2433" s="53"/>
      <c r="AO2433" s="53">
        <f t="shared" si="420"/>
        <v>0</v>
      </c>
      <c r="AP2433" s="53">
        <f t="shared" si="420"/>
        <v>1637700</v>
      </c>
      <c r="AQ2433" s="53">
        <f t="shared" si="420"/>
        <v>0</v>
      </c>
      <c r="AR2433" s="53">
        <f t="shared" si="420"/>
        <v>0</v>
      </c>
      <c r="AS2433" s="53">
        <f t="shared" si="420"/>
        <v>0</v>
      </c>
      <c r="AT2433" s="53">
        <f t="shared" si="420"/>
        <v>0</v>
      </c>
      <c r="AU2433" s="53">
        <f t="shared" si="420"/>
        <v>0</v>
      </c>
      <c r="AV2433" s="53">
        <f t="shared" si="420"/>
        <v>0</v>
      </c>
      <c r="AW2433" s="53">
        <f t="shared" si="420"/>
        <v>0</v>
      </c>
      <c r="AX2433" s="53">
        <f t="shared" si="421"/>
        <v>0</v>
      </c>
      <c r="AY2433" s="41" t="s">
        <v>557</v>
      </c>
    </row>
    <row r="2434" spans="1:51" x14ac:dyDescent="0.2">
      <c r="A2434" s="86" t="s">
        <v>687</v>
      </c>
      <c r="B2434" s="41">
        <v>2000</v>
      </c>
      <c r="C2434" s="48" t="s">
        <v>91</v>
      </c>
      <c r="D2434" s="41" t="s">
        <v>401</v>
      </c>
      <c r="E2434" s="41">
        <v>0</v>
      </c>
      <c r="F2434" s="41" t="s">
        <v>390</v>
      </c>
      <c r="G2434" s="53">
        <v>287000</v>
      </c>
      <c r="I2434" s="41">
        <v>5.91</v>
      </c>
      <c r="T2434" s="53">
        <f>47000*31/1000</f>
        <v>1457</v>
      </c>
      <c r="AM2434" s="53"/>
      <c r="AO2434" s="53">
        <f t="shared" si="420"/>
        <v>0</v>
      </c>
      <c r="AP2434" s="53">
        <f t="shared" si="420"/>
        <v>1696170</v>
      </c>
      <c r="AQ2434" s="53">
        <f t="shared" si="420"/>
        <v>0</v>
      </c>
      <c r="AR2434" s="53">
        <f t="shared" si="420"/>
        <v>0</v>
      </c>
      <c r="AS2434" s="53">
        <f t="shared" si="420"/>
        <v>0</v>
      </c>
      <c r="AT2434" s="53">
        <f t="shared" si="420"/>
        <v>0</v>
      </c>
      <c r="AU2434" s="53">
        <f t="shared" si="420"/>
        <v>0</v>
      </c>
      <c r="AV2434" s="53">
        <f t="shared" si="420"/>
        <v>0</v>
      </c>
      <c r="AW2434" s="53">
        <f t="shared" si="420"/>
        <v>0</v>
      </c>
      <c r="AX2434" s="53">
        <f t="shared" si="421"/>
        <v>0</v>
      </c>
      <c r="AY2434" s="41" t="s">
        <v>557</v>
      </c>
    </row>
    <row r="2435" spans="1:51" x14ac:dyDescent="0.2">
      <c r="A2435" s="86" t="s">
        <v>687</v>
      </c>
      <c r="B2435" s="41">
        <v>2001</v>
      </c>
      <c r="C2435" s="48" t="s">
        <v>91</v>
      </c>
      <c r="D2435" s="41" t="s">
        <v>401</v>
      </c>
      <c r="E2435" s="41">
        <v>0</v>
      </c>
      <c r="F2435" s="41" t="s">
        <v>390</v>
      </c>
      <c r="G2435" s="53">
        <v>263000</v>
      </c>
      <c r="I2435" s="46">
        <v>6.8</v>
      </c>
      <c r="T2435" s="53">
        <f>50000*31/1000</f>
        <v>1550</v>
      </c>
      <c r="AM2435" s="53"/>
      <c r="AO2435" s="53">
        <f t="shared" si="420"/>
        <v>0</v>
      </c>
      <c r="AP2435" s="53">
        <f t="shared" si="420"/>
        <v>1788400</v>
      </c>
      <c r="AQ2435" s="53">
        <f t="shared" si="420"/>
        <v>0</v>
      </c>
      <c r="AR2435" s="53">
        <f t="shared" si="420"/>
        <v>0</v>
      </c>
      <c r="AS2435" s="53">
        <f t="shared" si="420"/>
        <v>0</v>
      </c>
      <c r="AT2435" s="53">
        <f t="shared" si="420"/>
        <v>0</v>
      </c>
      <c r="AU2435" s="53">
        <f t="shared" si="420"/>
        <v>0</v>
      </c>
      <c r="AV2435" s="53">
        <f t="shared" si="420"/>
        <v>0</v>
      </c>
      <c r="AW2435" s="53">
        <f t="shared" si="420"/>
        <v>0</v>
      </c>
      <c r="AX2435" s="53">
        <f t="shared" si="421"/>
        <v>0</v>
      </c>
      <c r="AY2435" s="41" t="s">
        <v>557</v>
      </c>
    </row>
    <row r="2436" spans="1:51" x14ac:dyDescent="0.2">
      <c r="A2436" s="86" t="s">
        <v>687</v>
      </c>
      <c r="B2436" s="41">
        <v>2002</v>
      </c>
      <c r="C2436" s="48" t="s">
        <v>91</v>
      </c>
      <c r="D2436" s="41" t="s">
        <v>401</v>
      </c>
      <c r="E2436" s="41">
        <v>0</v>
      </c>
      <c r="F2436" s="41" t="s">
        <v>390</v>
      </c>
      <c r="G2436" s="53">
        <v>253000</v>
      </c>
      <c r="I2436" s="41">
        <v>4.2699999999999996</v>
      </c>
      <c r="T2436" s="53">
        <f>31000*31/1000</f>
        <v>961</v>
      </c>
      <c r="AM2436" s="53"/>
      <c r="AO2436" s="53">
        <f t="shared" si="420"/>
        <v>0</v>
      </c>
      <c r="AP2436" s="53">
        <f t="shared" si="420"/>
        <v>1080310</v>
      </c>
      <c r="AQ2436" s="53">
        <f t="shared" si="420"/>
        <v>0</v>
      </c>
      <c r="AR2436" s="53">
        <f t="shared" si="420"/>
        <v>0</v>
      </c>
      <c r="AS2436" s="53">
        <f t="shared" si="420"/>
        <v>0</v>
      </c>
      <c r="AT2436" s="53">
        <f t="shared" si="420"/>
        <v>0</v>
      </c>
      <c r="AU2436" s="53">
        <f t="shared" si="420"/>
        <v>0</v>
      </c>
      <c r="AV2436" s="53">
        <f t="shared" si="420"/>
        <v>0</v>
      </c>
      <c r="AW2436" s="53">
        <f t="shared" si="420"/>
        <v>0</v>
      </c>
      <c r="AX2436" s="53">
        <f t="shared" si="421"/>
        <v>0</v>
      </c>
      <c r="AY2436" s="41" t="s">
        <v>557</v>
      </c>
    </row>
    <row r="2437" spans="1:51" x14ac:dyDescent="0.2">
      <c r="A2437" s="86" t="s">
        <v>687</v>
      </c>
      <c r="B2437" s="41">
        <v>2003</v>
      </c>
      <c r="C2437" s="48" t="s">
        <v>91</v>
      </c>
      <c r="D2437" s="41" t="s">
        <v>401</v>
      </c>
      <c r="E2437" s="41">
        <v>0</v>
      </c>
      <c r="F2437" s="41" t="s">
        <v>390</v>
      </c>
      <c r="G2437" s="53">
        <v>234000</v>
      </c>
      <c r="I2437" s="41">
        <v>3.59</v>
      </c>
      <c r="T2437" s="53">
        <f>23000*31/1000</f>
        <v>713</v>
      </c>
      <c r="AM2437" s="53"/>
      <c r="AO2437" s="53">
        <f t="shared" si="420"/>
        <v>0</v>
      </c>
      <c r="AP2437" s="53">
        <f t="shared" si="420"/>
        <v>840060</v>
      </c>
      <c r="AQ2437" s="53">
        <f t="shared" si="420"/>
        <v>0</v>
      </c>
      <c r="AR2437" s="53">
        <f t="shared" si="420"/>
        <v>0</v>
      </c>
      <c r="AS2437" s="53">
        <f t="shared" si="420"/>
        <v>0</v>
      </c>
      <c r="AT2437" s="53">
        <f t="shared" si="420"/>
        <v>0</v>
      </c>
      <c r="AU2437" s="53">
        <f t="shared" si="420"/>
        <v>0</v>
      </c>
      <c r="AV2437" s="53">
        <f t="shared" si="420"/>
        <v>0</v>
      </c>
      <c r="AW2437" s="53">
        <f t="shared" si="420"/>
        <v>0</v>
      </c>
      <c r="AX2437" s="53">
        <f t="shared" si="421"/>
        <v>0</v>
      </c>
      <c r="AY2437" s="41" t="s">
        <v>557</v>
      </c>
    </row>
    <row r="2438" spans="1:51" x14ac:dyDescent="0.2">
      <c r="A2438" s="86" t="s">
        <v>687</v>
      </c>
      <c r="B2438" s="41">
        <v>2004</v>
      </c>
      <c r="C2438" s="48" t="s">
        <v>91</v>
      </c>
      <c r="D2438" s="41" t="s">
        <v>401</v>
      </c>
      <c r="E2438" s="41">
        <v>0</v>
      </c>
      <c r="F2438" s="41" t="s">
        <v>390</v>
      </c>
      <c r="G2438" s="53">
        <f>146000/(189/365)</f>
        <v>281957.67195767199</v>
      </c>
      <c r="I2438" s="46">
        <v>3.3</v>
      </c>
      <c r="T2438" s="53">
        <f>11000*31/1000/(189/365)</f>
        <v>658.54497354497357</v>
      </c>
      <c r="AM2438" s="53"/>
      <c r="AO2438" s="53">
        <f t="shared" si="420"/>
        <v>0</v>
      </c>
      <c r="AP2438" s="53">
        <f t="shared" si="420"/>
        <v>930460.31746031751</v>
      </c>
      <c r="AQ2438" s="53">
        <f t="shared" si="420"/>
        <v>0</v>
      </c>
      <c r="AR2438" s="53">
        <f t="shared" si="420"/>
        <v>0</v>
      </c>
      <c r="AS2438" s="53">
        <f t="shared" si="420"/>
        <v>0</v>
      </c>
      <c r="AT2438" s="53">
        <f t="shared" si="420"/>
        <v>0</v>
      </c>
      <c r="AU2438" s="53">
        <f t="shared" si="420"/>
        <v>0</v>
      </c>
      <c r="AV2438" s="53">
        <f t="shared" si="420"/>
        <v>0</v>
      </c>
      <c r="AW2438" s="53">
        <f t="shared" si="420"/>
        <v>0</v>
      </c>
      <c r="AX2438" s="53">
        <f t="shared" si="421"/>
        <v>0</v>
      </c>
      <c r="AY2438" s="41" t="s">
        <v>557</v>
      </c>
    </row>
    <row r="2439" spans="1:51" x14ac:dyDescent="0.2">
      <c r="A2439" s="86" t="s">
        <v>687</v>
      </c>
      <c r="B2439" s="41">
        <v>2005</v>
      </c>
      <c r="C2439" s="48" t="s">
        <v>91</v>
      </c>
      <c r="D2439" s="41" t="s">
        <v>401</v>
      </c>
      <c r="E2439" s="41">
        <v>0</v>
      </c>
      <c r="F2439" s="41" t="s">
        <v>390</v>
      </c>
      <c r="G2439" s="53"/>
      <c r="T2439" s="59"/>
      <c r="AM2439" s="53"/>
      <c r="AO2439" s="53">
        <f t="shared" si="420"/>
        <v>0</v>
      </c>
      <c r="AP2439" s="53">
        <f t="shared" si="420"/>
        <v>0</v>
      </c>
      <c r="AQ2439" s="53">
        <f t="shared" si="420"/>
        <v>0</v>
      </c>
      <c r="AR2439" s="53">
        <f t="shared" si="420"/>
        <v>0</v>
      </c>
      <c r="AS2439" s="53">
        <f t="shared" si="420"/>
        <v>0</v>
      </c>
      <c r="AT2439" s="53">
        <f t="shared" si="420"/>
        <v>0</v>
      </c>
      <c r="AU2439" s="53">
        <f t="shared" si="420"/>
        <v>0</v>
      </c>
      <c r="AV2439" s="53">
        <f t="shared" si="420"/>
        <v>0</v>
      </c>
      <c r="AW2439" s="53">
        <f t="shared" si="420"/>
        <v>0</v>
      </c>
      <c r="AX2439" s="53">
        <f t="shared" si="421"/>
        <v>0</v>
      </c>
      <c r="AY2439" s="41" t="s">
        <v>557</v>
      </c>
    </row>
    <row r="2440" spans="1:51" x14ac:dyDescent="0.2">
      <c r="A2440" s="86" t="s">
        <v>687</v>
      </c>
      <c r="B2440" s="41">
        <v>2006</v>
      </c>
      <c r="C2440" s="48" t="s">
        <v>91</v>
      </c>
      <c r="D2440" s="41" t="s">
        <v>401</v>
      </c>
      <c r="E2440" s="41">
        <v>0</v>
      </c>
      <c r="F2440" s="41" t="s">
        <v>390</v>
      </c>
      <c r="G2440" s="53"/>
      <c r="T2440" s="59"/>
      <c r="AM2440" s="53"/>
      <c r="AO2440" s="53">
        <f t="shared" si="420"/>
        <v>0</v>
      </c>
      <c r="AP2440" s="53">
        <f t="shared" si="420"/>
        <v>0</v>
      </c>
      <c r="AQ2440" s="53">
        <f t="shared" si="420"/>
        <v>0</v>
      </c>
      <c r="AR2440" s="53">
        <f t="shared" si="420"/>
        <v>0</v>
      </c>
      <c r="AS2440" s="53">
        <f t="shared" si="420"/>
        <v>0</v>
      </c>
      <c r="AT2440" s="53">
        <f t="shared" si="420"/>
        <v>0</v>
      </c>
      <c r="AU2440" s="53">
        <f t="shared" si="420"/>
        <v>0</v>
      </c>
      <c r="AV2440" s="53">
        <f t="shared" si="420"/>
        <v>0</v>
      </c>
      <c r="AW2440" s="53">
        <f t="shared" si="420"/>
        <v>0</v>
      </c>
      <c r="AX2440" s="53">
        <f t="shared" si="421"/>
        <v>0</v>
      </c>
      <c r="AY2440" s="41" t="s">
        <v>557</v>
      </c>
    </row>
    <row r="2441" spans="1:51" x14ac:dyDescent="0.2">
      <c r="A2441" s="86" t="s">
        <v>687</v>
      </c>
      <c r="B2441" s="41">
        <v>2007</v>
      </c>
      <c r="C2441" s="48" t="s">
        <v>91</v>
      </c>
      <c r="D2441" s="41" t="s">
        <v>401</v>
      </c>
      <c r="E2441" s="41">
        <v>0</v>
      </c>
      <c r="F2441" s="41" t="s">
        <v>390</v>
      </c>
      <c r="G2441" s="53">
        <v>209565</v>
      </c>
      <c r="I2441" s="46">
        <f>3.08/0.88</f>
        <v>3.5</v>
      </c>
      <c r="T2441" s="59">
        <v>658</v>
      </c>
      <c r="AM2441" s="53"/>
      <c r="AO2441" s="53">
        <f t="shared" si="420"/>
        <v>0</v>
      </c>
      <c r="AP2441" s="53">
        <f t="shared" si="420"/>
        <v>733477.5</v>
      </c>
      <c r="AQ2441" s="53">
        <f t="shared" si="420"/>
        <v>0</v>
      </c>
      <c r="AR2441" s="53">
        <f t="shared" si="420"/>
        <v>0</v>
      </c>
      <c r="AS2441" s="53">
        <f t="shared" si="420"/>
        <v>0</v>
      </c>
      <c r="AT2441" s="53">
        <f t="shared" si="420"/>
        <v>0</v>
      </c>
      <c r="AU2441" s="53">
        <f t="shared" si="420"/>
        <v>0</v>
      </c>
      <c r="AV2441" s="53">
        <f t="shared" si="420"/>
        <v>0</v>
      </c>
      <c r="AW2441" s="53">
        <f t="shared" si="420"/>
        <v>0</v>
      </c>
      <c r="AX2441" s="53">
        <f t="shared" si="421"/>
        <v>0</v>
      </c>
      <c r="AY2441" s="41" t="s">
        <v>557</v>
      </c>
    </row>
    <row r="2442" spans="1:51" x14ac:dyDescent="0.2">
      <c r="A2442" s="86" t="s">
        <v>687</v>
      </c>
      <c r="B2442" s="41">
        <v>2008</v>
      </c>
      <c r="C2442" s="48" t="s">
        <v>91</v>
      </c>
      <c r="D2442" s="41" t="s">
        <v>401</v>
      </c>
      <c r="E2442" s="41">
        <v>0</v>
      </c>
      <c r="F2442" s="41" t="s">
        <v>390</v>
      </c>
      <c r="G2442" s="53">
        <v>163462</v>
      </c>
      <c r="I2442" s="46">
        <f>2.79/0.78</f>
        <v>3.5769230769230766</v>
      </c>
      <c r="T2442" s="53">
        <f>14564*31.1/1000</f>
        <v>452.94040000000001</v>
      </c>
      <c r="AM2442" s="53"/>
      <c r="AO2442" s="53">
        <f t="shared" si="420"/>
        <v>0</v>
      </c>
      <c r="AP2442" s="53">
        <f t="shared" si="420"/>
        <v>584691</v>
      </c>
      <c r="AQ2442" s="53">
        <f t="shared" si="420"/>
        <v>0</v>
      </c>
      <c r="AR2442" s="53">
        <f t="shared" si="420"/>
        <v>0</v>
      </c>
      <c r="AS2442" s="53">
        <f t="shared" si="420"/>
        <v>0</v>
      </c>
      <c r="AT2442" s="53">
        <f t="shared" si="420"/>
        <v>0</v>
      </c>
      <c r="AU2442" s="53">
        <f t="shared" si="420"/>
        <v>0</v>
      </c>
      <c r="AV2442" s="53">
        <f t="shared" si="420"/>
        <v>0</v>
      </c>
      <c r="AW2442" s="53">
        <f t="shared" si="420"/>
        <v>0</v>
      </c>
      <c r="AX2442" s="53">
        <f t="shared" si="421"/>
        <v>0</v>
      </c>
      <c r="AY2442" s="41" t="s">
        <v>557</v>
      </c>
    </row>
    <row r="2443" spans="1:51" x14ac:dyDescent="0.2">
      <c r="A2443" s="86" t="s">
        <v>687</v>
      </c>
      <c r="B2443" s="41">
        <v>2009</v>
      </c>
      <c r="C2443" s="48" t="s">
        <v>91</v>
      </c>
      <c r="D2443" s="41" t="s">
        <v>401</v>
      </c>
      <c r="E2443" s="41">
        <v>0</v>
      </c>
      <c r="F2443" s="41" t="s">
        <v>390</v>
      </c>
      <c r="G2443" s="53">
        <f>709*365</f>
        <v>258785</v>
      </c>
      <c r="I2443" s="41">
        <v>3.32</v>
      </c>
      <c r="T2443" s="53">
        <f>22762*31.1/1000</f>
        <v>707.89820000000009</v>
      </c>
      <c r="AM2443" s="53"/>
      <c r="AO2443" s="53">
        <f t="shared" si="420"/>
        <v>0</v>
      </c>
      <c r="AP2443" s="53">
        <f t="shared" si="420"/>
        <v>859166.2</v>
      </c>
      <c r="AQ2443" s="53">
        <f t="shared" si="420"/>
        <v>0</v>
      </c>
      <c r="AR2443" s="53">
        <f t="shared" si="420"/>
        <v>0</v>
      </c>
      <c r="AS2443" s="53">
        <f t="shared" si="420"/>
        <v>0</v>
      </c>
      <c r="AT2443" s="53">
        <f t="shared" si="420"/>
        <v>0</v>
      </c>
      <c r="AU2443" s="53">
        <f t="shared" si="420"/>
        <v>0</v>
      </c>
      <c r="AV2443" s="53">
        <f t="shared" si="420"/>
        <v>0</v>
      </c>
      <c r="AW2443" s="53">
        <f t="shared" si="420"/>
        <v>0</v>
      </c>
      <c r="AX2443" s="53">
        <f t="shared" si="421"/>
        <v>0</v>
      </c>
      <c r="AY2443" s="41" t="s">
        <v>557</v>
      </c>
    </row>
    <row r="2444" spans="1:51" x14ac:dyDescent="0.2">
      <c r="A2444" s="86" t="s">
        <v>687</v>
      </c>
      <c r="B2444" s="41">
        <v>2010</v>
      </c>
      <c r="C2444" s="48" t="s">
        <v>91</v>
      </c>
      <c r="D2444" s="41" t="s">
        <v>401</v>
      </c>
      <c r="E2444" s="41">
        <v>0</v>
      </c>
      <c r="F2444" s="41" t="s">
        <v>390</v>
      </c>
      <c r="G2444" s="53">
        <v>229068</v>
      </c>
      <c r="I2444" s="41">
        <v>2.85</v>
      </c>
      <c r="T2444" s="53">
        <f>18042*31.1/1000</f>
        <v>561.10620000000006</v>
      </c>
      <c r="AM2444" s="53"/>
      <c r="AO2444" s="53">
        <f t="shared" si="420"/>
        <v>0</v>
      </c>
      <c r="AP2444" s="53">
        <f t="shared" si="420"/>
        <v>652843.80000000005</v>
      </c>
      <c r="AQ2444" s="53">
        <f t="shared" si="420"/>
        <v>0</v>
      </c>
      <c r="AR2444" s="53">
        <f t="shared" si="420"/>
        <v>0</v>
      </c>
      <c r="AS2444" s="53">
        <f t="shared" si="420"/>
        <v>0</v>
      </c>
      <c r="AT2444" s="53">
        <f t="shared" si="420"/>
        <v>0</v>
      </c>
      <c r="AU2444" s="53">
        <f t="shared" si="420"/>
        <v>0</v>
      </c>
      <c r="AV2444" s="53">
        <f t="shared" si="420"/>
        <v>0</v>
      </c>
      <c r="AW2444" s="53">
        <f t="shared" si="420"/>
        <v>0</v>
      </c>
      <c r="AX2444" s="53">
        <f t="shared" si="421"/>
        <v>0</v>
      </c>
      <c r="AY2444" s="41" t="s">
        <v>557</v>
      </c>
    </row>
    <row r="2445" spans="1:51" x14ac:dyDescent="0.2">
      <c r="A2445" s="86" t="s">
        <v>687</v>
      </c>
      <c r="B2445" s="41">
        <v>2011</v>
      </c>
      <c r="C2445" s="48" t="s">
        <v>91</v>
      </c>
      <c r="D2445" s="41" t="s">
        <v>401</v>
      </c>
      <c r="E2445" s="41">
        <v>0</v>
      </c>
      <c r="F2445" s="41" t="s">
        <v>390</v>
      </c>
      <c r="G2445" s="53">
        <v>197336</v>
      </c>
      <c r="I2445" s="46">
        <f>1000*T2445/G2445/0.88</f>
        <v>3.3284255372470399</v>
      </c>
      <c r="T2445" s="59">
        <v>578</v>
      </c>
      <c r="AM2445" s="53"/>
      <c r="AO2445" s="53">
        <f t="shared" si="420"/>
        <v>0</v>
      </c>
      <c r="AP2445" s="53">
        <f t="shared" si="420"/>
        <v>656818.18181818188</v>
      </c>
      <c r="AQ2445" s="53">
        <f t="shared" si="420"/>
        <v>0</v>
      </c>
      <c r="AR2445" s="53">
        <f t="shared" si="420"/>
        <v>0</v>
      </c>
      <c r="AS2445" s="53">
        <f t="shared" si="420"/>
        <v>0</v>
      </c>
      <c r="AT2445" s="53">
        <f t="shared" si="420"/>
        <v>0</v>
      </c>
      <c r="AU2445" s="53">
        <f t="shared" si="420"/>
        <v>0</v>
      </c>
      <c r="AV2445" s="53">
        <f t="shared" si="420"/>
        <v>0</v>
      </c>
      <c r="AW2445" s="53">
        <f t="shared" si="420"/>
        <v>0</v>
      </c>
      <c r="AX2445" s="53">
        <f t="shared" si="421"/>
        <v>0</v>
      </c>
      <c r="AY2445" s="41" t="s">
        <v>557</v>
      </c>
    </row>
    <row r="2446" spans="1:51" x14ac:dyDescent="0.2">
      <c r="A2446" s="86" t="s">
        <v>687</v>
      </c>
      <c r="B2446" s="41">
        <v>2012</v>
      </c>
      <c r="C2446" s="48" t="s">
        <v>91</v>
      </c>
      <c r="D2446" s="41" t="s">
        <v>401</v>
      </c>
      <c r="E2446" s="41">
        <v>0</v>
      </c>
      <c r="F2446" s="41" t="s">
        <v>390</v>
      </c>
      <c r="G2446" s="53">
        <v>220090</v>
      </c>
      <c r="I2446" s="41">
        <v>3.51</v>
      </c>
      <c r="T2446" s="59">
        <v>679</v>
      </c>
      <c r="AM2446" s="53"/>
      <c r="AO2446" s="53">
        <f t="shared" si="420"/>
        <v>0</v>
      </c>
      <c r="AP2446" s="53">
        <f t="shared" si="420"/>
        <v>772515.89999999991</v>
      </c>
      <c r="AQ2446" s="53">
        <f t="shared" si="420"/>
        <v>0</v>
      </c>
      <c r="AR2446" s="53">
        <f t="shared" si="420"/>
        <v>0</v>
      </c>
      <c r="AS2446" s="53">
        <f t="shared" si="420"/>
        <v>0</v>
      </c>
      <c r="AT2446" s="53">
        <f t="shared" si="420"/>
        <v>0</v>
      </c>
      <c r="AU2446" s="53">
        <f t="shared" si="420"/>
        <v>0</v>
      </c>
      <c r="AV2446" s="53">
        <f t="shared" si="420"/>
        <v>0</v>
      </c>
      <c r="AW2446" s="53">
        <f t="shared" si="420"/>
        <v>0</v>
      </c>
      <c r="AX2446" s="53">
        <f t="shared" si="421"/>
        <v>0</v>
      </c>
      <c r="AY2446" s="41" t="s">
        <v>557</v>
      </c>
    </row>
    <row r="2447" spans="1:51" x14ac:dyDescent="0.2">
      <c r="A2447" s="86" t="s">
        <v>687</v>
      </c>
      <c r="B2447" s="41">
        <v>2013</v>
      </c>
      <c r="C2447" s="48" t="s">
        <v>91</v>
      </c>
      <c r="D2447" s="41" t="s">
        <v>401</v>
      </c>
      <c r="E2447" s="41">
        <v>0</v>
      </c>
      <c r="F2447" s="41" t="s">
        <v>390</v>
      </c>
      <c r="G2447" s="53">
        <v>210169</v>
      </c>
      <c r="I2447" s="41">
        <v>3.32</v>
      </c>
      <c r="T2447" s="59">
        <v>613</v>
      </c>
      <c r="AM2447" s="53"/>
      <c r="AO2447" s="53">
        <f t="shared" si="420"/>
        <v>0</v>
      </c>
      <c r="AP2447" s="53">
        <f t="shared" si="420"/>
        <v>697761.08</v>
      </c>
      <c r="AQ2447" s="53">
        <f t="shared" si="420"/>
        <v>0</v>
      </c>
      <c r="AR2447" s="53">
        <f t="shared" si="420"/>
        <v>0</v>
      </c>
      <c r="AS2447" s="53">
        <f t="shared" si="420"/>
        <v>0</v>
      </c>
      <c r="AT2447" s="53">
        <f t="shared" si="420"/>
        <v>0</v>
      </c>
      <c r="AU2447" s="53">
        <f t="shared" si="420"/>
        <v>0</v>
      </c>
      <c r="AV2447" s="53">
        <f t="shared" si="420"/>
        <v>0</v>
      </c>
      <c r="AW2447" s="53">
        <f t="shared" si="420"/>
        <v>0</v>
      </c>
      <c r="AX2447" s="53">
        <f t="shared" si="421"/>
        <v>0</v>
      </c>
      <c r="AY2447" s="41" t="s">
        <v>557</v>
      </c>
    </row>
    <row r="2448" spans="1:51" x14ac:dyDescent="0.2">
      <c r="A2448" s="86" t="s">
        <v>687</v>
      </c>
      <c r="B2448" s="41">
        <v>2014</v>
      </c>
      <c r="C2448" s="48" t="s">
        <v>91</v>
      </c>
      <c r="D2448" s="41" t="s">
        <v>401</v>
      </c>
      <c r="E2448" s="41">
        <v>0</v>
      </c>
      <c r="F2448" s="41" t="s">
        <v>390</v>
      </c>
      <c r="G2448" s="53">
        <f>1000*T2448/I2448/0.88</f>
        <v>247101.89139719342</v>
      </c>
      <c r="I2448" s="41">
        <v>2.98</v>
      </c>
      <c r="T2448" s="59">
        <v>648</v>
      </c>
      <c r="AM2448" s="53"/>
      <c r="AO2448" s="53">
        <f t="shared" si="420"/>
        <v>0</v>
      </c>
      <c r="AP2448" s="53">
        <f t="shared" si="420"/>
        <v>736363.63636363635</v>
      </c>
      <c r="AQ2448" s="53">
        <f t="shared" si="420"/>
        <v>0</v>
      </c>
      <c r="AR2448" s="53">
        <f t="shared" si="420"/>
        <v>0</v>
      </c>
      <c r="AS2448" s="53">
        <f t="shared" si="420"/>
        <v>0</v>
      </c>
      <c r="AT2448" s="53">
        <f t="shared" si="420"/>
        <v>0</v>
      </c>
      <c r="AU2448" s="53">
        <f t="shared" si="420"/>
        <v>0</v>
      </c>
      <c r="AV2448" s="53">
        <f t="shared" si="420"/>
        <v>0</v>
      </c>
      <c r="AW2448" s="53">
        <f t="shared" si="420"/>
        <v>0</v>
      </c>
      <c r="AX2448" s="53">
        <f t="shared" si="421"/>
        <v>0</v>
      </c>
      <c r="AY2448" s="41" t="s">
        <v>557</v>
      </c>
    </row>
    <row r="2449" spans="1:51" x14ac:dyDescent="0.2">
      <c r="A2449" s="86" t="s">
        <v>687</v>
      </c>
      <c r="B2449" s="41">
        <v>2015</v>
      </c>
      <c r="C2449" s="48" t="s">
        <v>91</v>
      </c>
      <c r="D2449" s="41" t="s">
        <v>401</v>
      </c>
      <c r="E2449" s="41">
        <v>0</v>
      </c>
      <c r="F2449" s="41" t="s">
        <v>390</v>
      </c>
      <c r="G2449" s="53">
        <f>1000*T2449/I2449/0.88</f>
        <v>146495.07119386637</v>
      </c>
      <c r="I2449" s="59">
        <v>5.81</v>
      </c>
      <c r="T2449" s="59">
        <v>749</v>
      </c>
      <c r="AM2449" s="53"/>
      <c r="AO2449" s="53">
        <f t="shared" si="420"/>
        <v>0</v>
      </c>
      <c r="AP2449" s="53">
        <f t="shared" si="420"/>
        <v>851136.36363636353</v>
      </c>
      <c r="AQ2449" s="53">
        <f t="shared" si="420"/>
        <v>0</v>
      </c>
      <c r="AR2449" s="53">
        <f t="shared" si="420"/>
        <v>0</v>
      </c>
      <c r="AS2449" s="53">
        <f t="shared" si="420"/>
        <v>0</v>
      </c>
      <c r="AT2449" s="53">
        <f t="shared" si="420"/>
        <v>0</v>
      </c>
      <c r="AU2449" s="53">
        <f t="shared" si="420"/>
        <v>0</v>
      </c>
      <c r="AV2449" s="53">
        <f t="shared" si="420"/>
        <v>0</v>
      </c>
      <c r="AW2449" s="53">
        <f t="shared" si="420"/>
        <v>0</v>
      </c>
      <c r="AX2449" s="53">
        <f t="shared" si="421"/>
        <v>0</v>
      </c>
      <c r="AY2449" s="41" t="s">
        <v>557</v>
      </c>
    </row>
    <row r="2450" spans="1:51" x14ac:dyDescent="0.2">
      <c r="A2450" s="86" t="s">
        <v>687</v>
      </c>
      <c r="B2450" s="41">
        <v>2016</v>
      </c>
      <c r="C2450" s="48" t="s">
        <v>91</v>
      </c>
      <c r="D2450" s="41" t="s">
        <v>401</v>
      </c>
      <c r="E2450" s="41">
        <v>0</v>
      </c>
      <c r="F2450" s="41" t="s">
        <v>390</v>
      </c>
      <c r="G2450" s="53">
        <f>1000*T2450/I2450/0.92</f>
        <v>135901.9669325815</v>
      </c>
      <c r="I2450" s="46">
        <f>(5.74*4810+5.69*47000)/(4810+47000)</f>
        <v>5.6946419610113885</v>
      </c>
      <c r="T2450" s="59">
        <v>712</v>
      </c>
      <c r="AM2450" s="53"/>
      <c r="AO2450" s="53">
        <f t="shared" si="420"/>
        <v>0</v>
      </c>
      <c r="AP2450" s="53">
        <f t="shared" si="420"/>
        <v>773913.04347826086</v>
      </c>
      <c r="AQ2450" s="53">
        <f t="shared" si="420"/>
        <v>0</v>
      </c>
      <c r="AR2450" s="53">
        <f t="shared" si="420"/>
        <v>0</v>
      </c>
      <c r="AS2450" s="53">
        <f t="shared" si="420"/>
        <v>0</v>
      </c>
      <c r="AT2450" s="53">
        <f t="shared" si="420"/>
        <v>0</v>
      </c>
      <c r="AU2450" s="53">
        <f t="shared" si="420"/>
        <v>0</v>
      </c>
      <c r="AV2450" s="53">
        <f t="shared" si="420"/>
        <v>0</v>
      </c>
      <c r="AW2450" s="53">
        <f t="shared" si="420"/>
        <v>0</v>
      </c>
      <c r="AX2450" s="53">
        <f t="shared" si="421"/>
        <v>0</v>
      </c>
      <c r="AY2450" s="41" t="s">
        <v>557</v>
      </c>
    </row>
    <row r="2451" spans="1:51" x14ac:dyDescent="0.2">
      <c r="A2451" s="86" t="s">
        <v>687</v>
      </c>
      <c r="B2451" s="60" t="s">
        <v>248</v>
      </c>
      <c r="C2451" s="60" t="s">
        <v>91</v>
      </c>
      <c r="D2451" s="60" t="s">
        <v>401</v>
      </c>
      <c r="E2451" s="60">
        <v>0</v>
      </c>
      <c r="F2451" s="60" t="s">
        <v>390</v>
      </c>
      <c r="G2451" s="79">
        <f>SUM(G2428:G2450)</f>
        <v>5135931.6014813129</v>
      </c>
      <c r="I2451" s="80">
        <f>AP2451/$G2451</f>
        <v>4.5934620733563518</v>
      </c>
      <c r="T2451" s="79">
        <f>SUM(T2428:T2450)</f>
        <v>20564.48977354497</v>
      </c>
      <c r="AO2451" s="79">
        <f>SUM(AO2428:AO2450)</f>
        <v>0</v>
      </c>
      <c r="AP2451" s="79">
        <f t="shared" ref="AP2451:AX2451" si="422">SUM(AP2428:AP2450)</f>
        <v>23591707.022756759</v>
      </c>
      <c r="AQ2451" s="79">
        <f t="shared" si="422"/>
        <v>0</v>
      </c>
      <c r="AR2451" s="79">
        <f t="shared" si="422"/>
        <v>0</v>
      </c>
      <c r="AS2451" s="79">
        <f t="shared" si="422"/>
        <v>0</v>
      </c>
      <c r="AT2451" s="79">
        <f t="shared" si="422"/>
        <v>0</v>
      </c>
      <c r="AU2451" s="79">
        <f t="shared" si="422"/>
        <v>0</v>
      </c>
      <c r="AV2451" s="79">
        <f t="shared" si="422"/>
        <v>0</v>
      </c>
      <c r="AW2451" s="79">
        <f t="shared" si="422"/>
        <v>0</v>
      </c>
      <c r="AX2451" s="79">
        <f t="shared" si="422"/>
        <v>0</v>
      </c>
      <c r="AY2451" s="41" t="s">
        <v>557</v>
      </c>
    </row>
    <row r="2452" spans="1:51" x14ac:dyDescent="0.2">
      <c r="A2452" s="86" t="s">
        <v>687</v>
      </c>
      <c r="B2452" s="43" t="s">
        <v>560</v>
      </c>
      <c r="G2452" s="53">
        <f>STDEV(G2428:G2450)</f>
        <v>52974.275060787673</v>
      </c>
      <c r="I2452" s="46">
        <f>STDEV(I2428:I2450)</f>
        <v>1.2491802816185085</v>
      </c>
      <c r="T2452" s="53">
        <f>STDEV(T2428:T2450)</f>
        <v>417.10532876299288</v>
      </c>
      <c r="AY2452" s="41" t="s">
        <v>557</v>
      </c>
    </row>
    <row r="2453" spans="1:51" x14ac:dyDescent="0.2">
      <c r="A2453" s="86" t="s">
        <v>687</v>
      </c>
      <c r="B2453" s="81" t="s">
        <v>249</v>
      </c>
      <c r="G2453" s="41">
        <f>COUNT(G2428:G2450)</f>
        <v>21</v>
      </c>
      <c r="I2453" s="41">
        <f>COUNT(I2428:I2450)</f>
        <v>21</v>
      </c>
      <c r="T2453" s="41">
        <f>COUNT(T2428:T2450)</f>
        <v>21</v>
      </c>
      <c r="AY2453" s="41" t="s">
        <v>557</v>
      </c>
    </row>
    <row r="2454" spans="1:51" x14ac:dyDescent="0.2">
      <c r="A2454" s="82"/>
      <c r="B2454" s="82"/>
      <c r="C2454" s="82"/>
      <c r="D2454" s="82"/>
      <c r="E2454" s="82"/>
      <c r="F2454" s="82"/>
      <c r="G2454" s="82"/>
      <c r="H2454" s="82"/>
      <c r="I2454" s="82"/>
      <c r="J2454" s="82"/>
      <c r="K2454" s="82"/>
      <c r="L2454" s="82"/>
      <c r="M2454" s="82"/>
      <c r="N2454" s="82"/>
      <c r="O2454" s="82"/>
      <c r="P2454" s="82"/>
      <c r="Q2454" s="82"/>
      <c r="R2454" s="82"/>
      <c r="S2454" s="82"/>
      <c r="T2454" s="82"/>
      <c r="U2454" s="82"/>
      <c r="V2454" s="82"/>
      <c r="W2454" s="82"/>
      <c r="X2454" s="82"/>
      <c r="Y2454" s="82"/>
      <c r="Z2454" s="82"/>
      <c r="AA2454" s="82"/>
      <c r="AB2454" s="82"/>
      <c r="AC2454" s="82"/>
      <c r="AD2454" s="82"/>
      <c r="AE2454" s="82"/>
      <c r="AF2454" s="82"/>
      <c r="AG2454" s="82"/>
      <c r="AH2454" s="82"/>
      <c r="AI2454" s="82"/>
      <c r="AJ2454" s="82"/>
      <c r="AK2454" s="82"/>
      <c r="AL2454" s="82"/>
      <c r="AM2454" s="82"/>
      <c r="AN2454" s="82"/>
      <c r="AO2454" s="82"/>
      <c r="AP2454" s="82"/>
      <c r="AQ2454" s="82"/>
      <c r="AR2454" s="82"/>
      <c r="AS2454" s="82"/>
      <c r="AT2454" s="82"/>
      <c r="AU2454" s="82"/>
      <c r="AV2454" s="82"/>
      <c r="AW2454" s="82"/>
      <c r="AX2454" s="82"/>
      <c r="AY2454" s="41" t="s">
        <v>557</v>
      </c>
    </row>
    <row r="2455" spans="1:51" x14ac:dyDescent="0.2">
      <c r="A2455" s="86" t="s">
        <v>689</v>
      </c>
      <c r="B2455" s="58" t="s">
        <v>690</v>
      </c>
      <c r="AY2455" s="41" t="s">
        <v>557</v>
      </c>
    </row>
    <row r="2456" spans="1:51" x14ac:dyDescent="0.2">
      <c r="A2456" s="86" t="s">
        <v>689</v>
      </c>
      <c r="B2456" s="41">
        <v>1995</v>
      </c>
      <c r="C2456" s="41" t="s">
        <v>87</v>
      </c>
      <c r="D2456" s="41" t="s">
        <v>401</v>
      </c>
      <c r="E2456" s="41">
        <v>100</v>
      </c>
      <c r="F2456" s="41" t="s">
        <v>577</v>
      </c>
      <c r="G2456" s="53">
        <v>5108000</v>
      </c>
      <c r="I2456" s="41">
        <v>0.82</v>
      </c>
      <c r="J2456" s="41">
        <v>1.5</v>
      </c>
      <c r="T2456" s="53">
        <f>111000*31/1000</f>
        <v>3441</v>
      </c>
      <c r="U2456" s="53">
        <f>127000*31/1000</f>
        <v>3937</v>
      </c>
      <c r="AM2456" s="53"/>
      <c r="AO2456" s="53">
        <f t="shared" ref="AO2456:AW2460" si="423">$G2456*H2456</f>
        <v>0</v>
      </c>
      <c r="AP2456" s="53">
        <f t="shared" si="423"/>
        <v>4188559.9999999995</v>
      </c>
      <c r="AQ2456" s="53">
        <f t="shared" si="423"/>
        <v>7662000</v>
      </c>
      <c r="AR2456" s="53">
        <f t="shared" si="423"/>
        <v>0</v>
      </c>
      <c r="AS2456" s="53">
        <f t="shared" si="423"/>
        <v>0</v>
      </c>
      <c r="AT2456" s="53">
        <f t="shared" si="423"/>
        <v>0</v>
      </c>
      <c r="AU2456" s="53">
        <f t="shared" si="423"/>
        <v>0</v>
      </c>
      <c r="AV2456" s="53">
        <f t="shared" si="423"/>
        <v>0</v>
      </c>
      <c r="AW2456" s="53">
        <f t="shared" si="423"/>
        <v>0</v>
      </c>
      <c r="AX2456" s="53">
        <f>$G2456*E2456</f>
        <v>510800000</v>
      </c>
      <c r="AY2456" s="41" t="s">
        <v>557</v>
      </c>
    </row>
    <row r="2457" spans="1:51" x14ac:dyDescent="0.2">
      <c r="A2457" s="86" t="s">
        <v>689</v>
      </c>
      <c r="B2457" s="41">
        <v>1996</v>
      </c>
      <c r="C2457" s="41" t="s">
        <v>87</v>
      </c>
      <c r="D2457" s="41" t="s">
        <v>401</v>
      </c>
      <c r="E2457" s="41">
        <v>100</v>
      </c>
      <c r="F2457" s="41" t="s">
        <v>577</v>
      </c>
      <c r="G2457" s="53">
        <v>4954000</v>
      </c>
      <c r="I2457" s="41">
        <v>1.03</v>
      </c>
      <c r="J2457" s="41">
        <v>1.1000000000000001</v>
      </c>
      <c r="T2457" s="53">
        <f>133000*31/1000</f>
        <v>4123</v>
      </c>
      <c r="U2457" s="53">
        <f>113000*31/1000</f>
        <v>3503</v>
      </c>
      <c r="AM2457" s="53"/>
      <c r="AO2457" s="53">
        <f t="shared" si="423"/>
        <v>0</v>
      </c>
      <c r="AP2457" s="53">
        <f t="shared" si="423"/>
        <v>5102620</v>
      </c>
      <c r="AQ2457" s="53">
        <f t="shared" si="423"/>
        <v>5449400</v>
      </c>
      <c r="AR2457" s="53">
        <f t="shared" si="423"/>
        <v>0</v>
      </c>
      <c r="AS2457" s="53">
        <f t="shared" si="423"/>
        <v>0</v>
      </c>
      <c r="AT2457" s="53">
        <f t="shared" si="423"/>
        <v>0</v>
      </c>
      <c r="AU2457" s="53">
        <f t="shared" si="423"/>
        <v>0</v>
      </c>
      <c r="AV2457" s="53">
        <f t="shared" si="423"/>
        <v>0</v>
      </c>
      <c r="AW2457" s="53">
        <f t="shared" si="423"/>
        <v>0</v>
      </c>
      <c r="AX2457" s="53">
        <f>$G2457*E2457</f>
        <v>495400000</v>
      </c>
      <c r="AY2457" s="41" t="s">
        <v>557</v>
      </c>
    </row>
    <row r="2458" spans="1:51" x14ac:dyDescent="0.2">
      <c r="A2458" s="86" t="s">
        <v>689</v>
      </c>
      <c r="B2458" s="41">
        <v>1997</v>
      </c>
      <c r="C2458" s="41" t="s">
        <v>87</v>
      </c>
      <c r="D2458" s="41" t="s">
        <v>401</v>
      </c>
      <c r="E2458" s="41">
        <v>100</v>
      </c>
      <c r="F2458" s="41" t="s">
        <v>577</v>
      </c>
      <c r="G2458" s="53">
        <v>4702000</v>
      </c>
      <c r="I2458" s="41">
        <v>1.03</v>
      </c>
      <c r="J2458" s="41">
        <v>1.1000000000000001</v>
      </c>
      <c r="T2458" s="53">
        <f>121000*31/1000</f>
        <v>3751</v>
      </c>
      <c r="U2458" s="53">
        <f>87000*31/1000</f>
        <v>2697</v>
      </c>
      <c r="AM2458" s="53"/>
      <c r="AO2458" s="53">
        <f t="shared" si="423"/>
        <v>0</v>
      </c>
      <c r="AP2458" s="53">
        <f t="shared" si="423"/>
        <v>4843060</v>
      </c>
      <c r="AQ2458" s="53">
        <f t="shared" si="423"/>
        <v>5172200</v>
      </c>
      <c r="AR2458" s="53">
        <f t="shared" si="423"/>
        <v>0</v>
      </c>
      <c r="AS2458" s="53">
        <f t="shared" si="423"/>
        <v>0</v>
      </c>
      <c r="AT2458" s="53">
        <f t="shared" si="423"/>
        <v>0</v>
      </c>
      <c r="AU2458" s="53">
        <f t="shared" si="423"/>
        <v>0</v>
      </c>
      <c r="AV2458" s="53">
        <f t="shared" si="423"/>
        <v>0</v>
      </c>
      <c r="AW2458" s="53">
        <f t="shared" si="423"/>
        <v>0</v>
      </c>
      <c r="AX2458" s="53">
        <f>$G2458*E2458</f>
        <v>470200000</v>
      </c>
      <c r="AY2458" s="41" t="s">
        <v>557</v>
      </c>
    </row>
    <row r="2459" spans="1:51" x14ac:dyDescent="0.2">
      <c r="A2459" s="86" t="s">
        <v>689</v>
      </c>
      <c r="B2459" s="41">
        <v>1998</v>
      </c>
      <c r="C2459" s="41" t="s">
        <v>87</v>
      </c>
      <c r="D2459" s="41" t="s">
        <v>401</v>
      </c>
      <c r="E2459" s="41">
        <v>100</v>
      </c>
      <c r="F2459" s="41" t="s">
        <v>577</v>
      </c>
      <c r="G2459" s="53">
        <v>4255000</v>
      </c>
      <c r="I2459" s="41">
        <v>0.89</v>
      </c>
      <c r="J2459" s="47">
        <v>1</v>
      </c>
      <c r="T2459" s="53">
        <f>99000*31/1000</f>
        <v>3069</v>
      </c>
      <c r="U2459" s="53">
        <f>72000*31/1000</f>
        <v>2232</v>
      </c>
      <c r="AM2459" s="53"/>
      <c r="AO2459" s="53">
        <f t="shared" si="423"/>
        <v>0</v>
      </c>
      <c r="AP2459" s="53">
        <f t="shared" si="423"/>
        <v>3786950</v>
      </c>
      <c r="AQ2459" s="53">
        <f t="shared" si="423"/>
        <v>4255000</v>
      </c>
      <c r="AR2459" s="53">
        <f t="shared" si="423"/>
        <v>0</v>
      </c>
      <c r="AS2459" s="53">
        <f t="shared" si="423"/>
        <v>0</v>
      </c>
      <c r="AT2459" s="53">
        <f t="shared" si="423"/>
        <v>0</v>
      </c>
      <c r="AU2459" s="53">
        <f t="shared" si="423"/>
        <v>0</v>
      </c>
      <c r="AV2459" s="53">
        <f t="shared" si="423"/>
        <v>0</v>
      </c>
      <c r="AW2459" s="53">
        <f t="shared" si="423"/>
        <v>0</v>
      </c>
      <c r="AX2459" s="53">
        <f>$G2459*E2459</f>
        <v>425500000</v>
      </c>
      <c r="AY2459" s="41" t="s">
        <v>557</v>
      </c>
    </row>
    <row r="2460" spans="1:51" x14ac:dyDescent="0.2">
      <c r="A2460" s="86" t="s">
        <v>689</v>
      </c>
      <c r="B2460" s="41">
        <v>1999</v>
      </c>
      <c r="C2460" s="41" t="s">
        <v>87</v>
      </c>
      <c r="D2460" s="41" t="s">
        <v>401</v>
      </c>
      <c r="E2460" s="41">
        <v>100</v>
      </c>
      <c r="F2460" s="41" t="s">
        <v>577</v>
      </c>
      <c r="G2460" s="53">
        <v>3160000</v>
      </c>
      <c r="I2460" s="46">
        <v>1.1000000000000001</v>
      </c>
      <c r="J2460" s="41">
        <v>1.1000000000000001</v>
      </c>
      <c r="T2460" s="53">
        <f>81000*31/1000</f>
        <v>2511</v>
      </c>
      <c r="U2460" s="53">
        <f>58000*31/1000</f>
        <v>1798</v>
      </c>
      <c r="AM2460" s="53"/>
      <c r="AO2460" s="53">
        <f t="shared" si="423"/>
        <v>0</v>
      </c>
      <c r="AP2460" s="53">
        <f t="shared" si="423"/>
        <v>3476000.0000000005</v>
      </c>
      <c r="AQ2460" s="53">
        <f t="shared" si="423"/>
        <v>3476000.0000000005</v>
      </c>
      <c r="AR2460" s="53">
        <f t="shared" si="423"/>
        <v>0</v>
      </c>
      <c r="AS2460" s="53">
        <f t="shared" si="423"/>
        <v>0</v>
      </c>
      <c r="AT2460" s="53">
        <f t="shared" si="423"/>
        <v>0</v>
      </c>
      <c r="AU2460" s="53">
        <f t="shared" si="423"/>
        <v>0</v>
      </c>
      <c r="AV2460" s="53">
        <f t="shared" si="423"/>
        <v>0</v>
      </c>
      <c r="AW2460" s="53">
        <f t="shared" si="423"/>
        <v>0</v>
      </c>
      <c r="AX2460" s="53">
        <f>$G2460*E2460</f>
        <v>316000000</v>
      </c>
      <c r="AY2460" s="41" t="s">
        <v>557</v>
      </c>
    </row>
    <row r="2461" spans="1:51" x14ac:dyDescent="0.2">
      <c r="A2461" s="86" t="s">
        <v>689</v>
      </c>
      <c r="B2461" s="60" t="s">
        <v>248</v>
      </c>
      <c r="C2461" s="60" t="s">
        <v>87</v>
      </c>
      <c r="D2461" s="60" t="s">
        <v>401</v>
      </c>
      <c r="E2461" s="60">
        <v>100</v>
      </c>
      <c r="F2461" s="60" t="s">
        <v>577</v>
      </c>
      <c r="G2461" s="79">
        <f>SUM(G2456:G2460)</f>
        <v>22179000</v>
      </c>
      <c r="I2461" s="80">
        <f>AP2461/SUM($G2456:$G2460)</f>
        <v>0.96474998872807616</v>
      </c>
      <c r="J2461" s="78">
        <f>AQ2461/SUM($G2456:$G2460)</f>
        <v>1.1729383651201588</v>
      </c>
      <c r="T2461" s="79">
        <f>SUM(T2456:T2460)</f>
        <v>16895</v>
      </c>
      <c r="U2461" s="79">
        <f>SUM(U2456:U2460)</f>
        <v>14167</v>
      </c>
      <c r="AO2461" s="79">
        <f t="shared" ref="AO2461:AX2461" si="424">SUM(AO2456:AO2460)</f>
        <v>0</v>
      </c>
      <c r="AP2461" s="79">
        <f t="shared" si="424"/>
        <v>21397190</v>
      </c>
      <c r="AQ2461" s="79">
        <f t="shared" si="424"/>
        <v>26014600</v>
      </c>
      <c r="AR2461" s="79">
        <f t="shared" si="424"/>
        <v>0</v>
      </c>
      <c r="AS2461" s="79">
        <f t="shared" si="424"/>
        <v>0</v>
      </c>
      <c r="AT2461" s="79">
        <f t="shared" si="424"/>
        <v>0</v>
      </c>
      <c r="AU2461" s="79">
        <f t="shared" si="424"/>
        <v>0</v>
      </c>
      <c r="AV2461" s="79">
        <f t="shared" si="424"/>
        <v>0</v>
      </c>
      <c r="AW2461" s="79">
        <f t="shared" si="424"/>
        <v>0</v>
      </c>
      <c r="AX2461" s="79">
        <f t="shared" si="424"/>
        <v>2217900000</v>
      </c>
      <c r="AY2461" s="41" t="s">
        <v>557</v>
      </c>
    </row>
    <row r="2462" spans="1:51" x14ac:dyDescent="0.2">
      <c r="A2462" s="86" t="s">
        <v>689</v>
      </c>
      <c r="B2462" s="43" t="s">
        <v>560</v>
      </c>
      <c r="G2462" s="53">
        <f>STDEV(G2456:G2460)</f>
        <v>782879.42877559375</v>
      </c>
      <c r="I2462" s="46">
        <f>STDEV(I2456:I2460)</f>
        <v>0.11502173707608521</v>
      </c>
      <c r="J2462" s="47">
        <f>STDEV(J2456:J2460)</f>
        <v>0.19493588689617822</v>
      </c>
      <c r="T2462" s="53">
        <f>STDEV(T2456:T2460)</f>
        <v>621.54806732866609</v>
      </c>
      <c r="U2462" s="53">
        <f>STDEV(U2456:U2460)</f>
        <v>882.98318217279814</v>
      </c>
      <c r="AY2462" s="41" t="s">
        <v>557</v>
      </c>
    </row>
    <row r="2463" spans="1:51" x14ac:dyDescent="0.2">
      <c r="A2463" s="86" t="s">
        <v>689</v>
      </c>
      <c r="B2463" s="81" t="s">
        <v>249</v>
      </c>
      <c r="G2463" s="41">
        <f>COUNT(G2456:G2460)</f>
        <v>5</v>
      </c>
      <c r="I2463" s="41">
        <f>COUNT(I2456:I2460)</f>
        <v>5</v>
      </c>
      <c r="J2463" s="41">
        <f>COUNT(J2456:J2460)</f>
        <v>5</v>
      </c>
      <c r="T2463" s="41">
        <f>COUNT(T2456:T2460)</f>
        <v>5</v>
      </c>
      <c r="U2463" s="41">
        <f>COUNT(U2456:U2460)</f>
        <v>5</v>
      </c>
      <c r="AY2463" s="41" t="s">
        <v>557</v>
      </c>
    </row>
    <row r="2464" spans="1:51" x14ac:dyDescent="0.2">
      <c r="A2464" s="82"/>
      <c r="B2464" s="82"/>
      <c r="C2464" s="82"/>
      <c r="D2464" s="82"/>
      <c r="E2464" s="82"/>
      <c r="F2464" s="82"/>
      <c r="G2464" s="82"/>
      <c r="H2464" s="82"/>
      <c r="I2464" s="82"/>
      <c r="J2464" s="82"/>
      <c r="K2464" s="82"/>
      <c r="L2464" s="82"/>
      <c r="M2464" s="82"/>
      <c r="N2464" s="82"/>
      <c r="O2464" s="82"/>
      <c r="P2464" s="82"/>
      <c r="Q2464" s="82"/>
      <c r="R2464" s="82"/>
      <c r="S2464" s="82"/>
      <c r="T2464" s="82"/>
      <c r="U2464" s="82"/>
      <c r="V2464" s="82"/>
      <c r="W2464" s="82"/>
      <c r="X2464" s="82"/>
      <c r="Y2464" s="82"/>
      <c r="Z2464" s="82"/>
      <c r="AA2464" s="82"/>
      <c r="AB2464" s="82"/>
      <c r="AC2464" s="82"/>
      <c r="AD2464" s="82"/>
      <c r="AE2464" s="82"/>
      <c r="AF2464" s="82"/>
      <c r="AG2464" s="82"/>
      <c r="AH2464" s="82"/>
      <c r="AI2464" s="82"/>
      <c r="AJ2464" s="82"/>
      <c r="AK2464" s="82"/>
      <c r="AL2464" s="82"/>
      <c r="AM2464" s="82"/>
      <c r="AN2464" s="82"/>
      <c r="AO2464" s="82"/>
      <c r="AP2464" s="82"/>
      <c r="AQ2464" s="82"/>
      <c r="AR2464" s="82"/>
      <c r="AS2464" s="82"/>
      <c r="AT2464" s="82"/>
      <c r="AU2464" s="82"/>
      <c r="AV2464" s="82"/>
      <c r="AW2464" s="82"/>
      <c r="AX2464" s="82"/>
      <c r="AY2464" s="41" t="s">
        <v>557</v>
      </c>
    </row>
    <row r="2465" spans="1:51" x14ac:dyDescent="0.2">
      <c r="A2465" s="41" t="s">
        <v>278</v>
      </c>
      <c r="B2465" s="41">
        <v>1913</v>
      </c>
      <c r="C2465" s="41" t="s">
        <v>91</v>
      </c>
      <c r="D2465" s="41" t="s">
        <v>88</v>
      </c>
      <c r="E2465" s="41">
        <v>0</v>
      </c>
      <c r="F2465" s="41" t="s">
        <v>584</v>
      </c>
      <c r="G2465" s="53">
        <v>10081.768</v>
      </c>
      <c r="H2465" s="46">
        <v>6.6125967852728479E-2</v>
      </c>
      <c r="I2465" s="46">
        <v>4.6221456692913385</v>
      </c>
      <c r="J2465" s="47">
        <v>315.28543307086619</v>
      </c>
      <c r="K2465" s="46"/>
      <c r="L2465" s="41">
        <v>7.3</v>
      </c>
      <c r="M2465" s="41">
        <v>26.3</v>
      </c>
      <c r="R2465" s="76">
        <f>S2465*6</f>
        <v>30</v>
      </c>
      <c r="S2465" s="53">
        <v>5</v>
      </c>
      <c r="T2465" s="53">
        <v>23.29970015</v>
      </c>
      <c r="U2465" s="53">
        <v>2542.9076720000007</v>
      </c>
      <c r="X2465" s="76">
        <f>Y2465*2</f>
        <v>1177.5505024000001</v>
      </c>
      <c r="Y2465" s="53">
        <v>588.77525120000007</v>
      </c>
      <c r="Z2465" s="76">
        <f>AA2465*2</f>
        <v>4242.407974400001</v>
      </c>
      <c r="AA2465" s="53">
        <v>2121.2039872000005</v>
      </c>
      <c r="AH2465" s="53">
        <f>G2465-R2465-X2465-Z2465</f>
        <v>4631.8095231999996</v>
      </c>
      <c r="AO2465" s="53">
        <f t="shared" ref="AO2465:AW2493" si="425">$G2465*H2465</f>
        <v>666.66666666666674</v>
      </c>
      <c r="AP2465" s="53">
        <f t="shared" si="425"/>
        <v>46599.400300000001</v>
      </c>
      <c r="AQ2465" s="53">
        <f t="shared" si="425"/>
        <v>3178634.5900000003</v>
      </c>
      <c r="AR2465" s="53">
        <f t="shared" si="425"/>
        <v>0</v>
      </c>
      <c r="AS2465" s="53">
        <f t="shared" si="425"/>
        <v>73596.906399999993</v>
      </c>
      <c r="AT2465" s="53">
        <f t="shared" si="425"/>
        <v>265150.49839999998</v>
      </c>
      <c r="AU2465" s="53">
        <f t="shared" si="425"/>
        <v>0</v>
      </c>
      <c r="AV2465" s="53">
        <f t="shared" si="425"/>
        <v>0</v>
      </c>
      <c r="AW2465" s="53">
        <f t="shared" si="425"/>
        <v>0</v>
      </c>
      <c r="AX2465" s="53">
        <f t="shared" ref="AX2465:AX2528" si="426">$G2465*E2465</f>
        <v>0</v>
      </c>
      <c r="AY2465" s="41" t="s">
        <v>557</v>
      </c>
    </row>
    <row r="2466" spans="1:51" x14ac:dyDescent="0.2">
      <c r="A2466" s="41" t="s">
        <v>278</v>
      </c>
      <c r="B2466" s="41">
        <v>1919</v>
      </c>
      <c r="C2466" s="41" t="s">
        <v>91</v>
      </c>
      <c r="D2466" s="41" t="s">
        <v>88</v>
      </c>
      <c r="E2466" s="41">
        <v>0</v>
      </c>
      <c r="F2466" s="41" t="s">
        <v>584</v>
      </c>
      <c r="G2466" s="53">
        <v>1100</v>
      </c>
      <c r="H2466" s="46">
        <v>0.60606060606060608</v>
      </c>
      <c r="I2466" s="46">
        <v>4.8346363636363643</v>
      </c>
      <c r="J2466" s="47">
        <v>358.12121212121212</v>
      </c>
      <c r="K2466" s="46"/>
      <c r="L2466" s="47">
        <v>8.1818181818181817</v>
      </c>
      <c r="M2466" s="47">
        <v>28.787878787878789</v>
      </c>
      <c r="R2466" s="76">
        <f t="shared" ref="R2466:R2529" si="427">S2466*6</f>
        <v>30</v>
      </c>
      <c r="S2466" s="53">
        <v>5</v>
      </c>
      <c r="T2466" s="53">
        <v>5.3181000000000003</v>
      </c>
      <c r="U2466" s="53">
        <v>354.54</v>
      </c>
      <c r="X2466" s="76">
        <f t="shared" ref="X2466:Z2529" si="428">Y2466*2</f>
        <v>162</v>
      </c>
      <c r="Y2466" s="53">
        <v>81</v>
      </c>
      <c r="Z2466" s="76">
        <f t="shared" si="428"/>
        <v>570</v>
      </c>
      <c r="AA2466" s="53">
        <v>285</v>
      </c>
      <c r="AH2466" s="53">
        <f t="shared" ref="AH2466:AH2529" si="429">G2466-R2466-X2466-Z2466</f>
        <v>338</v>
      </c>
      <c r="AO2466" s="53">
        <f t="shared" si="425"/>
        <v>666.66666666666663</v>
      </c>
      <c r="AP2466" s="53">
        <f t="shared" si="425"/>
        <v>5318.1</v>
      </c>
      <c r="AQ2466" s="53">
        <f t="shared" si="425"/>
        <v>393933.33333333331</v>
      </c>
      <c r="AR2466" s="53">
        <f t="shared" si="425"/>
        <v>0</v>
      </c>
      <c r="AS2466" s="53">
        <f t="shared" si="425"/>
        <v>9000</v>
      </c>
      <c r="AT2466" s="53">
        <f t="shared" si="425"/>
        <v>31666.666666666668</v>
      </c>
      <c r="AU2466" s="53">
        <f t="shared" si="425"/>
        <v>0</v>
      </c>
      <c r="AV2466" s="53">
        <f t="shared" si="425"/>
        <v>0</v>
      </c>
      <c r="AW2466" s="53">
        <f t="shared" si="425"/>
        <v>0</v>
      </c>
      <c r="AX2466" s="53">
        <f t="shared" si="426"/>
        <v>0</v>
      </c>
      <c r="AY2466" s="41" t="s">
        <v>557</v>
      </c>
    </row>
    <row r="2467" spans="1:51" x14ac:dyDescent="0.2">
      <c r="A2467" s="41" t="s">
        <v>278</v>
      </c>
      <c r="B2467" s="41">
        <v>1925</v>
      </c>
      <c r="C2467" s="41" t="s">
        <v>91</v>
      </c>
      <c r="D2467" s="41" t="s">
        <v>88</v>
      </c>
      <c r="E2467" s="41">
        <v>0</v>
      </c>
      <c r="F2467" s="41" t="s">
        <v>584</v>
      </c>
      <c r="G2467" s="53">
        <v>2044.192</v>
      </c>
      <c r="I2467" s="47">
        <v>4.34</v>
      </c>
      <c r="J2467" s="47">
        <v>278.5531496062992</v>
      </c>
      <c r="K2467" s="47"/>
      <c r="L2467" s="41">
        <v>7.1</v>
      </c>
      <c r="M2467" s="41">
        <v>23.3</v>
      </c>
      <c r="R2467" s="76">
        <f t="shared" si="427"/>
        <v>0</v>
      </c>
      <c r="S2467" s="53"/>
      <c r="T2467" s="53">
        <v>4.4358966400000002</v>
      </c>
      <c r="U2467" s="53">
        <v>455.53289599999999</v>
      </c>
      <c r="X2467" s="76">
        <f t="shared" si="428"/>
        <v>232.22021120000002</v>
      </c>
      <c r="Y2467" s="53">
        <v>116.11010560000001</v>
      </c>
      <c r="Z2467" s="76">
        <f t="shared" si="428"/>
        <v>762.07477760000006</v>
      </c>
      <c r="AA2467" s="53">
        <v>381.03738880000003</v>
      </c>
      <c r="AH2467" s="53">
        <f t="shared" si="429"/>
        <v>1049.8970112</v>
      </c>
      <c r="AO2467" s="53">
        <f t="shared" si="425"/>
        <v>0</v>
      </c>
      <c r="AP2467" s="53">
        <f t="shared" si="425"/>
        <v>8871.7932799999999</v>
      </c>
      <c r="AQ2467" s="53">
        <f t="shared" si="425"/>
        <v>569416.12</v>
      </c>
      <c r="AR2467" s="53">
        <f t="shared" si="425"/>
        <v>0</v>
      </c>
      <c r="AS2467" s="53">
        <f t="shared" si="425"/>
        <v>14513.763199999999</v>
      </c>
      <c r="AT2467" s="53">
        <f t="shared" si="425"/>
        <v>47629.673600000002</v>
      </c>
      <c r="AU2467" s="53">
        <f t="shared" si="425"/>
        <v>0</v>
      </c>
      <c r="AV2467" s="53">
        <f t="shared" si="425"/>
        <v>0</v>
      </c>
      <c r="AW2467" s="53">
        <f t="shared" si="425"/>
        <v>0</v>
      </c>
      <c r="AX2467" s="53">
        <f t="shared" si="426"/>
        <v>0</v>
      </c>
      <c r="AY2467" s="41" t="s">
        <v>557</v>
      </c>
    </row>
    <row r="2468" spans="1:51" x14ac:dyDescent="0.2">
      <c r="A2468" s="41" t="s">
        <v>278</v>
      </c>
      <c r="B2468" s="41">
        <v>1926</v>
      </c>
      <c r="C2468" s="41" t="s">
        <v>91</v>
      </c>
      <c r="D2468" s="41" t="s">
        <v>88</v>
      </c>
      <c r="E2468" s="41">
        <v>0</v>
      </c>
      <c r="F2468" s="41" t="s">
        <v>584</v>
      </c>
      <c r="G2468" s="53">
        <v>30359.096000000001</v>
      </c>
      <c r="I2468" s="47">
        <v>4.03</v>
      </c>
      <c r="J2468" s="47">
        <v>257.12598425196853</v>
      </c>
      <c r="K2468" s="47"/>
      <c r="L2468" s="41">
        <v>6.7</v>
      </c>
      <c r="M2468" s="41">
        <v>23.3</v>
      </c>
      <c r="R2468" s="76">
        <f t="shared" si="427"/>
        <v>0</v>
      </c>
      <c r="S2468" s="53"/>
      <c r="T2468" s="53">
        <v>61.173578440000007</v>
      </c>
      <c r="U2468" s="53">
        <v>6244.8899520000014</v>
      </c>
      <c r="X2468" s="76">
        <f t="shared" si="428"/>
        <v>3254.4950912000004</v>
      </c>
      <c r="Y2468" s="53">
        <v>1627.2475456000002</v>
      </c>
      <c r="Z2468" s="76">
        <f t="shared" si="428"/>
        <v>11317.870988800001</v>
      </c>
      <c r="AA2468" s="53">
        <v>5658.9354944000006</v>
      </c>
      <c r="AH2468" s="53">
        <f t="shared" si="429"/>
        <v>15786.729919999998</v>
      </c>
      <c r="AO2468" s="53">
        <f t="shared" si="425"/>
        <v>0</v>
      </c>
      <c r="AP2468" s="53">
        <f t="shared" si="425"/>
        <v>122347.15688000001</v>
      </c>
      <c r="AQ2468" s="53">
        <f t="shared" si="425"/>
        <v>7806112.4400000013</v>
      </c>
      <c r="AR2468" s="53">
        <f t="shared" si="425"/>
        <v>0</v>
      </c>
      <c r="AS2468" s="53">
        <f t="shared" si="425"/>
        <v>203405.94320000001</v>
      </c>
      <c r="AT2468" s="53">
        <f t="shared" si="425"/>
        <v>707366.93680000002</v>
      </c>
      <c r="AU2468" s="53">
        <f t="shared" si="425"/>
        <v>0</v>
      </c>
      <c r="AV2468" s="53">
        <f t="shared" si="425"/>
        <v>0</v>
      </c>
      <c r="AW2468" s="53">
        <f t="shared" si="425"/>
        <v>0</v>
      </c>
      <c r="AX2468" s="53">
        <f t="shared" si="426"/>
        <v>0</v>
      </c>
      <c r="AY2468" s="41" t="s">
        <v>557</v>
      </c>
    </row>
    <row r="2469" spans="1:51" x14ac:dyDescent="0.2">
      <c r="A2469" s="41" t="s">
        <v>278</v>
      </c>
      <c r="B2469" s="41">
        <v>1927</v>
      </c>
      <c r="C2469" s="41" t="s">
        <v>91</v>
      </c>
      <c r="D2469" s="41" t="s">
        <v>88</v>
      </c>
      <c r="E2469" s="41">
        <v>0</v>
      </c>
      <c r="F2469" s="41" t="s">
        <v>584</v>
      </c>
      <c r="G2469" s="53">
        <v>28981.4</v>
      </c>
      <c r="I2469" s="47">
        <v>3.41</v>
      </c>
      <c r="J2469" s="47">
        <v>232.63779527559055</v>
      </c>
      <c r="K2469" s="47"/>
      <c r="L2469" s="41">
        <v>6.7</v>
      </c>
      <c r="M2469" s="41">
        <v>23.8</v>
      </c>
      <c r="R2469" s="76">
        <f t="shared" si="427"/>
        <v>0</v>
      </c>
      <c r="S2469" s="53"/>
      <c r="T2469" s="53">
        <v>49.413287000000011</v>
      </c>
      <c r="U2469" s="53">
        <v>5393.7352000000001</v>
      </c>
      <c r="X2469" s="76">
        <f t="shared" si="428"/>
        <v>3106.8060800000007</v>
      </c>
      <c r="Y2469" s="53">
        <v>1553.4030400000004</v>
      </c>
      <c r="Z2469" s="76">
        <f t="shared" si="428"/>
        <v>11036.117120000001</v>
      </c>
      <c r="AA2469" s="53">
        <v>5518.0585600000004</v>
      </c>
      <c r="AH2469" s="53">
        <f t="shared" si="429"/>
        <v>14838.476799999999</v>
      </c>
      <c r="AO2469" s="53">
        <f t="shared" si="425"/>
        <v>0</v>
      </c>
      <c r="AP2469" s="53">
        <f t="shared" si="425"/>
        <v>98826.574000000008</v>
      </c>
      <c r="AQ2469" s="53">
        <f t="shared" si="425"/>
        <v>6742169</v>
      </c>
      <c r="AR2469" s="53">
        <f t="shared" si="425"/>
        <v>0</v>
      </c>
      <c r="AS2469" s="53">
        <f t="shared" si="425"/>
        <v>194175.38</v>
      </c>
      <c r="AT2469" s="53">
        <f t="shared" si="425"/>
        <v>689757.32000000007</v>
      </c>
      <c r="AU2469" s="53">
        <f t="shared" si="425"/>
        <v>0</v>
      </c>
      <c r="AV2469" s="53">
        <f t="shared" si="425"/>
        <v>0</v>
      </c>
      <c r="AW2469" s="53">
        <f t="shared" si="425"/>
        <v>0</v>
      </c>
      <c r="AX2469" s="53">
        <f t="shared" si="426"/>
        <v>0</v>
      </c>
      <c r="AY2469" s="41" t="s">
        <v>557</v>
      </c>
    </row>
    <row r="2470" spans="1:51" x14ac:dyDescent="0.2">
      <c r="A2470" s="41" t="s">
        <v>278</v>
      </c>
      <c r="B2470" s="41">
        <v>1928</v>
      </c>
      <c r="C2470" s="41" t="s">
        <v>91</v>
      </c>
      <c r="D2470" s="41" t="s">
        <v>88</v>
      </c>
      <c r="E2470" s="41">
        <v>0</v>
      </c>
      <c r="F2470" s="41" t="s">
        <v>584</v>
      </c>
      <c r="G2470" s="53">
        <v>24713.184000000001</v>
      </c>
      <c r="I2470" s="47">
        <v>3.41</v>
      </c>
      <c r="J2470" s="47">
        <v>217.33267716535434</v>
      </c>
      <c r="K2470" s="47"/>
      <c r="L2470" s="41">
        <v>6.5</v>
      </c>
      <c r="M2470" s="41">
        <v>22.1</v>
      </c>
      <c r="R2470" s="76">
        <f t="shared" si="427"/>
        <v>0</v>
      </c>
      <c r="S2470" s="53"/>
      <c r="T2470" s="53">
        <v>42.135978720000004</v>
      </c>
      <c r="U2470" s="53">
        <v>4296.7859520000002</v>
      </c>
      <c r="X2470" s="76">
        <f t="shared" si="428"/>
        <v>2570.1711359999999</v>
      </c>
      <c r="Y2470" s="53">
        <v>1285.085568</v>
      </c>
      <c r="Z2470" s="76">
        <f t="shared" si="428"/>
        <v>8738.5818624000003</v>
      </c>
      <c r="AA2470" s="53">
        <v>4369.2909312000002</v>
      </c>
      <c r="AH2470" s="53">
        <f t="shared" si="429"/>
        <v>13404.4310016</v>
      </c>
      <c r="AO2470" s="53">
        <f t="shared" si="425"/>
        <v>0</v>
      </c>
      <c r="AP2470" s="53">
        <f t="shared" si="425"/>
        <v>84271.957440000013</v>
      </c>
      <c r="AQ2470" s="53">
        <f t="shared" si="425"/>
        <v>5370982.4400000004</v>
      </c>
      <c r="AR2470" s="53">
        <f t="shared" si="425"/>
        <v>0</v>
      </c>
      <c r="AS2470" s="53">
        <f t="shared" si="425"/>
        <v>160635.696</v>
      </c>
      <c r="AT2470" s="53">
        <f t="shared" si="425"/>
        <v>546161.36640000006</v>
      </c>
      <c r="AU2470" s="53">
        <f t="shared" si="425"/>
        <v>0</v>
      </c>
      <c r="AV2470" s="53">
        <f t="shared" si="425"/>
        <v>0</v>
      </c>
      <c r="AW2470" s="53">
        <f t="shared" si="425"/>
        <v>0</v>
      </c>
      <c r="AX2470" s="53">
        <f t="shared" si="426"/>
        <v>0</v>
      </c>
      <c r="AY2470" s="41" t="s">
        <v>557</v>
      </c>
    </row>
    <row r="2471" spans="1:51" x14ac:dyDescent="0.2">
      <c r="A2471" s="41" t="s">
        <v>278</v>
      </c>
      <c r="B2471" s="41">
        <v>1929</v>
      </c>
      <c r="C2471" s="41" t="s">
        <v>91</v>
      </c>
      <c r="D2471" s="41" t="s">
        <v>88</v>
      </c>
      <c r="E2471" s="41">
        <v>0</v>
      </c>
      <c r="F2471" s="41" t="s">
        <v>584</v>
      </c>
      <c r="G2471" s="53">
        <v>28849.32</v>
      </c>
      <c r="H2471" s="41">
        <v>0.56999999999999995</v>
      </c>
      <c r="I2471" s="47">
        <v>2.79</v>
      </c>
      <c r="J2471" s="47">
        <v>226.51574803149609</v>
      </c>
      <c r="K2471" s="47"/>
      <c r="L2471" s="41">
        <v>5.9</v>
      </c>
      <c r="M2471" s="41">
        <v>21.7</v>
      </c>
      <c r="R2471" s="76">
        <f t="shared" si="427"/>
        <v>493.32337199999995</v>
      </c>
      <c r="S2471" s="53">
        <v>82.220561999999987</v>
      </c>
      <c r="T2471" s="53">
        <v>40.2448014</v>
      </c>
      <c r="U2471" s="53">
        <v>5227.8602400000009</v>
      </c>
      <c r="X2471" s="76">
        <f t="shared" si="428"/>
        <v>2723.3758080000007</v>
      </c>
      <c r="Y2471" s="53">
        <v>1361.6879040000003</v>
      </c>
      <c r="Z2471" s="76">
        <f t="shared" si="428"/>
        <v>10016.483904000001</v>
      </c>
      <c r="AA2471" s="53">
        <v>5008.2419520000003</v>
      </c>
      <c r="AH2471" s="53">
        <f t="shared" si="429"/>
        <v>15616.136915999999</v>
      </c>
      <c r="AO2471" s="53">
        <f t="shared" si="425"/>
        <v>16444.112399999998</v>
      </c>
      <c r="AP2471" s="53">
        <f t="shared" si="425"/>
        <v>80489.602799999993</v>
      </c>
      <c r="AQ2471" s="53">
        <f t="shared" si="425"/>
        <v>6534825.3000000007</v>
      </c>
      <c r="AR2471" s="53">
        <f t="shared" si="425"/>
        <v>0</v>
      </c>
      <c r="AS2471" s="53">
        <f t="shared" si="425"/>
        <v>170210.98800000001</v>
      </c>
      <c r="AT2471" s="53">
        <f t="shared" si="425"/>
        <v>626030.24399999995</v>
      </c>
      <c r="AU2471" s="53">
        <f t="shared" si="425"/>
        <v>0</v>
      </c>
      <c r="AV2471" s="53">
        <f t="shared" si="425"/>
        <v>0</v>
      </c>
      <c r="AW2471" s="53">
        <f t="shared" si="425"/>
        <v>0</v>
      </c>
      <c r="AX2471" s="53">
        <f t="shared" si="426"/>
        <v>0</v>
      </c>
      <c r="AY2471" s="41" t="s">
        <v>557</v>
      </c>
    </row>
    <row r="2472" spans="1:51" x14ac:dyDescent="0.2">
      <c r="A2472" s="41" t="s">
        <v>278</v>
      </c>
      <c r="B2472" s="41">
        <v>1930</v>
      </c>
      <c r="C2472" s="41" t="s">
        <v>91</v>
      </c>
      <c r="D2472" s="41" t="s">
        <v>88</v>
      </c>
      <c r="E2472" s="41">
        <v>0</v>
      </c>
      <c r="F2472" s="41" t="s">
        <v>584</v>
      </c>
      <c r="G2472" s="53">
        <v>26295.096000000001</v>
      </c>
      <c r="H2472" s="41">
        <v>0.5</v>
      </c>
      <c r="I2472" s="46">
        <v>3.2860000000000005</v>
      </c>
      <c r="J2472" s="47">
        <v>260.18700787401576</v>
      </c>
      <c r="K2472" s="46"/>
      <c r="L2472" s="41">
        <v>6.4</v>
      </c>
      <c r="M2472" s="41">
        <v>21.3</v>
      </c>
      <c r="R2472" s="76">
        <f t="shared" si="427"/>
        <v>394.42644000000001</v>
      </c>
      <c r="S2472" s="53">
        <v>65.737740000000002</v>
      </c>
      <c r="T2472" s="53">
        <v>43.202842728000007</v>
      </c>
      <c r="U2472" s="53">
        <v>5473.3138800000006</v>
      </c>
      <c r="X2472" s="76">
        <f t="shared" si="428"/>
        <v>2692.6178304000005</v>
      </c>
      <c r="Y2472" s="53">
        <v>1346.3089152000002</v>
      </c>
      <c r="Z2472" s="76">
        <f t="shared" si="428"/>
        <v>8961.3687168000015</v>
      </c>
      <c r="AA2472" s="53">
        <v>4480.6843584000007</v>
      </c>
      <c r="AH2472" s="53">
        <f t="shared" si="429"/>
        <v>14246.683012800002</v>
      </c>
      <c r="AO2472" s="53">
        <f t="shared" si="425"/>
        <v>13147.548000000001</v>
      </c>
      <c r="AP2472" s="53">
        <f t="shared" si="425"/>
        <v>86405.685456000021</v>
      </c>
      <c r="AQ2472" s="53">
        <f t="shared" si="425"/>
        <v>6841642.3500000006</v>
      </c>
      <c r="AR2472" s="53">
        <f t="shared" si="425"/>
        <v>0</v>
      </c>
      <c r="AS2472" s="53">
        <f t="shared" si="425"/>
        <v>168288.61440000002</v>
      </c>
      <c r="AT2472" s="53">
        <f t="shared" si="425"/>
        <v>560085.54480000003</v>
      </c>
      <c r="AU2472" s="53">
        <f t="shared" si="425"/>
        <v>0</v>
      </c>
      <c r="AV2472" s="53">
        <f t="shared" si="425"/>
        <v>0</v>
      </c>
      <c r="AW2472" s="53">
        <f t="shared" si="425"/>
        <v>0</v>
      </c>
      <c r="AX2472" s="53">
        <f t="shared" si="426"/>
        <v>0</v>
      </c>
      <c r="AY2472" s="41" t="s">
        <v>557</v>
      </c>
    </row>
    <row r="2473" spans="1:51" x14ac:dyDescent="0.2">
      <c r="A2473" s="41" t="s">
        <v>278</v>
      </c>
      <c r="B2473" s="41">
        <v>1931</v>
      </c>
      <c r="C2473" s="41" t="s">
        <v>91</v>
      </c>
      <c r="D2473" s="41" t="s">
        <v>88</v>
      </c>
      <c r="E2473" s="41">
        <v>0</v>
      </c>
      <c r="F2473" s="41" t="s">
        <v>584</v>
      </c>
      <c r="G2473" s="53">
        <v>8229.6</v>
      </c>
      <c r="H2473" s="41">
        <v>0.5</v>
      </c>
      <c r="I2473" s="47">
        <v>2.79</v>
      </c>
      <c r="J2473" s="47">
        <v>214.27165354330711</v>
      </c>
      <c r="K2473" s="47"/>
      <c r="L2473" s="47">
        <v>6</v>
      </c>
      <c r="M2473" s="47">
        <v>21</v>
      </c>
      <c r="R2473" s="76">
        <f t="shared" si="427"/>
        <v>123.44400000000002</v>
      </c>
      <c r="S2473" s="53">
        <v>20.574000000000002</v>
      </c>
      <c r="T2473" s="53">
        <v>11.480292000000002</v>
      </c>
      <c r="U2473" s="53">
        <v>1410.6960000000001</v>
      </c>
      <c r="X2473" s="76">
        <f t="shared" si="428"/>
        <v>790.04160000000002</v>
      </c>
      <c r="Y2473" s="53">
        <v>395.02080000000001</v>
      </c>
      <c r="Z2473" s="76">
        <f t="shared" si="428"/>
        <v>2765.1455999999998</v>
      </c>
      <c r="AA2473" s="53">
        <v>1382.5727999999999</v>
      </c>
      <c r="AH2473" s="53">
        <f t="shared" si="429"/>
        <v>4550.9688000000006</v>
      </c>
      <c r="AO2473" s="53">
        <f t="shared" si="425"/>
        <v>4114.8</v>
      </c>
      <c r="AP2473" s="53">
        <f t="shared" si="425"/>
        <v>22960.584000000003</v>
      </c>
      <c r="AQ2473" s="53">
        <f t="shared" si="425"/>
        <v>1763370.0000000002</v>
      </c>
      <c r="AR2473" s="53">
        <f t="shared" si="425"/>
        <v>0</v>
      </c>
      <c r="AS2473" s="53">
        <f t="shared" si="425"/>
        <v>49377.600000000006</v>
      </c>
      <c r="AT2473" s="53">
        <f t="shared" si="425"/>
        <v>172821.6</v>
      </c>
      <c r="AU2473" s="53">
        <f t="shared" si="425"/>
        <v>0</v>
      </c>
      <c r="AV2473" s="53">
        <f t="shared" si="425"/>
        <v>0</v>
      </c>
      <c r="AW2473" s="53">
        <f t="shared" si="425"/>
        <v>0</v>
      </c>
      <c r="AX2473" s="53">
        <f t="shared" si="426"/>
        <v>0</v>
      </c>
      <c r="AY2473" s="41" t="s">
        <v>557</v>
      </c>
    </row>
    <row r="2474" spans="1:51" x14ac:dyDescent="0.2">
      <c r="A2474" s="41" t="s">
        <v>278</v>
      </c>
      <c r="B2474" s="41">
        <v>1936</v>
      </c>
      <c r="C2474" s="41" t="s">
        <v>91</v>
      </c>
      <c r="D2474" s="41" t="s">
        <v>88</v>
      </c>
      <c r="E2474" s="41">
        <v>0</v>
      </c>
      <c r="F2474" s="41" t="s">
        <v>584</v>
      </c>
      <c r="G2474" s="53">
        <v>48000</v>
      </c>
      <c r="H2474" s="53"/>
      <c r="L2474" s="45">
        <v>7.8125</v>
      </c>
      <c r="M2474" s="45">
        <v>21.438626126126128</v>
      </c>
      <c r="R2474" s="76">
        <f t="shared" si="427"/>
        <v>0</v>
      </c>
      <c r="T2474" s="41">
        <v>50</v>
      </c>
      <c r="X2474" s="76">
        <f t="shared" si="428"/>
        <v>6000</v>
      </c>
      <c r="Y2474" s="53">
        <v>3000</v>
      </c>
      <c r="Z2474" s="76">
        <f t="shared" si="428"/>
        <v>15474</v>
      </c>
      <c r="AA2474" s="53">
        <v>7737</v>
      </c>
      <c r="AH2474" s="53">
        <f t="shared" si="429"/>
        <v>26526</v>
      </c>
      <c r="AO2474" s="53">
        <f t="shared" si="425"/>
        <v>0</v>
      </c>
      <c r="AP2474" s="53">
        <f t="shared" si="425"/>
        <v>0</v>
      </c>
      <c r="AQ2474" s="53">
        <f t="shared" si="425"/>
        <v>0</v>
      </c>
      <c r="AR2474" s="53">
        <f t="shared" si="425"/>
        <v>0</v>
      </c>
      <c r="AS2474" s="53">
        <f t="shared" si="425"/>
        <v>375000</v>
      </c>
      <c r="AT2474" s="53">
        <f t="shared" si="425"/>
        <v>1029054.0540540541</v>
      </c>
      <c r="AU2474" s="53">
        <f t="shared" si="425"/>
        <v>0</v>
      </c>
      <c r="AV2474" s="53">
        <f t="shared" si="425"/>
        <v>0</v>
      </c>
      <c r="AW2474" s="53">
        <f t="shared" si="425"/>
        <v>0</v>
      </c>
      <c r="AX2474" s="53">
        <f t="shared" si="426"/>
        <v>0</v>
      </c>
      <c r="AY2474" s="41" t="s">
        <v>557</v>
      </c>
    </row>
    <row r="2475" spans="1:51" x14ac:dyDescent="0.2">
      <c r="A2475" s="41" t="s">
        <v>278</v>
      </c>
      <c r="B2475" s="41">
        <v>1937</v>
      </c>
      <c r="C2475" s="41" t="s">
        <v>91</v>
      </c>
      <c r="D2475" s="41" t="s">
        <v>88</v>
      </c>
      <c r="E2475" s="41">
        <v>0</v>
      </c>
      <c r="F2475" s="41" t="s">
        <v>584</v>
      </c>
      <c r="G2475" s="53">
        <v>151784.304</v>
      </c>
      <c r="H2475" s="53"/>
      <c r="I2475" s="46">
        <v>3.0798799101877394</v>
      </c>
      <c r="J2475" s="47">
        <v>216.99690722522493</v>
      </c>
      <c r="K2475" s="46"/>
      <c r="L2475" s="46">
        <v>6.2686587145400745</v>
      </c>
      <c r="M2475" s="46">
        <v>21.239863100982024</v>
      </c>
      <c r="R2475" s="76">
        <f t="shared" si="427"/>
        <v>0</v>
      </c>
      <c r="S2475" s="53"/>
      <c r="T2475" s="53">
        <v>327.23419999999999</v>
      </c>
      <c r="U2475" s="53">
        <v>24702.543400000002</v>
      </c>
      <c r="X2475" s="76">
        <f t="shared" si="428"/>
        <v>15223.744000000001</v>
      </c>
      <c r="Y2475" s="53">
        <v>7611.8720000000003</v>
      </c>
      <c r="Z2475" s="76">
        <f t="shared" si="428"/>
        <v>47713.392</v>
      </c>
      <c r="AA2475" s="53">
        <v>23856.696</v>
      </c>
      <c r="AH2475" s="53">
        <f t="shared" si="429"/>
        <v>88847.168000000005</v>
      </c>
      <c r="AO2475" s="53">
        <f t="shared" si="425"/>
        <v>0</v>
      </c>
      <c r="AP2475" s="53">
        <f t="shared" si="425"/>
        <v>467477.42857142858</v>
      </c>
      <c r="AQ2475" s="53">
        <f t="shared" si="425"/>
        <v>32936724.533333339</v>
      </c>
      <c r="AR2475" s="53">
        <f t="shared" si="425"/>
        <v>0</v>
      </c>
      <c r="AS2475" s="53">
        <f t="shared" si="425"/>
        <v>951483.99999999988</v>
      </c>
      <c r="AT2475" s="53">
        <f t="shared" si="425"/>
        <v>3223877.8378378386</v>
      </c>
      <c r="AU2475" s="53">
        <f t="shared" si="425"/>
        <v>0</v>
      </c>
      <c r="AV2475" s="53">
        <f t="shared" si="425"/>
        <v>0</v>
      </c>
      <c r="AW2475" s="53">
        <f t="shared" si="425"/>
        <v>0</v>
      </c>
      <c r="AX2475" s="53">
        <f t="shared" si="426"/>
        <v>0</v>
      </c>
      <c r="AY2475" s="41" t="s">
        <v>557</v>
      </c>
    </row>
    <row r="2476" spans="1:51" x14ac:dyDescent="0.2">
      <c r="A2476" s="41" t="s">
        <v>278</v>
      </c>
      <c r="B2476" s="41">
        <v>1938</v>
      </c>
      <c r="C2476" s="41" t="s">
        <v>91</v>
      </c>
      <c r="D2476" s="41" t="s">
        <v>88</v>
      </c>
      <c r="E2476" s="41">
        <v>0</v>
      </c>
      <c r="F2476" s="41" t="s">
        <v>584</v>
      </c>
      <c r="G2476" s="53">
        <v>158109.92000000001</v>
      </c>
      <c r="H2476" s="53"/>
      <c r="I2476" s="46">
        <v>3.4540274259831389</v>
      </c>
      <c r="J2476" s="47">
        <v>243.84069850477019</v>
      </c>
      <c r="K2476" s="46"/>
      <c r="L2476" s="46">
        <v>6.8885747333247656</v>
      </c>
      <c r="M2476" s="46">
        <v>21.79425280569092</v>
      </c>
      <c r="R2476" s="76">
        <f t="shared" si="427"/>
        <v>0</v>
      </c>
      <c r="S2476" s="53"/>
      <c r="T2476" s="53">
        <v>382.28120000000001</v>
      </c>
      <c r="U2476" s="53">
        <v>28915.224999999999</v>
      </c>
      <c r="X2476" s="76">
        <f t="shared" si="428"/>
        <v>17426.432000000001</v>
      </c>
      <c r="Y2476" s="53">
        <v>8713.2160000000003</v>
      </c>
      <c r="Z2476" s="76">
        <f t="shared" si="428"/>
        <v>50999.135999999999</v>
      </c>
      <c r="AA2476" s="53">
        <v>25499.567999999999</v>
      </c>
      <c r="AH2476" s="53">
        <f t="shared" si="429"/>
        <v>89684.352000000014</v>
      </c>
      <c r="AO2476" s="53">
        <f t="shared" si="425"/>
        <v>0</v>
      </c>
      <c r="AP2476" s="53">
        <f t="shared" si="425"/>
        <v>546116.00000000012</v>
      </c>
      <c r="AQ2476" s="53">
        <f t="shared" si="425"/>
        <v>38553633.333333336</v>
      </c>
      <c r="AR2476" s="53">
        <f t="shared" si="425"/>
        <v>0</v>
      </c>
      <c r="AS2476" s="53">
        <f t="shared" si="425"/>
        <v>1089152</v>
      </c>
      <c r="AT2476" s="53">
        <f t="shared" si="425"/>
        <v>3445887.5675675673</v>
      </c>
      <c r="AU2476" s="53">
        <f t="shared" si="425"/>
        <v>0</v>
      </c>
      <c r="AV2476" s="53">
        <f t="shared" si="425"/>
        <v>0</v>
      </c>
      <c r="AW2476" s="53">
        <f t="shared" si="425"/>
        <v>0</v>
      </c>
      <c r="AX2476" s="53">
        <f t="shared" si="426"/>
        <v>0</v>
      </c>
      <c r="AY2476" s="41" t="s">
        <v>557</v>
      </c>
    </row>
    <row r="2477" spans="1:51" x14ac:dyDescent="0.2">
      <c r="A2477" s="41" t="s">
        <v>278</v>
      </c>
      <c r="B2477" s="41">
        <v>1939</v>
      </c>
      <c r="C2477" s="41" t="s">
        <v>91</v>
      </c>
      <c r="D2477" s="41" t="s">
        <v>88</v>
      </c>
      <c r="E2477" s="41">
        <v>0</v>
      </c>
      <c r="F2477" s="41" t="s">
        <v>584</v>
      </c>
      <c r="G2477" s="53">
        <v>160824.67199999999</v>
      </c>
      <c r="I2477" s="46">
        <v>3.2860000000000005</v>
      </c>
      <c r="J2477" s="47">
        <v>260.18700787401576</v>
      </c>
      <c r="K2477" s="46"/>
      <c r="L2477" s="47">
        <v>6.4</v>
      </c>
      <c r="M2477" s="41">
        <v>21.3</v>
      </c>
      <c r="R2477" s="76">
        <f t="shared" si="427"/>
        <v>0</v>
      </c>
      <c r="S2477" s="53"/>
      <c r="T2477" s="53">
        <v>364.27429999999998</v>
      </c>
      <c r="U2477" s="53">
        <v>29163.620700000003</v>
      </c>
      <c r="X2477" s="76">
        <f t="shared" si="428"/>
        <v>17302.48</v>
      </c>
      <c r="Y2477" s="53">
        <v>8651.24</v>
      </c>
      <c r="Z2477" s="76">
        <f t="shared" si="428"/>
        <v>50840.639999999999</v>
      </c>
      <c r="AA2477" s="53">
        <v>25420.32</v>
      </c>
      <c r="AH2477" s="53">
        <f t="shared" si="429"/>
        <v>92681.551999999981</v>
      </c>
      <c r="AO2477" s="53">
        <f t="shared" si="425"/>
        <v>0</v>
      </c>
      <c r="AP2477" s="53">
        <f t="shared" si="425"/>
        <v>528469.87219200004</v>
      </c>
      <c r="AQ2477" s="53">
        <f t="shared" si="425"/>
        <v>41844490.200000003</v>
      </c>
      <c r="AR2477" s="53">
        <f t="shared" si="425"/>
        <v>0</v>
      </c>
      <c r="AS2477" s="53">
        <f t="shared" si="425"/>
        <v>1029277.9007999999</v>
      </c>
      <c r="AT2477" s="53">
        <f t="shared" si="425"/>
        <v>3425565.5135999997</v>
      </c>
      <c r="AU2477" s="53">
        <f t="shared" si="425"/>
        <v>0</v>
      </c>
      <c r="AV2477" s="53">
        <f t="shared" si="425"/>
        <v>0</v>
      </c>
      <c r="AW2477" s="53">
        <f t="shared" si="425"/>
        <v>0</v>
      </c>
      <c r="AX2477" s="53">
        <f t="shared" si="426"/>
        <v>0</v>
      </c>
      <c r="AY2477" s="41" t="s">
        <v>557</v>
      </c>
    </row>
    <row r="2478" spans="1:51" x14ac:dyDescent="0.2">
      <c r="A2478" s="41" t="s">
        <v>278</v>
      </c>
      <c r="B2478" s="41">
        <v>1940</v>
      </c>
      <c r="C2478" s="41" t="s">
        <v>91</v>
      </c>
      <c r="D2478" s="41" t="s">
        <v>88</v>
      </c>
      <c r="E2478" s="41">
        <v>0</v>
      </c>
      <c r="F2478" s="41" t="s">
        <v>584</v>
      </c>
      <c r="G2478" s="53">
        <v>161098.992</v>
      </c>
      <c r="H2478" s="53"/>
      <c r="I2478" s="46">
        <v>3.091817696076673</v>
      </c>
      <c r="J2478" s="47">
        <v>268.19731890894349</v>
      </c>
      <c r="K2478" s="46"/>
      <c r="L2478" s="46">
        <v>7.3181153113608559</v>
      </c>
      <c r="M2478" s="46">
        <v>22.265993999448423</v>
      </c>
      <c r="R2478" s="76">
        <f t="shared" si="427"/>
        <v>0</v>
      </c>
      <c r="S2478" s="53"/>
      <c r="T2478" s="53">
        <v>348.66210000000001</v>
      </c>
      <c r="U2478" s="53">
        <v>32404.738300000001</v>
      </c>
      <c r="X2478" s="76">
        <f t="shared" si="428"/>
        <v>18863.056</v>
      </c>
      <c r="Y2478" s="53">
        <v>9431.5280000000002</v>
      </c>
      <c r="Z2478" s="76">
        <f t="shared" si="428"/>
        <v>53088.031999999999</v>
      </c>
      <c r="AA2478" s="53">
        <v>26544.016</v>
      </c>
      <c r="AH2478" s="53">
        <f t="shared" si="429"/>
        <v>89147.90399999998</v>
      </c>
      <c r="AO2478" s="53">
        <f t="shared" si="425"/>
        <v>0</v>
      </c>
      <c r="AP2478" s="53">
        <f t="shared" si="425"/>
        <v>498088.71428571438</v>
      </c>
      <c r="AQ2478" s="53">
        <f t="shared" si="425"/>
        <v>43206317.733333334</v>
      </c>
      <c r="AR2478" s="53">
        <f t="shared" si="425"/>
        <v>0</v>
      </c>
      <c r="AS2478" s="53">
        <f t="shared" si="425"/>
        <v>1178941</v>
      </c>
      <c r="AT2478" s="53">
        <f t="shared" si="425"/>
        <v>3587029.1891891896</v>
      </c>
      <c r="AU2478" s="53">
        <f t="shared" si="425"/>
        <v>0</v>
      </c>
      <c r="AV2478" s="53">
        <f t="shared" si="425"/>
        <v>0</v>
      </c>
      <c r="AW2478" s="53">
        <f t="shared" si="425"/>
        <v>0</v>
      </c>
      <c r="AX2478" s="53">
        <f t="shared" si="426"/>
        <v>0</v>
      </c>
      <c r="AY2478" s="41" t="s">
        <v>557</v>
      </c>
    </row>
    <row r="2479" spans="1:51" x14ac:dyDescent="0.2">
      <c r="A2479" s="41" t="s">
        <v>278</v>
      </c>
      <c r="B2479" s="41">
        <v>1941</v>
      </c>
      <c r="C2479" s="41" t="s">
        <v>91</v>
      </c>
      <c r="D2479" s="41" t="s">
        <v>88</v>
      </c>
      <c r="E2479" s="41">
        <v>0</v>
      </c>
      <c r="F2479" s="41" t="s">
        <v>584</v>
      </c>
      <c r="G2479" s="53">
        <v>169921.93600000002</v>
      </c>
      <c r="H2479" s="53"/>
      <c r="I2479" s="46">
        <v>2.7582449978677266</v>
      </c>
      <c r="J2479" s="47">
        <v>229.48379557304477</v>
      </c>
      <c r="K2479" s="46"/>
      <c r="L2479" s="46">
        <v>6.5992235987706724</v>
      </c>
      <c r="M2479" s="46">
        <v>19.770706753056107</v>
      </c>
      <c r="R2479" s="76">
        <f t="shared" si="427"/>
        <v>0</v>
      </c>
      <c r="S2479" s="53"/>
      <c r="T2479" s="53">
        <v>328.08043099999998</v>
      </c>
      <c r="U2479" s="53">
        <v>29245.748118300002</v>
      </c>
      <c r="X2479" s="76">
        <f t="shared" si="428"/>
        <v>17941.6456</v>
      </c>
      <c r="Y2479" s="53">
        <v>8970.8227999999999</v>
      </c>
      <c r="Z2479" s="76">
        <f t="shared" si="428"/>
        <v>49720.256160000004</v>
      </c>
      <c r="AA2479" s="53">
        <v>24860.128080000002</v>
      </c>
      <c r="AH2479" s="53">
        <f t="shared" si="429"/>
        <v>102260.03424000002</v>
      </c>
      <c r="AO2479" s="53">
        <f t="shared" si="425"/>
        <v>0</v>
      </c>
      <c r="AP2479" s="53">
        <f t="shared" si="425"/>
        <v>468686.33</v>
      </c>
      <c r="AQ2479" s="53">
        <f t="shared" si="425"/>
        <v>38994330.8244</v>
      </c>
      <c r="AR2479" s="53">
        <f t="shared" si="425"/>
        <v>0</v>
      </c>
      <c r="AS2479" s="53">
        <f t="shared" si="425"/>
        <v>1121352.8500000001</v>
      </c>
      <c r="AT2479" s="53">
        <f t="shared" si="425"/>
        <v>3359476.767567568</v>
      </c>
      <c r="AU2479" s="53">
        <f t="shared" si="425"/>
        <v>0</v>
      </c>
      <c r="AV2479" s="53">
        <f t="shared" si="425"/>
        <v>0</v>
      </c>
      <c r="AW2479" s="53">
        <f t="shared" si="425"/>
        <v>0</v>
      </c>
      <c r="AX2479" s="53">
        <f t="shared" si="426"/>
        <v>0</v>
      </c>
      <c r="AY2479" s="41" t="s">
        <v>557</v>
      </c>
    </row>
    <row r="2480" spans="1:51" x14ac:dyDescent="0.2">
      <c r="A2480" s="41" t="s">
        <v>278</v>
      </c>
      <c r="B2480" s="41">
        <v>1942</v>
      </c>
      <c r="C2480" s="41" t="s">
        <v>91</v>
      </c>
      <c r="D2480" s="41" t="s">
        <v>88</v>
      </c>
      <c r="E2480" s="41">
        <v>0</v>
      </c>
      <c r="F2480" s="41" t="s">
        <v>584</v>
      </c>
      <c r="G2480" s="53">
        <v>161195.51199999999</v>
      </c>
      <c r="H2480" s="46">
        <v>0.66745242882444522</v>
      </c>
      <c r="I2480" s="46">
        <v>2.7242583528007907</v>
      </c>
      <c r="J2480" s="47">
        <v>243.56049140292859</v>
      </c>
      <c r="K2480" s="46"/>
      <c r="L2480" s="46">
        <v>5.9573639990671694</v>
      </c>
      <c r="M2480" s="46">
        <v>18.28876469705428</v>
      </c>
      <c r="R2480" s="76">
        <f t="shared" si="427"/>
        <v>3227.7100799999998</v>
      </c>
      <c r="S2480" s="53">
        <v>537.95168000000001</v>
      </c>
      <c r="T2480" s="53">
        <v>307.39675399999999</v>
      </c>
      <c r="U2480" s="53">
        <v>29445.643586000002</v>
      </c>
      <c r="X2480" s="76">
        <f t="shared" si="428"/>
        <v>15364.80544</v>
      </c>
      <c r="Y2480" s="53">
        <v>7682.40272</v>
      </c>
      <c r="Z2480" s="76">
        <f t="shared" si="428"/>
        <v>43631.388480000001</v>
      </c>
      <c r="AA2480" s="53">
        <v>21815.694240000001</v>
      </c>
      <c r="AH2480" s="53">
        <f t="shared" si="429"/>
        <v>98971.608000000007</v>
      </c>
      <c r="AO2480" s="53">
        <f t="shared" si="425"/>
        <v>107590.336</v>
      </c>
      <c r="AP2480" s="53">
        <f t="shared" si="425"/>
        <v>439138.22000000003</v>
      </c>
      <c r="AQ2480" s="53">
        <f t="shared" si="425"/>
        <v>39260858.114666671</v>
      </c>
      <c r="AR2480" s="53">
        <f t="shared" si="425"/>
        <v>0</v>
      </c>
      <c r="AS2480" s="53">
        <f t="shared" si="425"/>
        <v>960300.33999999985</v>
      </c>
      <c r="AT2480" s="53">
        <f t="shared" si="425"/>
        <v>2948066.7891891892</v>
      </c>
      <c r="AU2480" s="53">
        <f t="shared" si="425"/>
        <v>0</v>
      </c>
      <c r="AV2480" s="53">
        <f t="shared" si="425"/>
        <v>0</v>
      </c>
      <c r="AW2480" s="53">
        <f t="shared" si="425"/>
        <v>0</v>
      </c>
      <c r="AX2480" s="53">
        <f t="shared" si="426"/>
        <v>0</v>
      </c>
      <c r="AY2480" s="41" t="s">
        <v>557</v>
      </c>
    </row>
    <row r="2481" spans="1:51" x14ac:dyDescent="0.2">
      <c r="A2481" s="41" t="s">
        <v>278</v>
      </c>
      <c r="B2481" s="41">
        <v>1943</v>
      </c>
      <c r="C2481" s="41" t="s">
        <v>91</v>
      </c>
      <c r="D2481" s="41" t="s">
        <v>88</v>
      </c>
      <c r="E2481" s="41">
        <v>0</v>
      </c>
      <c r="F2481" s="41" t="s">
        <v>584</v>
      </c>
      <c r="G2481" s="53">
        <v>154394.408</v>
      </c>
      <c r="H2481" s="46">
        <v>0.61117508867290071</v>
      </c>
      <c r="I2481" s="46">
        <v>2.7391868178467784</v>
      </c>
      <c r="J2481" s="47">
        <v>236.12815544459355</v>
      </c>
      <c r="K2481" s="46"/>
      <c r="L2481" s="46">
        <v>5.7362318459098605</v>
      </c>
      <c r="M2481" s="46">
        <v>18.744649969026959</v>
      </c>
      <c r="R2481" s="76">
        <f t="shared" si="427"/>
        <v>2830.8604800000003</v>
      </c>
      <c r="S2481" s="53">
        <v>471.81008000000003</v>
      </c>
      <c r="T2481" s="53">
        <v>296.04058899999995</v>
      </c>
      <c r="U2481" s="53">
        <v>27342.650078999999</v>
      </c>
      <c r="X2481" s="76">
        <f t="shared" si="428"/>
        <v>14170.273920000001</v>
      </c>
      <c r="Y2481" s="53">
        <v>7085.1369600000007</v>
      </c>
      <c r="Z2481" s="76">
        <f t="shared" si="428"/>
        <v>42832.2232</v>
      </c>
      <c r="AA2481" s="53">
        <v>21416.1116</v>
      </c>
      <c r="AH2481" s="53">
        <f t="shared" si="429"/>
        <v>94561.050399999978</v>
      </c>
      <c r="AO2481" s="53">
        <f t="shared" si="425"/>
        <v>94362.016000000003</v>
      </c>
      <c r="AP2481" s="53">
        <f t="shared" si="425"/>
        <v>422915.12714285718</v>
      </c>
      <c r="AQ2481" s="53">
        <f t="shared" si="425"/>
        <v>36456866.772</v>
      </c>
      <c r="AR2481" s="53">
        <f t="shared" si="425"/>
        <v>0</v>
      </c>
      <c r="AS2481" s="53">
        <f t="shared" si="425"/>
        <v>885642.12000000011</v>
      </c>
      <c r="AT2481" s="53">
        <f t="shared" si="425"/>
        <v>2894069.1351351356</v>
      </c>
      <c r="AU2481" s="53">
        <f t="shared" si="425"/>
        <v>0</v>
      </c>
      <c r="AV2481" s="53">
        <f t="shared" si="425"/>
        <v>0</v>
      </c>
      <c r="AW2481" s="53">
        <f t="shared" si="425"/>
        <v>0</v>
      </c>
      <c r="AX2481" s="53">
        <f t="shared" si="426"/>
        <v>0</v>
      </c>
      <c r="AY2481" s="41" t="s">
        <v>557</v>
      </c>
    </row>
    <row r="2482" spans="1:51" x14ac:dyDescent="0.2">
      <c r="A2482" s="41" t="s">
        <v>278</v>
      </c>
      <c r="B2482" s="41">
        <v>1944</v>
      </c>
      <c r="C2482" s="41" t="s">
        <v>91</v>
      </c>
      <c r="D2482" s="41" t="s">
        <v>88</v>
      </c>
      <c r="E2482" s="41">
        <v>0</v>
      </c>
      <c r="F2482" s="41" t="s">
        <v>584</v>
      </c>
      <c r="G2482" s="53">
        <v>151276.304</v>
      </c>
      <c r="H2482" s="46">
        <v>0.51278090453611291</v>
      </c>
      <c r="I2482" s="46">
        <v>0.21865922900919105</v>
      </c>
      <c r="J2482" s="47">
        <v>232.03295320241739</v>
      </c>
      <c r="K2482" s="46"/>
      <c r="L2482" s="46">
        <v>5.9089855870619363</v>
      </c>
      <c r="M2482" s="46">
        <v>18.908018728360716</v>
      </c>
      <c r="R2482" s="76">
        <f t="shared" si="427"/>
        <v>2327.1480000000001</v>
      </c>
      <c r="S2482" s="53">
        <v>387.858</v>
      </c>
      <c r="T2482" s="53">
        <v>23.154572000000002</v>
      </c>
      <c r="U2482" s="53">
        <v>26325.815675000002</v>
      </c>
      <c r="X2482" s="76">
        <f t="shared" si="428"/>
        <v>14302.232</v>
      </c>
      <c r="Y2482" s="53">
        <v>7151.116</v>
      </c>
      <c r="Z2482" s="76">
        <f t="shared" si="428"/>
        <v>42332.960800000001</v>
      </c>
      <c r="AA2482" s="53">
        <v>21166.4804</v>
      </c>
      <c r="AH2482" s="53">
        <f t="shared" si="429"/>
        <v>92313.963200000027</v>
      </c>
      <c r="AO2482" s="53">
        <f t="shared" si="425"/>
        <v>77571.599999999991</v>
      </c>
      <c r="AP2482" s="53">
        <f t="shared" si="425"/>
        <v>33077.960000000006</v>
      </c>
      <c r="AQ2482" s="53">
        <f t="shared" si="425"/>
        <v>35101087.56666667</v>
      </c>
      <c r="AR2482" s="53">
        <f t="shared" si="425"/>
        <v>0</v>
      </c>
      <c r="AS2482" s="53">
        <f t="shared" si="425"/>
        <v>893889.5</v>
      </c>
      <c r="AT2482" s="53">
        <f t="shared" si="425"/>
        <v>2860335.1891891891</v>
      </c>
      <c r="AU2482" s="53">
        <f t="shared" si="425"/>
        <v>0</v>
      </c>
      <c r="AV2482" s="53">
        <f t="shared" si="425"/>
        <v>0</v>
      </c>
      <c r="AW2482" s="53">
        <f t="shared" si="425"/>
        <v>0</v>
      </c>
      <c r="AX2482" s="53">
        <f t="shared" si="426"/>
        <v>0</v>
      </c>
      <c r="AY2482" s="41" t="s">
        <v>557</v>
      </c>
    </row>
    <row r="2483" spans="1:51" x14ac:dyDescent="0.2">
      <c r="A2483" s="41" t="s">
        <v>278</v>
      </c>
      <c r="B2483" s="41">
        <v>1945</v>
      </c>
      <c r="C2483" s="41" t="s">
        <v>91</v>
      </c>
      <c r="D2483" s="41" t="s">
        <v>88</v>
      </c>
      <c r="E2483" s="41">
        <v>0</v>
      </c>
      <c r="F2483" s="41" t="s">
        <v>584</v>
      </c>
      <c r="G2483" s="53">
        <v>110546.89600000001</v>
      </c>
      <c r="H2483" s="46">
        <v>0.50642427807290036</v>
      </c>
      <c r="I2483" s="46">
        <v>3.0056621787527558</v>
      </c>
      <c r="J2483" s="47">
        <v>245.89444004530586</v>
      </c>
      <c r="K2483" s="46"/>
      <c r="L2483" s="46">
        <v>5.902064224399389</v>
      </c>
      <c r="M2483" s="46">
        <v>19.38652528601612</v>
      </c>
      <c r="R2483" s="76">
        <f t="shared" si="427"/>
        <v>1679.5089600000001</v>
      </c>
      <c r="S2483" s="53">
        <v>279.91816</v>
      </c>
      <c r="T2483" s="53">
        <v>232.58663700000002</v>
      </c>
      <c r="U2483" s="53">
        <v>20387.150318</v>
      </c>
      <c r="X2483" s="76">
        <f t="shared" si="428"/>
        <v>10439.27808</v>
      </c>
      <c r="Y2483" s="53">
        <v>5219.63904</v>
      </c>
      <c r="Z2483" s="76">
        <f t="shared" si="428"/>
        <v>31718.178879999999</v>
      </c>
      <c r="AA2483" s="53">
        <v>15859.08944</v>
      </c>
      <c r="AH2483" s="53">
        <f t="shared" si="429"/>
        <v>66709.930079999991</v>
      </c>
      <c r="AO2483" s="53">
        <f t="shared" si="425"/>
        <v>55983.631999999998</v>
      </c>
      <c r="AP2483" s="53">
        <f t="shared" si="425"/>
        <v>332266.62428571435</v>
      </c>
      <c r="AQ2483" s="53">
        <f t="shared" si="425"/>
        <v>27182867.090666663</v>
      </c>
      <c r="AR2483" s="53">
        <f t="shared" si="425"/>
        <v>0</v>
      </c>
      <c r="AS2483" s="53">
        <f t="shared" si="425"/>
        <v>652454.88</v>
      </c>
      <c r="AT2483" s="53">
        <f t="shared" si="425"/>
        <v>2143120.1945945942</v>
      </c>
      <c r="AU2483" s="53">
        <f t="shared" si="425"/>
        <v>0</v>
      </c>
      <c r="AV2483" s="53">
        <f t="shared" si="425"/>
        <v>0</v>
      </c>
      <c r="AW2483" s="53">
        <f t="shared" si="425"/>
        <v>0</v>
      </c>
      <c r="AX2483" s="53">
        <f t="shared" si="426"/>
        <v>0</v>
      </c>
      <c r="AY2483" s="41" t="s">
        <v>557</v>
      </c>
    </row>
    <row r="2484" spans="1:51" x14ac:dyDescent="0.2">
      <c r="A2484" s="41" t="s">
        <v>278</v>
      </c>
      <c r="B2484" s="41">
        <v>1946</v>
      </c>
      <c r="C2484" s="41" t="s">
        <v>91</v>
      </c>
      <c r="D2484" s="41" t="s">
        <v>88</v>
      </c>
      <c r="E2484" s="41">
        <v>0</v>
      </c>
      <c r="F2484" s="41" t="s">
        <v>584</v>
      </c>
      <c r="G2484" s="53">
        <v>126556.008</v>
      </c>
      <c r="H2484" s="46">
        <v>0.39478817947544614</v>
      </c>
      <c r="I2484" s="46">
        <v>2.8257511883592281</v>
      </c>
      <c r="J2484" s="47">
        <v>238.4175122000793</v>
      </c>
      <c r="K2484" s="46"/>
      <c r="L2484" s="46">
        <v>5.7436598347823997</v>
      </c>
      <c r="M2484" s="46">
        <v>19.516966449843792</v>
      </c>
      <c r="R2484" s="76">
        <f t="shared" si="427"/>
        <v>1498.8844799999999</v>
      </c>
      <c r="S2484" s="53">
        <v>249.81407999999999</v>
      </c>
      <c r="T2484" s="53">
        <v>250.331053</v>
      </c>
      <c r="U2484" s="53">
        <v>22629.876436000002</v>
      </c>
      <c r="X2484" s="76">
        <f t="shared" si="428"/>
        <v>11630.314560000001</v>
      </c>
      <c r="Y2484" s="53">
        <v>5815.1572800000004</v>
      </c>
      <c r="Z2484" s="76">
        <f t="shared" si="428"/>
        <v>36555.842560000005</v>
      </c>
      <c r="AA2484" s="53">
        <v>18277.921280000002</v>
      </c>
      <c r="AH2484" s="53">
        <f t="shared" si="429"/>
        <v>76870.966400000005</v>
      </c>
      <c r="AO2484" s="53">
        <f t="shared" si="425"/>
        <v>49962.815999999999</v>
      </c>
      <c r="AP2484" s="53">
        <f t="shared" si="425"/>
        <v>357615.79</v>
      </c>
      <c r="AQ2484" s="53">
        <f t="shared" si="425"/>
        <v>30173168.581333335</v>
      </c>
      <c r="AR2484" s="53">
        <f t="shared" si="425"/>
        <v>0</v>
      </c>
      <c r="AS2484" s="53">
        <f t="shared" si="425"/>
        <v>726894.66</v>
      </c>
      <c r="AT2484" s="53">
        <f t="shared" si="425"/>
        <v>2469989.3621621625</v>
      </c>
      <c r="AU2484" s="53">
        <f t="shared" si="425"/>
        <v>0</v>
      </c>
      <c r="AV2484" s="53">
        <f t="shared" si="425"/>
        <v>0</v>
      </c>
      <c r="AW2484" s="53">
        <f t="shared" si="425"/>
        <v>0</v>
      </c>
      <c r="AX2484" s="53">
        <f t="shared" si="426"/>
        <v>0</v>
      </c>
      <c r="AY2484" s="41" t="s">
        <v>557</v>
      </c>
    </row>
    <row r="2485" spans="1:51" x14ac:dyDescent="0.2">
      <c r="A2485" s="41" t="s">
        <v>278</v>
      </c>
      <c r="B2485" s="41">
        <v>1947</v>
      </c>
      <c r="C2485" s="41" t="s">
        <v>91</v>
      </c>
      <c r="D2485" s="41" t="s">
        <v>88</v>
      </c>
      <c r="E2485" s="41">
        <v>0</v>
      </c>
      <c r="F2485" s="41" t="s">
        <v>584</v>
      </c>
      <c r="G2485" s="53">
        <v>123533.408</v>
      </c>
      <c r="H2485" s="46">
        <v>0.47095108069875319</v>
      </c>
      <c r="I2485" s="46">
        <v>3.199581698811155</v>
      </c>
      <c r="J2485" s="47">
        <v>249.78122941447552</v>
      </c>
      <c r="K2485" s="46"/>
      <c r="L2485" s="46">
        <v>6.6142526400631638</v>
      </c>
      <c r="M2485" s="46">
        <v>20.536932876555209</v>
      </c>
      <c r="R2485" s="76">
        <f t="shared" si="427"/>
        <v>1745.3457600000002</v>
      </c>
      <c r="S2485" s="53">
        <v>290.89096000000001</v>
      </c>
      <c r="T2485" s="53">
        <v>276.67866200000003</v>
      </c>
      <c r="U2485" s="53">
        <v>23142.244893000003</v>
      </c>
      <c r="X2485" s="76">
        <f t="shared" si="428"/>
        <v>13073.298720000001</v>
      </c>
      <c r="Y2485" s="53">
        <v>6536.6493600000003</v>
      </c>
      <c r="Z2485" s="76">
        <f t="shared" si="428"/>
        <v>37547.560160000001</v>
      </c>
      <c r="AA2485" s="53">
        <v>18773.78008</v>
      </c>
      <c r="AH2485" s="53">
        <f t="shared" si="429"/>
        <v>71167.203359999985</v>
      </c>
      <c r="AO2485" s="53">
        <f t="shared" si="425"/>
        <v>58178.192000000003</v>
      </c>
      <c r="AP2485" s="53">
        <f t="shared" si="425"/>
        <v>395255.23142857151</v>
      </c>
      <c r="AQ2485" s="53">
        <f t="shared" si="425"/>
        <v>30856326.524000004</v>
      </c>
      <c r="AR2485" s="53">
        <f t="shared" si="425"/>
        <v>0</v>
      </c>
      <c r="AS2485" s="53">
        <f t="shared" si="425"/>
        <v>817081.16999999993</v>
      </c>
      <c r="AT2485" s="53">
        <f t="shared" si="425"/>
        <v>2536997.3081081081</v>
      </c>
      <c r="AU2485" s="53">
        <f t="shared" si="425"/>
        <v>0</v>
      </c>
      <c r="AV2485" s="53">
        <f t="shared" si="425"/>
        <v>0</v>
      </c>
      <c r="AW2485" s="53">
        <f t="shared" si="425"/>
        <v>0</v>
      </c>
      <c r="AX2485" s="53">
        <f t="shared" si="426"/>
        <v>0</v>
      </c>
      <c r="AY2485" s="41" t="s">
        <v>557</v>
      </c>
    </row>
    <row r="2486" spans="1:51" x14ac:dyDescent="0.2">
      <c r="A2486" s="41" t="s">
        <v>278</v>
      </c>
      <c r="B2486" s="41">
        <v>1948</v>
      </c>
      <c r="C2486" s="41" t="s">
        <v>91</v>
      </c>
      <c r="D2486" s="41" t="s">
        <v>88</v>
      </c>
      <c r="E2486" s="41">
        <v>0</v>
      </c>
      <c r="F2486" s="41" t="s">
        <v>584</v>
      </c>
      <c r="G2486" s="53">
        <v>124909.072</v>
      </c>
      <c r="H2486" s="46">
        <v>0.40360495192855167</v>
      </c>
      <c r="I2486" s="46">
        <v>2.8881524771418188</v>
      </c>
      <c r="J2486" s="47">
        <v>258.73039863749852</v>
      </c>
      <c r="K2486" s="46"/>
      <c r="L2486" s="46">
        <v>6.5312403409737936</v>
      </c>
      <c r="M2486" s="46">
        <v>20.102052077292438</v>
      </c>
      <c r="R2486" s="76">
        <f t="shared" si="427"/>
        <v>1512.4176</v>
      </c>
      <c r="S2486" s="53">
        <v>252.06960000000001</v>
      </c>
      <c r="T2486" s="53">
        <v>252.52951200000001</v>
      </c>
      <c r="U2486" s="53">
        <v>24238.330494000002</v>
      </c>
      <c r="X2486" s="76">
        <f t="shared" si="428"/>
        <v>13052.978720000001</v>
      </c>
      <c r="Y2486" s="53">
        <v>6526.4893600000005</v>
      </c>
      <c r="Z2486" s="76">
        <f t="shared" si="428"/>
        <v>37161.744319999998</v>
      </c>
      <c r="AA2486" s="53">
        <v>18580.872159999999</v>
      </c>
      <c r="AH2486" s="53">
        <f t="shared" si="429"/>
        <v>73181.931360000002</v>
      </c>
      <c r="AO2486" s="53">
        <f t="shared" si="425"/>
        <v>50413.919999999998</v>
      </c>
      <c r="AP2486" s="53">
        <f t="shared" si="425"/>
        <v>360756.44571428577</v>
      </c>
      <c r="AQ2486" s="53">
        <f t="shared" si="425"/>
        <v>32317773.992000006</v>
      </c>
      <c r="AR2486" s="53">
        <f t="shared" si="425"/>
        <v>0</v>
      </c>
      <c r="AS2486" s="53">
        <f t="shared" si="425"/>
        <v>815811.17000000016</v>
      </c>
      <c r="AT2486" s="53">
        <f t="shared" si="425"/>
        <v>2510928.6702702707</v>
      </c>
      <c r="AU2486" s="53">
        <f t="shared" si="425"/>
        <v>0</v>
      </c>
      <c r="AV2486" s="53">
        <f t="shared" si="425"/>
        <v>0</v>
      </c>
      <c r="AW2486" s="53">
        <f t="shared" si="425"/>
        <v>0</v>
      </c>
      <c r="AX2486" s="53">
        <f t="shared" si="426"/>
        <v>0</v>
      </c>
      <c r="AY2486" s="41" t="s">
        <v>557</v>
      </c>
    </row>
    <row r="2487" spans="1:51" x14ac:dyDescent="0.2">
      <c r="A2487" s="41" t="s">
        <v>278</v>
      </c>
      <c r="B2487" s="41">
        <v>1949</v>
      </c>
      <c r="C2487" s="41" t="s">
        <v>91</v>
      </c>
      <c r="D2487" s="41" t="s">
        <v>88</v>
      </c>
      <c r="E2487" s="41">
        <v>0</v>
      </c>
      <c r="F2487" s="41" t="s">
        <v>584</v>
      </c>
      <c r="G2487" s="53">
        <v>142757.144</v>
      </c>
      <c r="H2487" s="46">
        <v>0.43511803514365632</v>
      </c>
      <c r="I2487" s="46">
        <v>2.7642649533532282</v>
      </c>
      <c r="J2487" s="47">
        <v>258.39855653038279</v>
      </c>
      <c r="K2487" s="46"/>
      <c r="L2487" s="46">
        <v>6.1729319830046467</v>
      </c>
      <c r="M2487" s="46">
        <v>19.510080435359242</v>
      </c>
      <c r="R2487" s="76">
        <f t="shared" si="427"/>
        <v>1863.4862400000002</v>
      </c>
      <c r="S2487" s="53">
        <v>310.58104000000003</v>
      </c>
      <c r="T2487" s="53">
        <v>276.23299900000001</v>
      </c>
      <c r="U2487" s="53">
        <v>27666.179958000001</v>
      </c>
      <c r="X2487" s="76">
        <f t="shared" si="428"/>
        <v>14099.68224</v>
      </c>
      <c r="Y2487" s="53">
        <v>7049.84112</v>
      </c>
      <c r="Z2487" s="76">
        <f t="shared" si="428"/>
        <v>41221.009760000001</v>
      </c>
      <c r="AA2487" s="53">
        <v>20610.50488</v>
      </c>
      <c r="AH2487" s="53">
        <f t="shared" si="429"/>
        <v>85572.965760000006</v>
      </c>
      <c r="AO2487" s="53">
        <f t="shared" si="425"/>
        <v>62116.208000000006</v>
      </c>
      <c r="AP2487" s="53">
        <f t="shared" si="425"/>
        <v>394618.57000000007</v>
      </c>
      <c r="AQ2487" s="53">
        <f t="shared" si="425"/>
        <v>36888239.943999998</v>
      </c>
      <c r="AR2487" s="53">
        <f t="shared" si="425"/>
        <v>0</v>
      </c>
      <c r="AS2487" s="53">
        <f t="shared" si="425"/>
        <v>881230.1399999999</v>
      </c>
      <c r="AT2487" s="53">
        <f t="shared" si="425"/>
        <v>2785203.3621621621</v>
      </c>
      <c r="AU2487" s="53">
        <f t="shared" si="425"/>
        <v>0</v>
      </c>
      <c r="AV2487" s="53">
        <f t="shared" si="425"/>
        <v>0</v>
      </c>
      <c r="AW2487" s="53">
        <f t="shared" si="425"/>
        <v>0</v>
      </c>
      <c r="AX2487" s="53">
        <f t="shared" si="426"/>
        <v>0</v>
      </c>
      <c r="AY2487" s="41" t="s">
        <v>557</v>
      </c>
    </row>
    <row r="2488" spans="1:51" x14ac:dyDescent="0.2">
      <c r="A2488" s="41" t="s">
        <v>278</v>
      </c>
      <c r="B2488" s="41">
        <v>1950</v>
      </c>
      <c r="C2488" s="41" t="s">
        <v>91</v>
      </c>
      <c r="D2488" s="41" t="s">
        <v>88</v>
      </c>
      <c r="E2488" s="41">
        <v>0</v>
      </c>
      <c r="F2488" s="41" t="s">
        <v>584</v>
      </c>
      <c r="G2488" s="53">
        <v>162365.94399999999</v>
      </c>
      <c r="H2488" s="46">
        <v>0.42983811925486054</v>
      </c>
      <c r="I2488" s="46">
        <v>2.8963763132847267</v>
      </c>
      <c r="J2488" s="47">
        <v>253.02506930476343</v>
      </c>
      <c r="K2488" s="46"/>
      <c r="L2488" s="46">
        <v>6.0050044115162482</v>
      </c>
      <c r="M2488" s="46">
        <v>19.629615285679716</v>
      </c>
      <c r="R2488" s="76">
        <f t="shared" si="427"/>
        <v>2093.73216</v>
      </c>
      <c r="S2488" s="53">
        <v>348.95535999999998</v>
      </c>
      <c r="T2488" s="53">
        <v>329.19101200000006</v>
      </c>
      <c r="U2488" s="53">
        <v>30811.990675000001</v>
      </c>
      <c r="X2488" s="76">
        <f t="shared" si="428"/>
        <v>15600.131359999999</v>
      </c>
      <c r="Y2488" s="53">
        <v>7800.0656799999997</v>
      </c>
      <c r="Z2488" s="76">
        <f t="shared" si="428"/>
        <v>47170.279040000001</v>
      </c>
      <c r="AA2488" s="53">
        <v>23585.139520000001</v>
      </c>
      <c r="AH2488" s="53">
        <f t="shared" si="429"/>
        <v>97501.801439999981</v>
      </c>
      <c r="AO2488" s="53">
        <f t="shared" si="425"/>
        <v>69791.072</v>
      </c>
      <c r="AP2488" s="53">
        <f t="shared" si="425"/>
        <v>470272.87428571435</v>
      </c>
      <c r="AQ2488" s="53">
        <f t="shared" si="425"/>
        <v>41082654.233333334</v>
      </c>
      <c r="AR2488" s="53">
        <f t="shared" si="425"/>
        <v>0</v>
      </c>
      <c r="AS2488" s="53">
        <f t="shared" si="425"/>
        <v>975008.21000000008</v>
      </c>
      <c r="AT2488" s="53">
        <f t="shared" si="425"/>
        <v>3187181.0162162166</v>
      </c>
      <c r="AU2488" s="53">
        <f t="shared" si="425"/>
        <v>0</v>
      </c>
      <c r="AV2488" s="53">
        <f t="shared" si="425"/>
        <v>0</v>
      </c>
      <c r="AW2488" s="53">
        <f t="shared" si="425"/>
        <v>0</v>
      </c>
      <c r="AX2488" s="53">
        <f t="shared" si="426"/>
        <v>0</v>
      </c>
      <c r="AY2488" s="41" t="s">
        <v>557</v>
      </c>
    </row>
    <row r="2489" spans="1:51" x14ac:dyDescent="0.2">
      <c r="A2489" s="41" t="s">
        <v>278</v>
      </c>
      <c r="B2489" s="41">
        <v>1951</v>
      </c>
      <c r="C2489" s="41" t="s">
        <v>91</v>
      </c>
      <c r="D2489" s="41" t="s">
        <v>88</v>
      </c>
      <c r="E2489" s="41">
        <v>0</v>
      </c>
      <c r="F2489" s="41" t="s">
        <v>584</v>
      </c>
      <c r="G2489" s="53">
        <v>153015.696</v>
      </c>
      <c r="H2489" s="41">
        <v>0.43</v>
      </c>
      <c r="I2489" s="46">
        <v>3.0511811023622046</v>
      </c>
      <c r="J2489" s="52">
        <v>217.33267716535434</v>
      </c>
      <c r="K2489" s="46"/>
      <c r="L2489" s="41">
        <v>5.8</v>
      </c>
      <c r="M2489" s="41">
        <v>18.899999999999999</v>
      </c>
      <c r="R2489" s="76">
        <f t="shared" si="427"/>
        <v>1759.2446399999999</v>
      </c>
      <c r="S2489" s="53">
        <v>293.20743999999996</v>
      </c>
      <c r="T2489" s="53">
        <v>297.31413400000002</v>
      </c>
      <c r="U2489" s="53">
        <v>26020.684556</v>
      </c>
      <c r="X2489" s="76">
        <f t="shared" si="428"/>
        <v>13797.11744</v>
      </c>
      <c r="Y2489" s="53">
        <v>6898.55872</v>
      </c>
      <c r="Z2489" s="76">
        <f t="shared" si="428"/>
        <v>41524.102879999999</v>
      </c>
      <c r="AA2489" s="53">
        <v>20762.051439999999</v>
      </c>
      <c r="AH2489" s="53">
        <f t="shared" si="429"/>
        <v>95935.231040000013</v>
      </c>
      <c r="AO2489" s="53">
        <f t="shared" si="425"/>
        <v>65796.749280000004</v>
      </c>
      <c r="AP2489" s="53">
        <f t="shared" si="425"/>
        <v>466878.6</v>
      </c>
      <c r="AQ2489" s="53">
        <f t="shared" si="425"/>
        <v>33255310.859999999</v>
      </c>
      <c r="AR2489" s="53">
        <f t="shared" si="425"/>
        <v>0</v>
      </c>
      <c r="AS2489" s="53">
        <f t="shared" si="425"/>
        <v>887491.0368</v>
      </c>
      <c r="AT2489" s="53">
        <f t="shared" si="425"/>
        <v>2891996.6543999999</v>
      </c>
      <c r="AU2489" s="53">
        <f t="shared" si="425"/>
        <v>0</v>
      </c>
      <c r="AV2489" s="53">
        <f t="shared" si="425"/>
        <v>0</v>
      </c>
      <c r="AW2489" s="53">
        <f t="shared" si="425"/>
        <v>0</v>
      </c>
      <c r="AX2489" s="53">
        <f t="shared" si="426"/>
        <v>0</v>
      </c>
      <c r="AY2489" s="41" t="s">
        <v>557</v>
      </c>
    </row>
    <row r="2490" spans="1:51" x14ac:dyDescent="0.2">
      <c r="A2490" s="41" t="s">
        <v>278</v>
      </c>
      <c r="B2490" s="41">
        <v>1952</v>
      </c>
      <c r="C2490" s="41" t="s">
        <v>91</v>
      </c>
      <c r="D2490" s="41" t="s">
        <v>88</v>
      </c>
      <c r="E2490" s="41">
        <v>0</v>
      </c>
      <c r="F2490" s="41" t="s">
        <v>584</v>
      </c>
      <c r="G2490" s="53">
        <v>165750.24</v>
      </c>
      <c r="H2490" s="46">
        <v>0.32160516529769939</v>
      </c>
      <c r="I2490" s="46">
        <v>2.8968805205860426</v>
      </c>
      <c r="J2490" s="47">
        <v>225.73251075433336</v>
      </c>
      <c r="K2490" s="46"/>
      <c r="L2490" s="46">
        <v>5.7897102692983538</v>
      </c>
      <c r="M2490" s="46">
        <v>17.866862817212212</v>
      </c>
      <c r="R2490" s="76">
        <f t="shared" si="427"/>
        <v>1919.0208000000002</v>
      </c>
      <c r="S2490" s="53">
        <v>319.83680000000004</v>
      </c>
      <c r="T2490" s="53">
        <v>312.103117</v>
      </c>
      <c r="U2490" s="53">
        <v>28061.413375</v>
      </c>
      <c r="X2490" s="76">
        <f t="shared" si="428"/>
        <v>14394.688</v>
      </c>
      <c r="Y2490" s="53">
        <v>7197.3440000000001</v>
      </c>
      <c r="Z2490" s="76">
        <f t="shared" si="428"/>
        <v>44421.552000000003</v>
      </c>
      <c r="AA2490" s="53">
        <v>22210.776000000002</v>
      </c>
      <c r="AH2490" s="53">
        <f t="shared" si="429"/>
        <v>105014.9792</v>
      </c>
      <c r="AO2490" s="53">
        <f t="shared" si="425"/>
        <v>53306.133333333346</v>
      </c>
      <c r="AP2490" s="53">
        <f t="shared" si="425"/>
        <v>480158.6415384615</v>
      </c>
      <c r="AQ2490" s="53">
        <f t="shared" si="425"/>
        <v>37415217.833333336</v>
      </c>
      <c r="AR2490" s="53">
        <f t="shared" si="425"/>
        <v>0</v>
      </c>
      <c r="AS2490" s="53">
        <f t="shared" si="425"/>
        <v>959645.8666666667</v>
      </c>
      <c r="AT2490" s="53">
        <f t="shared" si="425"/>
        <v>2961436.8000000003</v>
      </c>
      <c r="AU2490" s="53">
        <f t="shared" si="425"/>
        <v>0</v>
      </c>
      <c r="AV2490" s="53">
        <f t="shared" si="425"/>
        <v>0</v>
      </c>
      <c r="AW2490" s="53">
        <f t="shared" si="425"/>
        <v>0</v>
      </c>
      <c r="AX2490" s="53">
        <f t="shared" si="426"/>
        <v>0</v>
      </c>
      <c r="AY2490" s="41" t="s">
        <v>557</v>
      </c>
    </row>
    <row r="2491" spans="1:51" x14ac:dyDescent="0.2">
      <c r="A2491" s="41" t="s">
        <v>278</v>
      </c>
      <c r="B2491" s="41">
        <v>1953</v>
      </c>
      <c r="C2491" s="41" t="s">
        <v>91</v>
      </c>
      <c r="D2491" s="41" t="s">
        <v>88</v>
      </c>
      <c r="E2491" s="41">
        <v>0</v>
      </c>
      <c r="F2491" s="41" t="s">
        <v>584</v>
      </c>
      <c r="G2491" s="53">
        <v>183452.008</v>
      </c>
      <c r="H2491" s="46">
        <v>0.36506187129515277</v>
      </c>
      <c r="I2491" s="46">
        <v>2.7186228706495523</v>
      </c>
      <c r="J2491" s="47">
        <v>219.6647159512149</v>
      </c>
      <c r="K2491" s="46"/>
      <c r="L2491" s="46">
        <v>5.712067256303893</v>
      </c>
      <c r="M2491" s="46">
        <v>17.486122110657593</v>
      </c>
      <c r="R2491" s="76">
        <f t="shared" si="427"/>
        <v>2410.9680000000003</v>
      </c>
      <c r="S2491" s="53">
        <v>401.82800000000003</v>
      </c>
      <c r="T2491" s="53">
        <v>324.17893600000002</v>
      </c>
      <c r="U2491" s="53">
        <v>30223.449920999999</v>
      </c>
      <c r="X2491" s="76">
        <f t="shared" si="428"/>
        <v>15718.35312</v>
      </c>
      <c r="Y2491" s="53">
        <v>7859.1765599999999</v>
      </c>
      <c r="Z2491" s="76">
        <f t="shared" si="428"/>
        <v>48117.963199999998</v>
      </c>
      <c r="AA2491" s="53">
        <v>24058.981599999999</v>
      </c>
      <c r="AH2491" s="53">
        <f t="shared" si="429"/>
        <v>117204.72368</v>
      </c>
      <c r="AO2491" s="53">
        <f t="shared" si="425"/>
        <v>66971.333333333343</v>
      </c>
      <c r="AP2491" s="53">
        <f t="shared" si="425"/>
        <v>498736.82461538463</v>
      </c>
      <c r="AQ2491" s="53">
        <f t="shared" si="425"/>
        <v>40297933.228000008</v>
      </c>
      <c r="AR2491" s="53">
        <f t="shared" si="425"/>
        <v>0</v>
      </c>
      <c r="AS2491" s="53">
        <f t="shared" si="425"/>
        <v>1047890.2079999999</v>
      </c>
      <c r="AT2491" s="53">
        <f t="shared" si="425"/>
        <v>3207864.2133333338</v>
      </c>
      <c r="AU2491" s="53">
        <f t="shared" si="425"/>
        <v>0</v>
      </c>
      <c r="AV2491" s="53">
        <f t="shared" si="425"/>
        <v>0</v>
      </c>
      <c r="AW2491" s="53">
        <f t="shared" si="425"/>
        <v>0</v>
      </c>
      <c r="AX2491" s="53">
        <f t="shared" si="426"/>
        <v>0</v>
      </c>
      <c r="AY2491" s="41" t="s">
        <v>557</v>
      </c>
    </row>
    <row r="2492" spans="1:51" x14ac:dyDescent="0.2">
      <c r="A2492" s="41" t="s">
        <v>278</v>
      </c>
      <c r="B2492" s="41">
        <v>1954</v>
      </c>
      <c r="C2492" s="41" t="s">
        <v>91</v>
      </c>
      <c r="D2492" s="41" t="s">
        <v>88</v>
      </c>
      <c r="E2492" s="41">
        <v>0</v>
      </c>
      <c r="F2492" s="41" t="s">
        <v>584</v>
      </c>
      <c r="G2492" s="53">
        <v>194037.712</v>
      </c>
      <c r="H2492" s="46">
        <v>0.46770550802344379</v>
      </c>
      <c r="I2492" s="46">
        <v>3.0975645679560557</v>
      </c>
      <c r="J2492" s="47">
        <v>228.19043428698717</v>
      </c>
      <c r="K2492" s="46"/>
      <c r="L2492" s="46">
        <v>6.0645017156939751</v>
      </c>
      <c r="M2492" s="46">
        <v>18.206700107863568</v>
      </c>
      <c r="R2492" s="76">
        <f t="shared" si="427"/>
        <v>3267.0902400000004</v>
      </c>
      <c r="S2492" s="53">
        <v>544.51504000000011</v>
      </c>
      <c r="T2492" s="53">
        <v>390.67882200000003</v>
      </c>
      <c r="U2492" s="53">
        <v>33208.162327000005</v>
      </c>
      <c r="X2492" s="76">
        <f t="shared" si="428"/>
        <v>17651.130560000001</v>
      </c>
      <c r="Y2492" s="53">
        <v>8825.5652800000007</v>
      </c>
      <c r="Z2492" s="76">
        <f t="shared" si="428"/>
        <v>52991.796479999997</v>
      </c>
      <c r="AA2492" s="53">
        <v>26495.898239999999</v>
      </c>
      <c r="AH2492" s="53">
        <f t="shared" si="429"/>
        <v>120127.69472000003</v>
      </c>
      <c r="AO2492" s="53">
        <f t="shared" si="425"/>
        <v>90752.506666666683</v>
      </c>
      <c r="AP2492" s="53">
        <f t="shared" si="425"/>
        <v>601044.34153846162</v>
      </c>
      <c r="AQ2492" s="53">
        <f t="shared" si="425"/>
        <v>44277549.76933334</v>
      </c>
      <c r="AR2492" s="53">
        <f t="shared" si="425"/>
        <v>0</v>
      </c>
      <c r="AS2492" s="53">
        <f t="shared" si="425"/>
        <v>1176742.0373333334</v>
      </c>
      <c r="AT2492" s="53">
        <f t="shared" si="425"/>
        <v>3532786.432</v>
      </c>
      <c r="AU2492" s="53">
        <f t="shared" si="425"/>
        <v>0</v>
      </c>
      <c r="AV2492" s="53">
        <f t="shared" si="425"/>
        <v>0</v>
      </c>
      <c r="AW2492" s="53">
        <f t="shared" si="425"/>
        <v>0</v>
      </c>
      <c r="AX2492" s="53">
        <f t="shared" si="426"/>
        <v>0</v>
      </c>
      <c r="AY2492" s="41" t="s">
        <v>557</v>
      </c>
    </row>
    <row r="2493" spans="1:51" x14ac:dyDescent="0.2">
      <c r="A2493" s="41" t="s">
        <v>278</v>
      </c>
      <c r="B2493" s="41">
        <v>1955</v>
      </c>
      <c r="C2493" s="41" t="s">
        <v>91</v>
      </c>
      <c r="D2493" s="41" t="s">
        <v>88</v>
      </c>
      <c r="E2493" s="41">
        <v>0</v>
      </c>
      <c r="F2493" s="41" t="s">
        <v>584</v>
      </c>
      <c r="G2493" s="53">
        <v>181558.18400000001</v>
      </c>
      <c r="H2493" s="46">
        <v>0.46944862590165581</v>
      </c>
      <c r="I2493" s="46">
        <v>2.9185207180661248</v>
      </c>
      <c r="J2493" s="47">
        <v>215.05829933468235</v>
      </c>
      <c r="K2493" s="46"/>
      <c r="L2493" s="46">
        <v>5.8547538971492088</v>
      </c>
      <c r="M2493" s="46">
        <v>17.934172360598922</v>
      </c>
      <c r="R2493" s="76">
        <f t="shared" si="427"/>
        <v>3068.3606399999999</v>
      </c>
      <c r="S2493" s="53">
        <v>511.39344</v>
      </c>
      <c r="T2493" s="53">
        <v>344.42285900000007</v>
      </c>
      <c r="U2493" s="53">
        <v>29284.195711000004</v>
      </c>
      <c r="X2493" s="76">
        <f t="shared" si="428"/>
        <v>15944.67728</v>
      </c>
      <c r="Y2493" s="53">
        <v>7972.3386399999999</v>
      </c>
      <c r="Z2493" s="76">
        <f t="shared" si="428"/>
        <v>48841.436479999997</v>
      </c>
      <c r="AA2493" s="53">
        <v>24420.718239999998</v>
      </c>
      <c r="AH2493" s="53">
        <f t="shared" si="429"/>
        <v>113703.7096</v>
      </c>
      <c r="AO2493" s="53">
        <f t="shared" si="425"/>
        <v>85232.239999999991</v>
      </c>
      <c r="AP2493" s="53">
        <f t="shared" si="425"/>
        <v>529881.32153846161</v>
      </c>
      <c r="AQ2493" s="53">
        <f t="shared" si="425"/>
        <v>39045594.281333335</v>
      </c>
      <c r="AR2493" s="53">
        <f t="shared" ref="AR2493:AW2524" si="430">$G2493*K2493</f>
        <v>0</v>
      </c>
      <c r="AS2493" s="53">
        <f t="shared" si="430"/>
        <v>1062978.4853333333</v>
      </c>
      <c r="AT2493" s="53">
        <f t="shared" si="430"/>
        <v>3256095.7653333335</v>
      </c>
      <c r="AU2493" s="53">
        <f t="shared" si="430"/>
        <v>0</v>
      </c>
      <c r="AV2493" s="53">
        <f t="shared" si="430"/>
        <v>0</v>
      </c>
      <c r="AW2493" s="53">
        <f t="shared" si="430"/>
        <v>0</v>
      </c>
      <c r="AX2493" s="53">
        <f t="shared" si="426"/>
        <v>0</v>
      </c>
      <c r="AY2493" s="41" t="s">
        <v>557</v>
      </c>
    </row>
    <row r="2494" spans="1:51" x14ac:dyDescent="0.2">
      <c r="A2494" s="41" t="s">
        <v>278</v>
      </c>
      <c r="B2494" s="41">
        <v>1956</v>
      </c>
      <c r="C2494" s="41" t="s">
        <v>91</v>
      </c>
      <c r="D2494" s="41" t="s">
        <v>88</v>
      </c>
      <c r="E2494" s="41">
        <v>0</v>
      </c>
      <c r="F2494" s="41" t="s">
        <v>584</v>
      </c>
      <c r="G2494" s="53">
        <v>205914.75200000001</v>
      </c>
      <c r="H2494" s="46">
        <v>0.4483105707744533</v>
      </c>
      <c r="I2494" s="46">
        <v>2.7695896212428726</v>
      </c>
      <c r="J2494" s="47">
        <v>222.54458722154433</v>
      </c>
      <c r="K2494" s="46"/>
      <c r="L2494" s="46">
        <v>5.9712178626878236</v>
      </c>
      <c r="M2494" s="46">
        <v>18.511578642667299</v>
      </c>
      <c r="R2494" s="76">
        <f t="shared" si="427"/>
        <v>3323.2953600000001</v>
      </c>
      <c r="S2494" s="53">
        <v>553.88256000000001</v>
      </c>
      <c r="T2494" s="53">
        <v>370.69458400000002</v>
      </c>
      <c r="U2494" s="53">
        <v>34368.910114999999</v>
      </c>
      <c r="X2494" s="76">
        <f t="shared" si="428"/>
        <v>18443.427680000001</v>
      </c>
      <c r="Y2494" s="53">
        <v>9221.7138400000003</v>
      </c>
      <c r="Z2494" s="76">
        <f t="shared" si="428"/>
        <v>57177.106879999999</v>
      </c>
      <c r="AA2494" s="53">
        <v>28588.55344</v>
      </c>
      <c r="AH2494" s="53">
        <f t="shared" si="429"/>
        <v>126970.92208000002</v>
      </c>
      <c r="AO2494" s="53">
        <f t="shared" ref="AO2494:AW2525" si="431">$G2494*H2494</f>
        <v>92313.760000000009</v>
      </c>
      <c r="AP2494" s="53">
        <f t="shared" si="431"/>
        <v>570299.3600000001</v>
      </c>
      <c r="AQ2494" s="53">
        <f t="shared" si="431"/>
        <v>45825213.486666672</v>
      </c>
      <c r="AR2494" s="53">
        <f t="shared" si="430"/>
        <v>0</v>
      </c>
      <c r="AS2494" s="53">
        <f t="shared" si="430"/>
        <v>1229561.8453333334</v>
      </c>
      <c r="AT2494" s="53">
        <f t="shared" si="430"/>
        <v>3811807.1253333339</v>
      </c>
      <c r="AU2494" s="53">
        <f t="shared" si="430"/>
        <v>0</v>
      </c>
      <c r="AV2494" s="53">
        <f t="shared" si="430"/>
        <v>0</v>
      </c>
      <c r="AW2494" s="53">
        <f t="shared" si="430"/>
        <v>0</v>
      </c>
      <c r="AX2494" s="53">
        <f t="shared" si="426"/>
        <v>0</v>
      </c>
      <c r="AY2494" s="41" t="s">
        <v>557</v>
      </c>
    </row>
    <row r="2495" spans="1:51" x14ac:dyDescent="0.2">
      <c r="A2495" s="41" t="s">
        <v>278</v>
      </c>
      <c r="B2495" s="41">
        <v>1957</v>
      </c>
      <c r="C2495" s="41" t="s">
        <v>91</v>
      </c>
      <c r="D2495" s="41" t="s">
        <v>88</v>
      </c>
      <c r="E2495" s="41">
        <v>0</v>
      </c>
      <c r="F2495" s="41" t="s">
        <v>584</v>
      </c>
      <c r="G2495" s="53">
        <v>202625.96</v>
      </c>
      <c r="H2495" s="46">
        <v>0.52346211380483199</v>
      </c>
      <c r="I2495" s="46">
        <v>3.0873297319318356</v>
      </c>
      <c r="J2495" s="47">
        <v>211.6687195592641</v>
      </c>
      <c r="K2495" s="46"/>
      <c r="L2495" s="46">
        <v>5.9123089394205302</v>
      </c>
      <c r="M2495" s="46">
        <v>17.501708994576344</v>
      </c>
      <c r="R2495" s="76">
        <f t="shared" si="427"/>
        <v>3818.41248</v>
      </c>
      <c r="S2495" s="53">
        <v>636.40207999999996</v>
      </c>
      <c r="T2495" s="53">
        <v>406.62254799999999</v>
      </c>
      <c r="U2495" s="53">
        <v>32167.183127</v>
      </c>
      <c r="X2495" s="76">
        <f t="shared" si="428"/>
        <v>17969.809120000002</v>
      </c>
      <c r="Y2495" s="53">
        <v>8984.9045600000009</v>
      </c>
      <c r="Z2495" s="76">
        <f t="shared" si="428"/>
        <v>53194.508800000003</v>
      </c>
      <c r="AA2495" s="53">
        <v>26597.254400000002</v>
      </c>
      <c r="AH2495" s="53">
        <f t="shared" si="429"/>
        <v>127643.22959999999</v>
      </c>
      <c r="AO2495" s="53">
        <f t="shared" si="431"/>
        <v>106067.01333333334</v>
      </c>
      <c r="AP2495" s="53">
        <f t="shared" si="431"/>
        <v>625573.15076923079</v>
      </c>
      <c r="AQ2495" s="53">
        <f t="shared" si="431"/>
        <v>42889577.502666667</v>
      </c>
      <c r="AR2495" s="53">
        <f t="shared" si="430"/>
        <v>0</v>
      </c>
      <c r="AS2495" s="53">
        <f t="shared" si="430"/>
        <v>1197987.2746666668</v>
      </c>
      <c r="AT2495" s="53">
        <f t="shared" si="430"/>
        <v>3546300.5866666664</v>
      </c>
      <c r="AU2495" s="53">
        <f t="shared" si="430"/>
        <v>0</v>
      </c>
      <c r="AV2495" s="53">
        <f t="shared" si="430"/>
        <v>0</v>
      </c>
      <c r="AW2495" s="53">
        <f t="shared" si="430"/>
        <v>0</v>
      </c>
      <c r="AX2495" s="53">
        <f t="shared" si="426"/>
        <v>0</v>
      </c>
      <c r="AY2495" s="41" t="s">
        <v>557</v>
      </c>
    </row>
    <row r="2496" spans="1:51" x14ac:dyDescent="0.2">
      <c r="A2496" s="41" t="s">
        <v>278</v>
      </c>
      <c r="B2496" s="41">
        <v>1958</v>
      </c>
      <c r="C2496" s="41" t="s">
        <v>91</v>
      </c>
      <c r="D2496" s="41" t="s">
        <v>88</v>
      </c>
      <c r="E2496" s="41">
        <v>0</v>
      </c>
      <c r="F2496" s="41" t="s">
        <v>584</v>
      </c>
      <c r="G2496" s="53">
        <v>208810.35200000001</v>
      </c>
      <c r="H2496" s="46">
        <v>0.46501799598791654</v>
      </c>
      <c r="I2496" s="46">
        <v>2.771009648027412</v>
      </c>
      <c r="J2496" s="47">
        <v>229.72824259211055</v>
      </c>
      <c r="K2496" s="46"/>
      <c r="L2496" s="46">
        <v>6.8522382727188056</v>
      </c>
      <c r="M2496" s="46">
        <v>18.828803404663898</v>
      </c>
      <c r="R2496" s="76">
        <f t="shared" si="427"/>
        <v>4078.2240000000002</v>
      </c>
      <c r="S2496" s="53">
        <v>679.70400000000006</v>
      </c>
      <c r="T2496" s="53">
        <v>462.89240000000001</v>
      </c>
      <c r="U2496" s="53">
        <v>35977.2264</v>
      </c>
      <c r="X2496" s="76">
        <f t="shared" si="428"/>
        <v>20031.456000000002</v>
      </c>
      <c r="Y2496" s="53">
        <v>10015.728000000001</v>
      </c>
      <c r="Z2496" s="76">
        <f t="shared" si="428"/>
        <v>58974.736000000004</v>
      </c>
      <c r="AA2496" s="53">
        <v>29487.368000000002</v>
      </c>
      <c r="AH2496" s="53">
        <f t="shared" si="429"/>
        <v>125725.93600000002</v>
      </c>
      <c r="AO2496" s="53">
        <f t="shared" si="431"/>
        <v>97100.571428571449</v>
      </c>
      <c r="AP2496" s="53">
        <f t="shared" si="431"/>
        <v>578615.5</v>
      </c>
      <c r="AQ2496" s="53">
        <f t="shared" si="431"/>
        <v>47969635.199999996</v>
      </c>
      <c r="AR2496" s="53">
        <f t="shared" si="430"/>
        <v>0</v>
      </c>
      <c r="AS2496" s="53">
        <f t="shared" si="430"/>
        <v>1430818.2857142859</v>
      </c>
      <c r="AT2496" s="53">
        <f t="shared" si="430"/>
        <v>3931649.0666666673</v>
      </c>
      <c r="AU2496" s="53">
        <f t="shared" si="430"/>
        <v>0</v>
      </c>
      <c r="AV2496" s="53">
        <f t="shared" si="430"/>
        <v>0</v>
      </c>
      <c r="AW2496" s="53">
        <f t="shared" si="430"/>
        <v>0</v>
      </c>
      <c r="AX2496" s="53">
        <f t="shared" si="426"/>
        <v>0</v>
      </c>
      <c r="AY2496" s="41" t="s">
        <v>557</v>
      </c>
    </row>
    <row r="2497" spans="1:51" x14ac:dyDescent="0.2">
      <c r="A2497" s="41" t="s">
        <v>278</v>
      </c>
      <c r="B2497" s="41">
        <v>1959</v>
      </c>
      <c r="C2497" s="41" t="s">
        <v>91</v>
      </c>
      <c r="D2497" s="41" t="s">
        <v>88</v>
      </c>
      <c r="E2497" s="41">
        <v>0</v>
      </c>
      <c r="F2497" s="41" t="s">
        <v>584</v>
      </c>
      <c r="G2497" s="53">
        <v>202224.64000000001</v>
      </c>
      <c r="H2497" s="46">
        <v>0.36460725769407443</v>
      </c>
      <c r="I2497" s="46">
        <v>2.6099978469488185</v>
      </c>
      <c r="J2497" s="47">
        <v>221.33140583989498</v>
      </c>
      <c r="K2497" s="46"/>
      <c r="L2497" s="46">
        <v>6.7667661920073501</v>
      </c>
      <c r="M2497" s="46">
        <v>18.708467309753484</v>
      </c>
      <c r="R2497" s="76">
        <f t="shared" si="427"/>
        <v>3096.768</v>
      </c>
      <c r="S2497" s="53">
        <v>516.12800000000004</v>
      </c>
      <c r="T2497" s="53">
        <v>422.24470000000002</v>
      </c>
      <c r="U2497" s="53">
        <v>33568.997900000002</v>
      </c>
      <c r="X2497" s="76">
        <f t="shared" si="428"/>
        <v>19157.696</v>
      </c>
      <c r="Y2497" s="53">
        <v>9578.848</v>
      </c>
      <c r="Z2497" s="76">
        <f t="shared" si="428"/>
        <v>56749.696000000004</v>
      </c>
      <c r="AA2497" s="53">
        <v>28374.848000000002</v>
      </c>
      <c r="AH2497" s="53">
        <f t="shared" si="429"/>
        <v>123220.48000000001</v>
      </c>
      <c r="AO2497" s="53">
        <f t="shared" si="431"/>
        <v>73732.571428571435</v>
      </c>
      <c r="AP2497" s="53">
        <f t="shared" si="431"/>
        <v>527805.875</v>
      </c>
      <c r="AQ2497" s="53">
        <f t="shared" si="431"/>
        <v>44758663.866666667</v>
      </c>
      <c r="AR2497" s="53">
        <f t="shared" si="430"/>
        <v>0</v>
      </c>
      <c r="AS2497" s="53">
        <f t="shared" si="430"/>
        <v>1368406.8571428573</v>
      </c>
      <c r="AT2497" s="53">
        <f t="shared" si="430"/>
        <v>3783313.0666666669</v>
      </c>
      <c r="AU2497" s="53">
        <f t="shared" si="430"/>
        <v>0</v>
      </c>
      <c r="AV2497" s="53">
        <f t="shared" si="430"/>
        <v>0</v>
      </c>
      <c r="AW2497" s="53">
        <f t="shared" si="430"/>
        <v>0</v>
      </c>
      <c r="AX2497" s="53">
        <f t="shared" si="426"/>
        <v>0</v>
      </c>
      <c r="AY2497" s="41" t="s">
        <v>557</v>
      </c>
    </row>
    <row r="2498" spans="1:51" x14ac:dyDescent="0.2">
      <c r="A2498" s="41" t="s">
        <v>278</v>
      </c>
      <c r="B2498" s="41">
        <v>1960</v>
      </c>
      <c r="C2498" s="41" t="s">
        <v>91</v>
      </c>
      <c r="D2498" s="41" t="s">
        <v>88</v>
      </c>
      <c r="E2498" s="41">
        <v>0</v>
      </c>
      <c r="F2498" s="41" t="s">
        <v>584</v>
      </c>
      <c r="G2498" s="53">
        <v>215448.89600000001</v>
      </c>
      <c r="H2498" s="46">
        <v>0.41026898555098656</v>
      </c>
      <c r="I2498" s="46">
        <v>2.8491037150638263</v>
      </c>
      <c r="J2498" s="47">
        <v>220.5204591378675</v>
      </c>
      <c r="K2498" s="46"/>
      <c r="L2498" s="46">
        <v>6.3891478800748054</v>
      </c>
      <c r="M2498" s="46">
        <v>16.467977012361516</v>
      </c>
      <c r="R2498" s="76">
        <f t="shared" si="427"/>
        <v>3712.4639999999999</v>
      </c>
      <c r="S2498" s="53">
        <v>618.74400000000003</v>
      </c>
      <c r="T2498" s="53">
        <v>491.06900000000002</v>
      </c>
      <c r="U2498" s="53">
        <v>35633.167099999999</v>
      </c>
      <c r="X2498" s="76">
        <f t="shared" si="428"/>
        <v>19271.488000000001</v>
      </c>
      <c r="Y2498" s="53">
        <v>9635.7440000000006</v>
      </c>
      <c r="Z2498" s="76">
        <f t="shared" si="428"/>
        <v>53220.112000000001</v>
      </c>
      <c r="AA2498" s="53">
        <v>26610.056</v>
      </c>
      <c r="AH2498" s="53">
        <f t="shared" si="429"/>
        <v>139244.83199999999</v>
      </c>
      <c r="AO2498" s="53">
        <f t="shared" si="431"/>
        <v>88392.000000000015</v>
      </c>
      <c r="AP2498" s="53">
        <f t="shared" si="431"/>
        <v>613836.25</v>
      </c>
      <c r="AQ2498" s="53">
        <f t="shared" si="431"/>
        <v>47510889.466666669</v>
      </c>
      <c r="AR2498" s="53">
        <f t="shared" si="430"/>
        <v>0</v>
      </c>
      <c r="AS2498" s="53">
        <f t="shared" si="430"/>
        <v>1376534.8571428573</v>
      </c>
      <c r="AT2498" s="53">
        <f t="shared" si="430"/>
        <v>3548007.4666666673</v>
      </c>
      <c r="AU2498" s="53">
        <f t="shared" si="430"/>
        <v>0</v>
      </c>
      <c r="AV2498" s="53">
        <f t="shared" si="430"/>
        <v>0</v>
      </c>
      <c r="AW2498" s="53">
        <f t="shared" si="430"/>
        <v>0</v>
      </c>
      <c r="AX2498" s="53">
        <f t="shared" si="426"/>
        <v>0</v>
      </c>
      <c r="AY2498" s="41" t="s">
        <v>557</v>
      </c>
    </row>
    <row r="2499" spans="1:51" x14ac:dyDescent="0.2">
      <c r="A2499" s="41" t="s">
        <v>278</v>
      </c>
      <c r="B2499" s="41">
        <v>1961</v>
      </c>
      <c r="C2499" s="41" t="s">
        <v>91</v>
      </c>
      <c r="D2499" s="41" t="s">
        <v>88</v>
      </c>
      <c r="E2499" s="41">
        <v>0</v>
      </c>
      <c r="F2499" s="41" t="s">
        <v>584</v>
      </c>
      <c r="G2499" s="53">
        <v>237809.024</v>
      </c>
      <c r="H2499" s="46">
        <v>0.46995693485542417</v>
      </c>
      <c r="I2499" s="46">
        <v>3.429141843666959</v>
      </c>
      <c r="J2499" s="47">
        <v>203.23283667037518</v>
      </c>
      <c r="K2499" s="46"/>
      <c r="L2499" s="46">
        <v>5.918405710770192</v>
      </c>
      <c r="M2499" s="46">
        <v>18.111285802173764</v>
      </c>
      <c r="R2499" s="76">
        <f t="shared" si="427"/>
        <v>4693.92</v>
      </c>
      <c r="S2499" s="53">
        <v>782.32</v>
      </c>
      <c r="T2499" s="53">
        <v>652.38470000000007</v>
      </c>
      <c r="U2499" s="53">
        <v>36247.9519</v>
      </c>
      <c r="X2499" s="76">
        <f t="shared" si="428"/>
        <v>19704.304</v>
      </c>
      <c r="Y2499" s="53">
        <v>9852.152</v>
      </c>
      <c r="Z2499" s="76">
        <f t="shared" si="428"/>
        <v>64605.408000000003</v>
      </c>
      <c r="AA2499" s="53">
        <v>32302.704000000002</v>
      </c>
      <c r="AH2499" s="53">
        <f t="shared" si="429"/>
        <v>148805.39199999999</v>
      </c>
      <c r="AO2499" s="53">
        <f t="shared" si="431"/>
        <v>111760</v>
      </c>
      <c r="AP2499" s="53">
        <f t="shared" si="431"/>
        <v>815480.87500000012</v>
      </c>
      <c r="AQ2499" s="53">
        <f t="shared" si="431"/>
        <v>48330602.533333331</v>
      </c>
      <c r="AR2499" s="53">
        <f t="shared" si="430"/>
        <v>0</v>
      </c>
      <c r="AS2499" s="53">
        <f t="shared" si="430"/>
        <v>1407450.2857142857</v>
      </c>
      <c r="AT2499" s="53">
        <f t="shared" si="430"/>
        <v>4307027.2</v>
      </c>
      <c r="AU2499" s="53">
        <f t="shared" si="430"/>
        <v>0</v>
      </c>
      <c r="AV2499" s="53">
        <f t="shared" si="430"/>
        <v>0</v>
      </c>
      <c r="AW2499" s="53">
        <f t="shared" si="430"/>
        <v>0</v>
      </c>
      <c r="AX2499" s="53">
        <f t="shared" si="426"/>
        <v>0</v>
      </c>
      <c r="AY2499" s="41" t="s">
        <v>557</v>
      </c>
    </row>
    <row r="2500" spans="1:51" x14ac:dyDescent="0.2">
      <c r="A2500" s="41" t="s">
        <v>278</v>
      </c>
      <c r="B2500" s="41">
        <v>1962</v>
      </c>
      <c r="C2500" s="41" t="s">
        <v>91</v>
      </c>
      <c r="D2500" s="41" t="s">
        <v>88</v>
      </c>
      <c r="E2500" s="41">
        <v>0</v>
      </c>
      <c r="F2500" s="41" t="s">
        <v>584</v>
      </c>
      <c r="G2500" s="53">
        <v>299090.08</v>
      </c>
      <c r="H2500" s="46">
        <v>0.49207535449807338</v>
      </c>
      <c r="I2500" s="46">
        <v>2.726539358978405</v>
      </c>
      <c r="J2500" s="47">
        <v>178.27722671377128</v>
      </c>
      <c r="K2500" s="46"/>
      <c r="L2500" s="46">
        <v>5.3322721846398728</v>
      </c>
      <c r="M2500" s="46">
        <v>17.287406300246847</v>
      </c>
      <c r="R2500" s="76">
        <f t="shared" si="427"/>
        <v>6181.3439999999991</v>
      </c>
      <c r="S2500" s="53">
        <v>1030.2239999999999</v>
      </c>
      <c r="T2500" s="53">
        <v>652.38470000000007</v>
      </c>
      <c r="U2500" s="53">
        <v>39990.712500000001</v>
      </c>
      <c r="X2500" s="76">
        <f t="shared" si="428"/>
        <v>22327.616000000002</v>
      </c>
      <c r="Y2500" s="53">
        <v>11163.808000000001</v>
      </c>
      <c r="Z2500" s="76">
        <f t="shared" si="428"/>
        <v>77557.376000000004</v>
      </c>
      <c r="AA2500" s="53">
        <v>38778.688000000002</v>
      </c>
      <c r="AH2500" s="53">
        <f t="shared" si="429"/>
        <v>193023.74400000006</v>
      </c>
      <c r="AO2500" s="53">
        <f t="shared" si="431"/>
        <v>147174.85714285713</v>
      </c>
      <c r="AP2500" s="53">
        <f t="shared" si="431"/>
        <v>815480.87499999988</v>
      </c>
      <c r="AQ2500" s="53">
        <f t="shared" si="431"/>
        <v>53320949.999999993</v>
      </c>
      <c r="AR2500" s="53">
        <f t="shared" si="430"/>
        <v>0</v>
      </c>
      <c r="AS2500" s="53">
        <f t="shared" si="430"/>
        <v>1594829.7142857143</v>
      </c>
      <c r="AT2500" s="53">
        <f t="shared" si="430"/>
        <v>5170491.7333333334</v>
      </c>
      <c r="AU2500" s="53">
        <f t="shared" si="430"/>
        <v>0</v>
      </c>
      <c r="AV2500" s="53">
        <f t="shared" si="430"/>
        <v>0</v>
      </c>
      <c r="AW2500" s="53">
        <f t="shared" si="430"/>
        <v>0</v>
      </c>
      <c r="AX2500" s="53">
        <f t="shared" si="426"/>
        <v>0</v>
      </c>
      <c r="AY2500" s="41" t="s">
        <v>557</v>
      </c>
    </row>
    <row r="2501" spans="1:51" x14ac:dyDescent="0.2">
      <c r="A2501" s="41" t="s">
        <v>278</v>
      </c>
      <c r="B2501" s="41">
        <v>1963</v>
      </c>
      <c r="C2501" s="41" t="s">
        <v>91</v>
      </c>
      <c r="D2501" s="41" t="s">
        <v>88</v>
      </c>
      <c r="E2501" s="41">
        <v>0</v>
      </c>
      <c r="F2501" s="41" t="s">
        <v>584</v>
      </c>
      <c r="G2501" s="53">
        <v>298597.32</v>
      </c>
      <c r="H2501" s="46">
        <v>0.56239716322398914</v>
      </c>
      <c r="I2501" s="46">
        <v>2.9545785943423741</v>
      </c>
      <c r="J2501" s="47">
        <v>183.50664500270798</v>
      </c>
      <c r="K2501" s="46"/>
      <c r="L2501" s="46">
        <v>5.5257830177444331</v>
      </c>
      <c r="M2501" s="46">
        <v>17.506932748090303</v>
      </c>
      <c r="R2501" s="76">
        <f t="shared" si="427"/>
        <v>7053.0720000000001</v>
      </c>
      <c r="S2501" s="53">
        <v>1175.5119999999999</v>
      </c>
      <c r="T2501" s="53">
        <v>705.78340000000003</v>
      </c>
      <c r="U2501" s="53">
        <v>41095.944300000003</v>
      </c>
      <c r="X2501" s="76">
        <f t="shared" si="428"/>
        <v>23099.776000000002</v>
      </c>
      <c r="Y2501" s="53">
        <v>11549.888000000001</v>
      </c>
      <c r="Z2501" s="76">
        <f t="shared" si="428"/>
        <v>78412.847999999998</v>
      </c>
      <c r="AA2501" s="53">
        <v>39206.423999999999</v>
      </c>
      <c r="AH2501" s="53">
        <f t="shared" si="429"/>
        <v>190031.62400000001</v>
      </c>
      <c r="AO2501" s="53">
        <f t="shared" si="431"/>
        <v>167930.28571428571</v>
      </c>
      <c r="AP2501" s="53">
        <f t="shared" si="431"/>
        <v>882229.25000000012</v>
      </c>
      <c r="AQ2501" s="53">
        <f t="shared" si="431"/>
        <v>54794592.399999999</v>
      </c>
      <c r="AR2501" s="53">
        <f t="shared" si="430"/>
        <v>0</v>
      </c>
      <c r="AS2501" s="53">
        <f t="shared" si="430"/>
        <v>1649984.0000000002</v>
      </c>
      <c r="AT2501" s="53">
        <f t="shared" si="430"/>
        <v>5227523.2</v>
      </c>
      <c r="AU2501" s="53">
        <f t="shared" si="430"/>
        <v>0</v>
      </c>
      <c r="AV2501" s="53">
        <f t="shared" si="430"/>
        <v>0</v>
      </c>
      <c r="AW2501" s="53">
        <f t="shared" si="430"/>
        <v>0</v>
      </c>
      <c r="AX2501" s="53">
        <f t="shared" si="426"/>
        <v>0</v>
      </c>
      <c r="AY2501" s="41" t="s">
        <v>557</v>
      </c>
    </row>
    <row r="2502" spans="1:51" x14ac:dyDescent="0.2">
      <c r="A2502" s="41" t="s">
        <v>278</v>
      </c>
      <c r="B2502" s="41">
        <v>1964</v>
      </c>
      <c r="C2502" s="41" t="s">
        <v>91</v>
      </c>
      <c r="D2502" s="41" t="s">
        <v>88</v>
      </c>
      <c r="E2502" s="41">
        <v>0</v>
      </c>
      <c r="F2502" s="41" t="s">
        <v>584</v>
      </c>
      <c r="G2502" s="53">
        <v>299960.79200000002</v>
      </c>
      <c r="H2502" s="46">
        <v>0.5201632199603321</v>
      </c>
      <c r="I2502" s="46">
        <v>2.947887769278859</v>
      </c>
      <c r="J2502" s="47">
        <v>190.21117311002877</v>
      </c>
      <c r="K2502" s="46"/>
      <c r="L2502" s="46">
        <v>5.5219559685463349</v>
      </c>
      <c r="M2502" s="46">
        <v>18.097551007044057</v>
      </c>
      <c r="R2502" s="76">
        <f t="shared" si="427"/>
        <v>6553.2000000000007</v>
      </c>
      <c r="S2502" s="53">
        <v>1092.2</v>
      </c>
      <c r="T2502" s="53">
        <v>707.40059999999994</v>
      </c>
      <c r="U2502" s="53">
        <v>42791.920600000005</v>
      </c>
      <c r="X2502" s="76">
        <f t="shared" si="428"/>
        <v>23189.184000000001</v>
      </c>
      <c r="Y2502" s="53">
        <v>11594.592000000001</v>
      </c>
      <c r="Z2502" s="76">
        <f t="shared" si="428"/>
        <v>81428.335999999996</v>
      </c>
      <c r="AA2502" s="53">
        <v>40714.167999999998</v>
      </c>
      <c r="AH2502" s="53">
        <f t="shared" si="429"/>
        <v>188790.07199999999</v>
      </c>
      <c r="AO2502" s="53">
        <f t="shared" si="431"/>
        <v>156028.57142857142</v>
      </c>
      <c r="AP2502" s="53">
        <f t="shared" si="431"/>
        <v>884250.74999999988</v>
      </c>
      <c r="AQ2502" s="53">
        <f t="shared" si="431"/>
        <v>57055894.133333333</v>
      </c>
      <c r="AR2502" s="53">
        <f t="shared" si="430"/>
        <v>0</v>
      </c>
      <c r="AS2502" s="53">
        <f t="shared" si="430"/>
        <v>1656370.2857142857</v>
      </c>
      <c r="AT2502" s="53">
        <f t="shared" si="430"/>
        <v>5428555.7333333334</v>
      </c>
      <c r="AU2502" s="53">
        <f t="shared" si="430"/>
        <v>0</v>
      </c>
      <c r="AV2502" s="53">
        <f t="shared" si="430"/>
        <v>0</v>
      </c>
      <c r="AW2502" s="53">
        <f t="shared" si="430"/>
        <v>0</v>
      </c>
      <c r="AX2502" s="53">
        <f t="shared" si="426"/>
        <v>0</v>
      </c>
      <c r="AY2502" s="41" t="s">
        <v>557</v>
      </c>
    </row>
    <row r="2503" spans="1:51" x14ac:dyDescent="0.2">
      <c r="A2503" s="41" t="s">
        <v>278</v>
      </c>
      <c r="B2503" s="41">
        <v>1965</v>
      </c>
      <c r="C2503" s="41" t="s">
        <v>91</v>
      </c>
      <c r="D2503" s="41" t="s">
        <v>88</v>
      </c>
      <c r="E2503" s="41">
        <v>0</v>
      </c>
      <c r="F2503" s="41" t="s">
        <v>584</v>
      </c>
      <c r="G2503" s="53">
        <v>294149.272</v>
      </c>
      <c r="H2503" s="46">
        <v>0.51751403199121304</v>
      </c>
      <c r="I2503" s="46">
        <v>2.8138166135321936</v>
      </c>
      <c r="J2503" s="47">
        <v>207.86302461425097</v>
      </c>
      <c r="K2503" s="46"/>
      <c r="L2503" s="46">
        <v>6.0469177975731991</v>
      </c>
      <c r="M2503" s="46">
        <v>17.637930415139696</v>
      </c>
      <c r="R2503" s="76">
        <f t="shared" si="427"/>
        <v>6571.4880000000003</v>
      </c>
      <c r="S2503" s="53">
        <v>1095.248</v>
      </c>
      <c r="T2503" s="53">
        <v>667.40599999999995</v>
      </c>
      <c r="U2503" s="53">
        <v>41413.724099999999</v>
      </c>
      <c r="X2503" s="76">
        <f t="shared" si="428"/>
        <v>22608.031999999999</v>
      </c>
      <c r="Y2503" s="53">
        <v>11304.016</v>
      </c>
      <c r="Z2503" s="76">
        <f t="shared" si="428"/>
        <v>77411.072</v>
      </c>
      <c r="AA2503" s="53">
        <v>38705.536</v>
      </c>
      <c r="AH2503" s="53">
        <f t="shared" si="429"/>
        <v>187558.68</v>
      </c>
      <c r="AO2503" s="53">
        <f t="shared" si="431"/>
        <v>152226.37576000002</v>
      </c>
      <c r="AP2503" s="53">
        <f t="shared" si="431"/>
        <v>827682.10841200012</v>
      </c>
      <c r="AQ2503" s="53">
        <f t="shared" si="431"/>
        <v>61142757.366000004</v>
      </c>
      <c r="AR2503" s="53">
        <f t="shared" si="430"/>
        <v>0</v>
      </c>
      <c r="AS2503" s="53">
        <f t="shared" si="430"/>
        <v>1778696.4679999999</v>
      </c>
      <c r="AT2503" s="53">
        <f t="shared" si="430"/>
        <v>5188184.3911999995</v>
      </c>
      <c r="AU2503" s="53">
        <f t="shared" si="430"/>
        <v>0</v>
      </c>
      <c r="AV2503" s="53">
        <f t="shared" si="430"/>
        <v>0</v>
      </c>
      <c r="AW2503" s="53">
        <f t="shared" si="430"/>
        <v>0</v>
      </c>
      <c r="AX2503" s="53">
        <f t="shared" si="426"/>
        <v>0</v>
      </c>
      <c r="AY2503" s="41" t="s">
        <v>557</v>
      </c>
    </row>
    <row r="2504" spans="1:51" x14ac:dyDescent="0.2">
      <c r="A2504" s="41" t="s">
        <v>278</v>
      </c>
      <c r="B2504" s="41">
        <v>1966</v>
      </c>
      <c r="C2504" s="41" t="s">
        <v>91</v>
      </c>
      <c r="D2504" s="41" t="s">
        <v>88</v>
      </c>
      <c r="E2504" s="41">
        <v>0</v>
      </c>
      <c r="F2504" s="41" t="s">
        <v>584</v>
      </c>
      <c r="G2504" s="53">
        <v>299456.85600000003</v>
      </c>
      <c r="H2504" s="46">
        <v>0.57220169572607815</v>
      </c>
      <c r="I2504" s="46">
        <v>3.0972252180728166</v>
      </c>
      <c r="J2504" s="47">
        <v>198.81369144208207</v>
      </c>
      <c r="K2504" s="46"/>
      <c r="L2504" s="46">
        <v>5.7882907366128231</v>
      </c>
      <c r="M2504" s="46">
        <v>17.514058444532655</v>
      </c>
      <c r="R2504" s="76">
        <f t="shared" si="427"/>
        <v>7400.5439999999999</v>
      </c>
      <c r="S2504" s="53">
        <v>1233.424</v>
      </c>
      <c r="T2504" s="53">
        <v>754.76589999999999</v>
      </c>
      <c r="U2504" s="53">
        <v>45018.587300000007</v>
      </c>
      <c r="X2504" s="76">
        <f t="shared" si="428"/>
        <v>24713.184000000001</v>
      </c>
      <c r="Y2504" s="53">
        <v>12356.592000000001</v>
      </c>
      <c r="Z2504" s="76">
        <f t="shared" si="428"/>
        <v>83116.928</v>
      </c>
      <c r="AA2504" s="53">
        <v>41558.464</v>
      </c>
      <c r="AH2504" s="53">
        <f t="shared" si="429"/>
        <v>184226.2</v>
      </c>
      <c r="AO2504" s="53">
        <f t="shared" si="431"/>
        <v>171349.72080000001</v>
      </c>
      <c r="AP2504" s="53">
        <f t="shared" si="431"/>
        <v>927485.32612800016</v>
      </c>
      <c r="AQ2504" s="53">
        <f t="shared" si="431"/>
        <v>59536122.969000012</v>
      </c>
      <c r="AR2504" s="53">
        <f t="shared" si="430"/>
        <v>0</v>
      </c>
      <c r="AS2504" s="53">
        <f t="shared" si="430"/>
        <v>1733343.3456000003</v>
      </c>
      <c r="AT2504" s="53">
        <f t="shared" si="430"/>
        <v>5244704.8775999993</v>
      </c>
      <c r="AU2504" s="53">
        <f t="shared" si="430"/>
        <v>0</v>
      </c>
      <c r="AV2504" s="53">
        <f t="shared" si="430"/>
        <v>0</v>
      </c>
      <c r="AW2504" s="53">
        <f t="shared" si="430"/>
        <v>0</v>
      </c>
      <c r="AX2504" s="53">
        <f t="shared" si="426"/>
        <v>0</v>
      </c>
      <c r="AY2504" s="41" t="s">
        <v>557</v>
      </c>
    </row>
    <row r="2505" spans="1:51" x14ac:dyDescent="0.2">
      <c r="A2505" s="41" t="s">
        <v>278</v>
      </c>
      <c r="B2505" s="41">
        <v>1967</v>
      </c>
      <c r="C2505" s="41" t="s">
        <v>91</v>
      </c>
      <c r="D2505" s="41" t="s">
        <v>88</v>
      </c>
      <c r="E2505" s="41">
        <v>0</v>
      </c>
      <c r="F2505" s="41" t="s">
        <v>584</v>
      </c>
      <c r="G2505" s="53">
        <v>304478.94400000002</v>
      </c>
      <c r="H2505" s="46">
        <v>0.66126760187397382</v>
      </c>
      <c r="I2505" s="46">
        <v>2.9806015269417121</v>
      </c>
      <c r="J2505" s="47">
        <v>191.82008855101654</v>
      </c>
      <c r="K2505" s="46"/>
      <c r="L2505" s="46">
        <v>5.8413909317814765</v>
      </c>
      <c r="M2505" s="46">
        <v>16.443460445002067</v>
      </c>
      <c r="R2505" s="76">
        <f t="shared" si="427"/>
        <v>7443.2160000000003</v>
      </c>
      <c r="S2505" s="53">
        <v>1240.5360000000001</v>
      </c>
      <c r="T2505" s="53">
        <v>781.54300000000001</v>
      </c>
      <c r="U2505" s="53">
        <v>44409.866999999998</v>
      </c>
      <c r="X2505" s="76">
        <f t="shared" si="428"/>
        <v>24241.759999999998</v>
      </c>
      <c r="Y2505" s="53">
        <v>12120.88</v>
      </c>
      <c r="Z2505" s="76">
        <f t="shared" si="428"/>
        <v>81749.392000000007</v>
      </c>
      <c r="AA2505" s="53">
        <v>40874.696000000004</v>
      </c>
      <c r="AH2505" s="53">
        <f t="shared" si="429"/>
        <v>191044.576</v>
      </c>
      <c r="AO2505" s="53">
        <f t="shared" si="431"/>
        <v>201342.06111999997</v>
      </c>
      <c r="AP2505" s="53">
        <f t="shared" si="431"/>
        <v>907530.40540800011</v>
      </c>
      <c r="AQ2505" s="53">
        <f t="shared" si="431"/>
        <v>58405178.000000007</v>
      </c>
      <c r="AR2505" s="53">
        <f t="shared" si="430"/>
        <v>0</v>
      </c>
      <c r="AS2505" s="53">
        <f t="shared" si="430"/>
        <v>1778580.5424000002</v>
      </c>
      <c r="AT2505" s="53">
        <f t="shared" si="430"/>
        <v>5006687.4720000001</v>
      </c>
      <c r="AU2505" s="53">
        <f t="shared" si="430"/>
        <v>0</v>
      </c>
      <c r="AV2505" s="53">
        <f t="shared" si="430"/>
        <v>0</v>
      </c>
      <c r="AW2505" s="53">
        <f t="shared" si="430"/>
        <v>0</v>
      </c>
      <c r="AX2505" s="53">
        <f t="shared" si="426"/>
        <v>0</v>
      </c>
      <c r="AY2505" s="41" t="s">
        <v>557</v>
      </c>
    </row>
    <row r="2506" spans="1:51" x14ac:dyDescent="0.2">
      <c r="A2506" s="41" t="s">
        <v>278</v>
      </c>
      <c r="B2506" s="41">
        <v>1968</v>
      </c>
      <c r="C2506" s="41" t="s">
        <v>91</v>
      </c>
      <c r="D2506" s="41" t="s">
        <v>88</v>
      </c>
      <c r="E2506" s="41">
        <v>0</v>
      </c>
      <c r="F2506" s="41" t="s">
        <v>584</v>
      </c>
      <c r="G2506" s="53">
        <v>306735.48</v>
      </c>
      <c r="H2506" s="46">
        <v>0.57482062238121256</v>
      </c>
      <c r="I2506" s="46">
        <v>2.7474529736175288</v>
      </c>
      <c r="J2506" s="47">
        <v>179.28987347665159</v>
      </c>
      <c r="K2506" s="46"/>
      <c r="L2506" s="46">
        <v>5.235837101074841</v>
      </c>
      <c r="M2506" s="46">
        <v>15.602312648018417</v>
      </c>
      <c r="R2506" s="76">
        <f t="shared" si="427"/>
        <v>7943.0879999999997</v>
      </c>
      <c r="S2506" s="53">
        <v>1323.848</v>
      </c>
      <c r="T2506" s="53">
        <v>752.62</v>
      </c>
      <c r="U2506" s="53">
        <v>43131.999100000001</v>
      </c>
      <c r="X2506" s="76">
        <f t="shared" si="428"/>
        <v>23884.128000000001</v>
      </c>
      <c r="Y2506" s="53">
        <v>11942.064</v>
      </c>
      <c r="Z2506" s="76">
        <f t="shared" si="428"/>
        <v>81403.952000000005</v>
      </c>
      <c r="AA2506" s="53">
        <v>40701.976000000002</v>
      </c>
      <c r="AH2506" s="53">
        <f t="shared" si="429"/>
        <v>193504.31199999998</v>
      </c>
      <c r="AO2506" s="53">
        <f t="shared" si="431"/>
        <v>176317.87951999996</v>
      </c>
      <c r="AP2506" s="53">
        <f t="shared" si="431"/>
        <v>842741.30663999997</v>
      </c>
      <c r="AQ2506" s="53">
        <f t="shared" si="431"/>
        <v>54994565.399999991</v>
      </c>
      <c r="AR2506" s="53">
        <f t="shared" si="430"/>
        <v>0</v>
      </c>
      <c r="AS2506" s="53">
        <f t="shared" si="430"/>
        <v>1606017.0063999998</v>
      </c>
      <c r="AT2506" s="53">
        <f t="shared" si="430"/>
        <v>4785782.8591999998</v>
      </c>
      <c r="AU2506" s="53">
        <f t="shared" si="430"/>
        <v>0</v>
      </c>
      <c r="AV2506" s="53">
        <f t="shared" si="430"/>
        <v>0</v>
      </c>
      <c r="AW2506" s="53">
        <f t="shared" si="430"/>
        <v>0</v>
      </c>
      <c r="AX2506" s="53">
        <f t="shared" si="426"/>
        <v>0</v>
      </c>
      <c r="AY2506" s="41" t="s">
        <v>557</v>
      </c>
    </row>
    <row r="2507" spans="1:51" x14ac:dyDescent="0.2">
      <c r="A2507" s="41" t="s">
        <v>278</v>
      </c>
      <c r="B2507" s="41">
        <v>1969</v>
      </c>
      <c r="C2507" s="41" t="s">
        <v>91</v>
      </c>
      <c r="D2507" s="41" t="s">
        <v>88</v>
      </c>
      <c r="E2507" s="41">
        <v>0</v>
      </c>
      <c r="F2507" s="41" t="s">
        <v>584</v>
      </c>
      <c r="G2507" s="53">
        <v>287968.94400000002</v>
      </c>
      <c r="H2507" s="46">
        <v>0.61985640396000485</v>
      </c>
      <c r="I2507" s="46">
        <v>3.3295121509769467</v>
      </c>
      <c r="J2507" s="47">
        <v>172.59787655435511</v>
      </c>
      <c r="K2507" s="46"/>
      <c r="L2507" s="46">
        <v>5.3045228871624435</v>
      </c>
      <c r="M2507" s="46">
        <v>16.003206390200187</v>
      </c>
      <c r="R2507" s="76">
        <f t="shared" si="427"/>
        <v>8150.3520000000008</v>
      </c>
      <c r="S2507" s="53">
        <v>1358.3920000000001</v>
      </c>
      <c r="T2507" s="53">
        <v>814.41570000000002</v>
      </c>
      <c r="U2507" s="53">
        <v>42909.167600000001</v>
      </c>
      <c r="X2507" s="76">
        <f t="shared" si="428"/>
        <v>23835.360000000001</v>
      </c>
      <c r="Y2507" s="53">
        <v>11917.68</v>
      </c>
      <c r="Z2507" s="76">
        <f t="shared" si="428"/>
        <v>83557.872000000003</v>
      </c>
      <c r="AA2507" s="53">
        <v>41778.936000000002</v>
      </c>
      <c r="AH2507" s="53">
        <f t="shared" si="429"/>
        <v>172425.36000000002</v>
      </c>
      <c r="AO2507" s="53">
        <f t="shared" si="431"/>
        <v>178499.39408000003</v>
      </c>
      <c r="AP2507" s="53">
        <f t="shared" si="431"/>
        <v>958796.09815199999</v>
      </c>
      <c r="AQ2507" s="53">
        <f t="shared" si="431"/>
        <v>49702828.248000003</v>
      </c>
      <c r="AR2507" s="53">
        <f t="shared" si="430"/>
        <v>0</v>
      </c>
      <c r="AS2507" s="53">
        <f t="shared" si="430"/>
        <v>1527537.85424</v>
      </c>
      <c r="AT2507" s="53">
        <f t="shared" si="430"/>
        <v>4608426.4448000006</v>
      </c>
      <c r="AU2507" s="53">
        <f t="shared" si="430"/>
        <v>0</v>
      </c>
      <c r="AV2507" s="53">
        <f t="shared" si="430"/>
        <v>0</v>
      </c>
      <c r="AW2507" s="53">
        <f t="shared" si="430"/>
        <v>0</v>
      </c>
      <c r="AX2507" s="53">
        <f t="shared" si="426"/>
        <v>0</v>
      </c>
      <c r="AY2507" s="41" t="s">
        <v>557</v>
      </c>
    </row>
    <row r="2508" spans="1:51" x14ac:dyDescent="0.2">
      <c r="A2508" s="41" t="s">
        <v>278</v>
      </c>
      <c r="B2508" s="41">
        <v>1970</v>
      </c>
      <c r="C2508" s="41" t="s">
        <v>91</v>
      </c>
      <c r="D2508" s="41" t="s">
        <v>88</v>
      </c>
      <c r="E2508" s="41">
        <v>0</v>
      </c>
      <c r="F2508" s="41" t="s">
        <v>584</v>
      </c>
      <c r="G2508" s="53">
        <v>299254.67200000002</v>
      </c>
      <c r="H2508" s="46">
        <v>0.65302170827929462</v>
      </c>
      <c r="I2508" s="46">
        <v>3.8377502597252677</v>
      </c>
      <c r="J2508" s="47">
        <v>171.71222833239509</v>
      </c>
      <c r="K2508" s="46"/>
      <c r="L2508" s="46">
        <v>5.1861234730530787</v>
      </c>
      <c r="M2508" s="46">
        <v>16.494375878482526</v>
      </c>
      <c r="R2508" s="76">
        <f t="shared" si="427"/>
        <v>7656.576</v>
      </c>
      <c r="S2508" s="53">
        <v>1276.096</v>
      </c>
      <c r="T2508" s="53">
        <v>823.15480000000002</v>
      </c>
      <c r="U2508" s="53">
        <v>40517.142200000002</v>
      </c>
      <c r="X2508" s="76">
        <f t="shared" si="428"/>
        <v>21409.152000000002</v>
      </c>
      <c r="Y2508" s="53">
        <v>10704.576000000001</v>
      </c>
      <c r="Z2508" s="76">
        <f t="shared" si="428"/>
        <v>76598.271999999997</v>
      </c>
      <c r="AA2508" s="53">
        <v>38299.135999999999</v>
      </c>
      <c r="AH2508" s="53">
        <f t="shared" si="429"/>
        <v>193590.67200000002</v>
      </c>
      <c r="AO2508" s="53">
        <f t="shared" si="431"/>
        <v>195419.79712</v>
      </c>
      <c r="AP2508" s="53">
        <f t="shared" si="431"/>
        <v>1148464.6951919999</v>
      </c>
      <c r="AQ2508" s="53">
        <f t="shared" si="431"/>
        <v>51385686.568000004</v>
      </c>
      <c r="AR2508" s="53">
        <f t="shared" si="430"/>
        <v>0</v>
      </c>
      <c r="AS2508" s="53">
        <f t="shared" si="430"/>
        <v>1551971.67888</v>
      </c>
      <c r="AT2508" s="53">
        <f t="shared" si="430"/>
        <v>4936019.0433600005</v>
      </c>
      <c r="AU2508" s="53">
        <f t="shared" si="430"/>
        <v>0</v>
      </c>
      <c r="AV2508" s="53">
        <f t="shared" si="430"/>
        <v>0</v>
      </c>
      <c r="AW2508" s="53">
        <f t="shared" si="430"/>
        <v>0</v>
      </c>
      <c r="AX2508" s="53">
        <f t="shared" si="426"/>
        <v>0</v>
      </c>
      <c r="AY2508" s="41" t="s">
        <v>557</v>
      </c>
    </row>
    <row r="2509" spans="1:51" x14ac:dyDescent="0.2">
      <c r="A2509" s="41" t="s">
        <v>278</v>
      </c>
      <c r="B2509" s="41">
        <v>1971</v>
      </c>
      <c r="C2509" s="41" t="s">
        <v>91</v>
      </c>
      <c r="D2509" s="41" t="s">
        <v>88</v>
      </c>
      <c r="E2509" s="41">
        <v>0</v>
      </c>
      <c r="F2509" s="41" t="s">
        <v>584</v>
      </c>
      <c r="G2509" s="53">
        <v>329910.44</v>
      </c>
      <c r="H2509" s="46">
        <v>0.71504276057465777</v>
      </c>
      <c r="I2509" s="46">
        <v>4.7699718091249252</v>
      </c>
      <c r="J2509" s="47">
        <v>198.04909655481046</v>
      </c>
      <c r="K2509" s="46"/>
      <c r="L2509" s="46">
        <v>5.5037700752967984</v>
      </c>
      <c r="M2509" s="46">
        <v>16.505492570407899</v>
      </c>
      <c r="R2509" s="76">
        <f t="shared" si="427"/>
        <v>10015.727999999999</v>
      </c>
      <c r="S2509" s="53">
        <v>1669.288</v>
      </c>
      <c r="T2509" s="53">
        <v>1238.6508000000001</v>
      </c>
      <c r="U2509" s="53">
        <v>48249.068700000003</v>
      </c>
      <c r="X2509" s="76">
        <f t="shared" si="428"/>
        <v>24902.16</v>
      </c>
      <c r="Y2509" s="53">
        <v>12451.08</v>
      </c>
      <c r="Z2509" s="76">
        <f t="shared" si="428"/>
        <v>83683.856</v>
      </c>
      <c r="AA2509" s="53">
        <v>41841.928</v>
      </c>
      <c r="AH2509" s="53">
        <f t="shared" si="429"/>
        <v>211308.69600000003</v>
      </c>
      <c r="AO2509" s="53">
        <f t="shared" si="431"/>
        <v>235900.07175999999</v>
      </c>
      <c r="AP2509" s="53">
        <f t="shared" si="431"/>
        <v>1573663.4983360001</v>
      </c>
      <c r="AQ2509" s="53">
        <f t="shared" si="431"/>
        <v>65338464.586000003</v>
      </c>
      <c r="AR2509" s="53">
        <f t="shared" si="430"/>
        <v>0</v>
      </c>
      <c r="AS2509" s="53">
        <f t="shared" si="430"/>
        <v>1815751.2071999998</v>
      </c>
      <c r="AT2509" s="53">
        <f t="shared" si="430"/>
        <v>5445334.3163200011</v>
      </c>
      <c r="AU2509" s="53">
        <f t="shared" si="430"/>
        <v>0</v>
      </c>
      <c r="AV2509" s="53">
        <f t="shared" si="430"/>
        <v>0</v>
      </c>
      <c r="AW2509" s="53">
        <f t="shared" si="430"/>
        <v>0</v>
      </c>
      <c r="AX2509" s="53">
        <f t="shared" si="426"/>
        <v>0</v>
      </c>
      <c r="AY2509" s="41" t="s">
        <v>557</v>
      </c>
    </row>
    <row r="2510" spans="1:51" x14ac:dyDescent="0.2">
      <c r="A2510" s="41" t="s">
        <v>278</v>
      </c>
      <c r="B2510" s="41">
        <v>1972</v>
      </c>
      <c r="C2510" s="41" t="s">
        <v>91</v>
      </c>
      <c r="D2510" s="41" t="s">
        <v>88</v>
      </c>
      <c r="E2510" s="41">
        <v>0</v>
      </c>
      <c r="F2510" s="41" t="s">
        <v>584</v>
      </c>
      <c r="G2510" s="53">
        <v>542628.32799999998</v>
      </c>
      <c r="H2510" s="46">
        <v>0.58061484825392307</v>
      </c>
      <c r="I2510" s="46">
        <v>3.6777725756109065</v>
      </c>
      <c r="J2510" s="47">
        <v>200.17005349009349</v>
      </c>
      <c r="K2510" s="46"/>
      <c r="L2510" s="46">
        <v>5.4444673955171758</v>
      </c>
      <c r="M2510" s="46">
        <v>15.986796284472637</v>
      </c>
      <c r="R2510" s="76">
        <f t="shared" si="427"/>
        <v>14868.144</v>
      </c>
      <c r="S2510" s="53">
        <v>2478.0239999999999</v>
      </c>
      <c r="T2510" s="53">
        <v>1299.4824000000001</v>
      </c>
      <c r="U2510" s="53">
        <v>72467.882700000002</v>
      </c>
      <c r="X2510" s="76">
        <f t="shared" si="428"/>
        <v>40603.423999999999</v>
      </c>
      <c r="Y2510" s="53">
        <v>20301.712</v>
      </c>
      <c r="Z2510" s="76">
        <f t="shared" si="428"/>
        <v>133616.19200000001</v>
      </c>
      <c r="AA2510" s="53">
        <v>66808.096000000005</v>
      </c>
      <c r="AH2510" s="53">
        <f t="shared" si="429"/>
        <v>353540.56799999997</v>
      </c>
      <c r="AO2510" s="53">
        <f t="shared" si="431"/>
        <v>315058.06432</v>
      </c>
      <c r="AP2510" s="53">
        <f t="shared" si="431"/>
        <v>1995663.5834679997</v>
      </c>
      <c r="AQ2510" s="53">
        <f t="shared" si="431"/>
        <v>108617941.441</v>
      </c>
      <c r="AR2510" s="53">
        <f t="shared" si="430"/>
        <v>0</v>
      </c>
      <c r="AS2510" s="53">
        <f t="shared" si="430"/>
        <v>2954322.2396799996</v>
      </c>
      <c r="AT2510" s="53">
        <f t="shared" si="430"/>
        <v>8674888.53792</v>
      </c>
      <c r="AU2510" s="53">
        <f t="shared" si="430"/>
        <v>0</v>
      </c>
      <c r="AV2510" s="53">
        <f t="shared" si="430"/>
        <v>0</v>
      </c>
      <c r="AW2510" s="53">
        <f t="shared" si="430"/>
        <v>0</v>
      </c>
      <c r="AX2510" s="53">
        <f t="shared" si="426"/>
        <v>0</v>
      </c>
      <c r="AY2510" s="41" t="s">
        <v>557</v>
      </c>
    </row>
    <row r="2511" spans="1:51" x14ac:dyDescent="0.2">
      <c r="A2511" s="41" t="s">
        <v>278</v>
      </c>
      <c r="B2511" s="41">
        <v>1973</v>
      </c>
      <c r="C2511" s="41" t="s">
        <v>91</v>
      </c>
      <c r="D2511" s="41" t="s">
        <v>88</v>
      </c>
      <c r="E2511" s="41">
        <v>0</v>
      </c>
      <c r="F2511" s="41" t="s">
        <v>584</v>
      </c>
      <c r="G2511" s="53">
        <v>485413</v>
      </c>
      <c r="H2511" s="46">
        <v>0.59073510598191648</v>
      </c>
      <c r="I2511" s="46">
        <v>3.3563444530739801</v>
      </c>
      <c r="J2511" s="47">
        <v>184.11405545380944</v>
      </c>
      <c r="K2511" s="46"/>
      <c r="L2511" s="46">
        <v>5.0272507946841136</v>
      </c>
      <c r="M2511" s="46">
        <v>14.671056213986853</v>
      </c>
      <c r="R2511" s="76">
        <f t="shared" si="427"/>
        <v>10476</v>
      </c>
      <c r="S2511" s="53">
        <v>1746</v>
      </c>
      <c r="T2511" s="53">
        <v>876</v>
      </c>
      <c r="U2511" s="53">
        <v>55473</v>
      </c>
      <c r="X2511" s="76">
        <f t="shared" si="428"/>
        <v>28724</v>
      </c>
      <c r="Y2511" s="53">
        <v>14362</v>
      </c>
      <c r="Z2511" s="76">
        <f t="shared" si="428"/>
        <v>104298</v>
      </c>
      <c r="AA2511" s="53">
        <v>52149</v>
      </c>
      <c r="AH2511" s="53">
        <f t="shared" si="429"/>
        <v>341915</v>
      </c>
      <c r="AO2511" s="53">
        <f t="shared" si="431"/>
        <v>286750.5</v>
      </c>
      <c r="AP2511" s="53">
        <f t="shared" si="431"/>
        <v>1629213.23</v>
      </c>
      <c r="AQ2511" s="53">
        <f t="shared" si="431"/>
        <v>89371356</v>
      </c>
      <c r="AR2511" s="53">
        <f t="shared" si="430"/>
        <v>0</v>
      </c>
      <c r="AS2511" s="53">
        <f t="shared" si="430"/>
        <v>2440292.8899999997</v>
      </c>
      <c r="AT2511" s="53">
        <f t="shared" si="430"/>
        <v>7121521.4100000001</v>
      </c>
      <c r="AU2511" s="53">
        <f t="shared" si="430"/>
        <v>0</v>
      </c>
      <c r="AV2511" s="53">
        <f t="shared" si="430"/>
        <v>0</v>
      </c>
      <c r="AW2511" s="53">
        <f t="shared" si="430"/>
        <v>0</v>
      </c>
      <c r="AX2511" s="53">
        <f t="shared" si="426"/>
        <v>0</v>
      </c>
      <c r="AY2511" s="41" t="s">
        <v>557</v>
      </c>
    </row>
    <row r="2512" spans="1:51" x14ac:dyDescent="0.2">
      <c r="A2512" s="41" t="s">
        <v>278</v>
      </c>
      <c r="B2512" s="41">
        <v>1974</v>
      </c>
      <c r="C2512" s="41" t="s">
        <v>91</v>
      </c>
      <c r="D2512" s="41" t="s">
        <v>88</v>
      </c>
      <c r="E2512" s="41">
        <v>0</v>
      </c>
      <c r="F2512" s="41" t="s">
        <v>584</v>
      </c>
      <c r="G2512" s="53">
        <v>492427</v>
      </c>
      <c r="H2512" s="46">
        <v>0.80336661068544168</v>
      </c>
      <c r="I2512" s="46">
        <v>3.1452814325778236</v>
      </c>
      <c r="J2512" s="47">
        <v>177.73159270308085</v>
      </c>
      <c r="K2512" s="46"/>
      <c r="L2512" s="46">
        <v>4.5397013161341677</v>
      </c>
      <c r="M2512" s="46">
        <v>14.339867838278568</v>
      </c>
      <c r="R2512" s="76">
        <f t="shared" si="427"/>
        <v>15330</v>
      </c>
      <c r="S2512" s="53">
        <v>2555</v>
      </c>
      <c r="T2512" s="53">
        <v>890</v>
      </c>
      <c r="U2512" s="53">
        <v>56422</v>
      </c>
      <c r="X2512" s="76">
        <f t="shared" si="428"/>
        <v>25270</v>
      </c>
      <c r="Y2512" s="53">
        <v>12635</v>
      </c>
      <c r="Z2512" s="76">
        <f t="shared" si="428"/>
        <v>107606</v>
      </c>
      <c r="AA2512" s="53">
        <v>53803</v>
      </c>
      <c r="AH2512" s="53">
        <f t="shared" si="429"/>
        <v>344221</v>
      </c>
      <c r="AO2512" s="53">
        <f t="shared" si="431"/>
        <v>395599.41</v>
      </c>
      <c r="AP2512" s="53">
        <f t="shared" si="431"/>
        <v>1548821.5</v>
      </c>
      <c r="AQ2512" s="53">
        <f t="shared" si="431"/>
        <v>87519835</v>
      </c>
      <c r="AR2512" s="53">
        <f t="shared" si="430"/>
        <v>0</v>
      </c>
      <c r="AS2512" s="53">
        <f t="shared" si="430"/>
        <v>2235471.5</v>
      </c>
      <c r="AT2512" s="53">
        <f t="shared" si="430"/>
        <v>7061338.1000000006</v>
      </c>
      <c r="AU2512" s="53">
        <f t="shared" si="430"/>
        <v>0</v>
      </c>
      <c r="AV2512" s="53">
        <f t="shared" si="430"/>
        <v>0</v>
      </c>
      <c r="AW2512" s="53">
        <f t="shared" si="430"/>
        <v>0</v>
      </c>
      <c r="AX2512" s="53">
        <f t="shared" si="426"/>
        <v>0</v>
      </c>
      <c r="AY2512" s="41" t="s">
        <v>557</v>
      </c>
    </row>
    <row r="2513" spans="1:51" x14ac:dyDescent="0.2">
      <c r="A2513" s="41" t="s">
        <v>278</v>
      </c>
      <c r="B2513" s="41">
        <v>1975</v>
      </c>
      <c r="C2513" s="41" t="s">
        <v>91</v>
      </c>
      <c r="D2513" s="41" t="s">
        <v>88</v>
      </c>
      <c r="E2513" s="41">
        <v>0</v>
      </c>
      <c r="F2513" s="41" t="s">
        <v>584</v>
      </c>
      <c r="G2513" s="53">
        <v>559700</v>
      </c>
      <c r="H2513" s="46">
        <v>0.71040128640343037</v>
      </c>
      <c r="I2513" s="46">
        <v>1.9151287118098983</v>
      </c>
      <c r="J2513" s="47">
        <v>133.52997071645524</v>
      </c>
      <c r="K2513" s="46"/>
      <c r="L2513" s="46">
        <v>4.2882640700375205</v>
      </c>
      <c r="M2513" s="46">
        <v>12.812980829015544</v>
      </c>
      <c r="R2513" s="76">
        <f t="shared" si="427"/>
        <v>13044</v>
      </c>
      <c r="S2513" s="53">
        <v>2174</v>
      </c>
      <c r="T2513" s="53">
        <v>975</v>
      </c>
      <c r="U2513" s="53">
        <v>51451</v>
      </c>
      <c r="X2513" s="76">
        <f t="shared" si="428"/>
        <v>22760</v>
      </c>
      <c r="Y2513" s="53">
        <v>11380</v>
      </c>
      <c r="Z2513" s="76">
        <f t="shared" si="428"/>
        <v>108652</v>
      </c>
      <c r="AA2513" s="53">
        <v>54326</v>
      </c>
      <c r="AH2513" s="53">
        <f t="shared" si="429"/>
        <v>415244</v>
      </c>
      <c r="AO2513" s="53">
        <f t="shared" si="431"/>
        <v>397611.6</v>
      </c>
      <c r="AP2513" s="53">
        <f t="shared" si="431"/>
        <v>1071897.54</v>
      </c>
      <c r="AQ2513" s="53">
        <f t="shared" si="431"/>
        <v>74736724.609999999</v>
      </c>
      <c r="AR2513" s="53">
        <f t="shared" si="430"/>
        <v>0</v>
      </c>
      <c r="AS2513" s="53">
        <f t="shared" si="430"/>
        <v>2400141.4000000004</v>
      </c>
      <c r="AT2513" s="53">
        <f t="shared" si="430"/>
        <v>7171425.3700000001</v>
      </c>
      <c r="AU2513" s="53">
        <f t="shared" si="430"/>
        <v>0</v>
      </c>
      <c r="AV2513" s="53">
        <f t="shared" si="430"/>
        <v>0</v>
      </c>
      <c r="AW2513" s="53">
        <f t="shared" si="430"/>
        <v>0</v>
      </c>
      <c r="AX2513" s="53">
        <f t="shared" si="426"/>
        <v>0</v>
      </c>
      <c r="AY2513" s="41" t="s">
        <v>557</v>
      </c>
    </row>
    <row r="2514" spans="1:51" x14ac:dyDescent="0.2">
      <c r="A2514" s="41" t="s">
        <v>278</v>
      </c>
      <c r="B2514" s="41">
        <v>1976</v>
      </c>
      <c r="C2514" s="41" t="s">
        <v>91</v>
      </c>
      <c r="D2514" s="41" t="s">
        <v>88</v>
      </c>
      <c r="E2514" s="133">
        <v>11.657837482249114</v>
      </c>
      <c r="F2514" s="41" t="s">
        <v>584</v>
      </c>
      <c r="G2514" s="53">
        <v>603491</v>
      </c>
      <c r="H2514" s="46">
        <v>0.72657736403691198</v>
      </c>
      <c r="I2514" s="46">
        <v>2.5551888926264019</v>
      </c>
      <c r="J2514" s="47">
        <v>137.41440551723224</v>
      </c>
      <c r="K2514" s="46"/>
      <c r="L2514" s="46">
        <v>3.5493533457831181</v>
      </c>
      <c r="M2514" s="46">
        <v>11.628315749530648</v>
      </c>
      <c r="R2514" s="76">
        <f t="shared" si="427"/>
        <v>16254</v>
      </c>
      <c r="S2514" s="53">
        <v>2709</v>
      </c>
      <c r="T2514" s="53">
        <v>896</v>
      </c>
      <c r="U2514" s="53">
        <v>50087</v>
      </c>
      <c r="X2514" s="76">
        <f t="shared" si="428"/>
        <v>24140</v>
      </c>
      <c r="Y2514" s="53">
        <v>12070</v>
      </c>
      <c r="Z2514" s="76">
        <f t="shared" si="428"/>
        <v>99394</v>
      </c>
      <c r="AA2514" s="53">
        <v>49697</v>
      </c>
      <c r="AH2514" s="53">
        <f t="shared" si="429"/>
        <v>463703</v>
      </c>
      <c r="AO2514" s="53">
        <f t="shared" si="431"/>
        <v>438482.9</v>
      </c>
      <c r="AP2514" s="53">
        <f t="shared" si="431"/>
        <v>1542033.5</v>
      </c>
      <c r="AQ2514" s="53">
        <f t="shared" si="431"/>
        <v>82928357</v>
      </c>
      <c r="AR2514" s="53">
        <f t="shared" si="430"/>
        <v>0</v>
      </c>
      <c r="AS2514" s="53">
        <f t="shared" si="430"/>
        <v>2142002.7999999998</v>
      </c>
      <c r="AT2514" s="53">
        <f t="shared" si="430"/>
        <v>7017583.9000000004</v>
      </c>
      <c r="AU2514" s="53">
        <f t="shared" si="430"/>
        <v>0</v>
      </c>
      <c r="AV2514" s="53">
        <f t="shared" si="430"/>
        <v>0</v>
      </c>
      <c r="AW2514" s="53">
        <f t="shared" si="430"/>
        <v>0</v>
      </c>
      <c r="AX2514" s="53">
        <f t="shared" si="426"/>
        <v>7035400</v>
      </c>
      <c r="AY2514" s="41" t="s">
        <v>557</v>
      </c>
    </row>
    <row r="2515" spans="1:51" x14ac:dyDescent="0.2">
      <c r="A2515" s="41" t="s">
        <v>278</v>
      </c>
      <c r="B2515" s="41">
        <v>1977</v>
      </c>
      <c r="C2515" s="41" t="s">
        <v>91</v>
      </c>
      <c r="D2515" s="41" t="s">
        <v>88</v>
      </c>
      <c r="E2515" s="133">
        <v>12.732847343450549</v>
      </c>
      <c r="F2515" s="41" t="s">
        <v>584</v>
      </c>
      <c r="G2515" s="53">
        <v>608929</v>
      </c>
      <c r="H2515" s="46">
        <v>0.70171951081324746</v>
      </c>
      <c r="I2515" s="46">
        <v>2.907750164633315</v>
      </c>
      <c r="J2515" s="47">
        <v>144.33009267090253</v>
      </c>
      <c r="K2515" s="46"/>
      <c r="L2515" s="46">
        <v>3.9988831210206781</v>
      </c>
      <c r="M2515" s="46">
        <v>13.002367106838401</v>
      </c>
      <c r="R2515" s="76">
        <f t="shared" si="427"/>
        <v>17796</v>
      </c>
      <c r="S2515" s="53">
        <v>2966</v>
      </c>
      <c r="T2515" s="53">
        <v>1235</v>
      </c>
      <c r="U2515" s="53">
        <v>63209</v>
      </c>
      <c r="X2515" s="76">
        <f t="shared" si="428"/>
        <v>32034</v>
      </c>
      <c r="Y2515" s="53">
        <v>16017</v>
      </c>
      <c r="Z2515" s="76">
        <f t="shared" si="428"/>
        <v>126140</v>
      </c>
      <c r="AA2515" s="53">
        <v>63070</v>
      </c>
      <c r="AH2515" s="53">
        <f t="shared" si="429"/>
        <v>432959</v>
      </c>
      <c r="AO2515" s="53">
        <f t="shared" si="431"/>
        <v>427297.36</v>
      </c>
      <c r="AP2515" s="53">
        <f t="shared" si="431"/>
        <v>1770613.4</v>
      </c>
      <c r="AQ2515" s="53">
        <f t="shared" si="431"/>
        <v>87886779</v>
      </c>
      <c r="AR2515" s="53">
        <f t="shared" si="430"/>
        <v>0</v>
      </c>
      <c r="AS2515" s="53">
        <f t="shared" si="430"/>
        <v>2435035.9000000004</v>
      </c>
      <c r="AT2515" s="53">
        <f t="shared" si="430"/>
        <v>7917518.4000000004</v>
      </c>
      <c r="AU2515" s="53">
        <f t="shared" si="430"/>
        <v>0</v>
      </c>
      <c r="AV2515" s="53">
        <f t="shared" si="430"/>
        <v>0</v>
      </c>
      <c r="AW2515" s="53">
        <f t="shared" si="430"/>
        <v>0</v>
      </c>
      <c r="AX2515" s="53">
        <f t="shared" si="426"/>
        <v>7753400</v>
      </c>
      <c r="AY2515" s="41" t="s">
        <v>557</v>
      </c>
    </row>
    <row r="2516" spans="1:51" x14ac:dyDescent="0.2">
      <c r="A2516" s="41" t="s">
        <v>278</v>
      </c>
      <c r="B2516" s="41">
        <v>1978</v>
      </c>
      <c r="C2516" s="41" t="s">
        <v>91</v>
      </c>
      <c r="D2516" s="41" t="s">
        <v>88</v>
      </c>
      <c r="E2516" s="129">
        <v>12</v>
      </c>
      <c r="F2516" s="41" t="s">
        <v>584</v>
      </c>
      <c r="G2516" s="53">
        <v>656858</v>
      </c>
      <c r="H2516" s="41">
        <v>0.66</v>
      </c>
      <c r="I2516" s="41">
        <v>2.75</v>
      </c>
      <c r="J2516" s="41">
        <v>135</v>
      </c>
      <c r="L2516" s="41">
        <v>3.69</v>
      </c>
      <c r="M2516" s="41">
        <v>11.66</v>
      </c>
      <c r="R2516" s="76">
        <f t="shared" si="427"/>
        <v>24024</v>
      </c>
      <c r="S2516" s="53">
        <v>4004</v>
      </c>
      <c r="T2516" s="53">
        <v>1363</v>
      </c>
      <c r="U2516" s="53">
        <v>93527</v>
      </c>
      <c r="X2516" s="76">
        <f t="shared" si="428"/>
        <v>45508</v>
      </c>
      <c r="Y2516" s="53">
        <v>22754</v>
      </c>
      <c r="Z2516" s="76">
        <f t="shared" si="428"/>
        <v>154776</v>
      </c>
      <c r="AA2516" s="53">
        <v>77388</v>
      </c>
      <c r="AH2516" s="53">
        <f t="shared" si="429"/>
        <v>432550</v>
      </c>
      <c r="AO2516" s="53">
        <f t="shared" si="431"/>
        <v>433526.28</v>
      </c>
      <c r="AP2516" s="53">
        <f t="shared" si="431"/>
        <v>1806359.5</v>
      </c>
      <c r="AQ2516" s="53">
        <f t="shared" si="431"/>
        <v>88675830</v>
      </c>
      <c r="AR2516" s="53">
        <f t="shared" si="430"/>
        <v>0</v>
      </c>
      <c r="AS2516" s="53">
        <f t="shared" si="430"/>
        <v>2423806.02</v>
      </c>
      <c r="AT2516" s="53">
        <f t="shared" si="430"/>
        <v>7658964.2800000003</v>
      </c>
      <c r="AU2516" s="53">
        <f t="shared" si="430"/>
        <v>0</v>
      </c>
      <c r="AV2516" s="53">
        <f t="shared" si="430"/>
        <v>0</v>
      </c>
      <c r="AW2516" s="53">
        <f t="shared" si="430"/>
        <v>0</v>
      </c>
      <c r="AX2516" s="53">
        <f t="shared" si="426"/>
        <v>7882296</v>
      </c>
      <c r="AY2516" s="41" t="s">
        <v>557</v>
      </c>
    </row>
    <row r="2517" spans="1:51" x14ac:dyDescent="0.2">
      <c r="A2517" s="41" t="s">
        <v>278</v>
      </c>
      <c r="B2517" s="41">
        <v>1979</v>
      </c>
      <c r="C2517" s="41" t="s">
        <v>91</v>
      </c>
      <c r="D2517" s="41" t="s">
        <v>88</v>
      </c>
      <c r="E2517" s="133">
        <v>11.327559827091905</v>
      </c>
      <c r="F2517" s="41" t="s">
        <v>584</v>
      </c>
      <c r="G2517" s="53">
        <v>698395</v>
      </c>
      <c r="H2517" s="41">
        <v>0.64</v>
      </c>
      <c r="I2517" s="41">
        <v>2.48</v>
      </c>
      <c r="J2517" s="41">
        <v>119</v>
      </c>
      <c r="L2517" s="41">
        <v>3.55</v>
      </c>
      <c r="M2517" s="41">
        <v>11.31</v>
      </c>
      <c r="R2517" s="76">
        <f t="shared" si="427"/>
        <v>23298</v>
      </c>
      <c r="S2517" s="53">
        <v>3883</v>
      </c>
      <c r="T2517" s="53">
        <v>1318.3</v>
      </c>
      <c r="U2517" s="53">
        <v>73989</v>
      </c>
      <c r="X2517" s="76">
        <f t="shared" si="428"/>
        <v>44320</v>
      </c>
      <c r="Y2517" s="53">
        <v>22160</v>
      </c>
      <c r="Z2517" s="76">
        <f t="shared" si="428"/>
        <v>150458</v>
      </c>
      <c r="AA2517" s="53">
        <v>75229</v>
      </c>
      <c r="AH2517" s="53">
        <f t="shared" si="429"/>
        <v>480319</v>
      </c>
      <c r="AO2517" s="53">
        <f t="shared" si="431"/>
        <v>446972.8</v>
      </c>
      <c r="AP2517" s="53">
        <f t="shared" si="431"/>
        <v>1732019.6</v>
      </c>
      <c r="AQ2517" s="53">
        <f t="shared" si="431"/>
        <v>83109005</v>
      </c>
      <c r="AR2517" s="53">
        <f t="shared" si="430"/>
        <v>0</v>
      </c>
      <c r="AS2517" s="53">
        <f t="shared" si="430"/>
        <v>2479302.25</v>
      </c>
      <c r="AT2517" s="53">
        <f t="shared" si="430"/>
        <v>7898847.4500000002</v>
      </c>
      <c r="AU2517" s="53">
        <f t="shared" si="430"/>
        <v>0</v>
      </c>
      <c r="AV2517" s="53">
        <f t="shared" si="430"/>
        <v>0</v>
      </c>
      <c r="AW2517" s="53">
        <f t="shared" si="430"/>
        <v>0</v>
      </c>
      <c r="AX2517" s="53">
        <f t="shared" si="426"/>
        <v>7911111.1454418506</v>
      </c>
      <c r="AY2517" s="41" t="s">
        <v>557</v>
      </c>
    </row>
    <row r="2518" spans="1:51" x14ac:dyDescent="0.2">
      <c r="A2518" s="41" t="s">
        <v>278</v>
      </c>
      <c r="B2518" s="41">
        <v>1980</v>
      </c>
      <c r="C2518" s="41" t="s">
        <v>91</v>
      </c>
      <c r="D2518" s="41" t="s">
        <v>88</v>
      </c>
      <c r="E2518" s="133">
        <v>11.264265862456389</v>
      </c>
      <c r="F2518" s="41" t="s">
        <v>584</v>
      </c>
      <c r="G2518" s="53">
        <v>451272</v>
      </c>
      <c r="H2518" s="41">
        <v>0.57999999999999996</v>
      </c>
      <c r="I2518" s="41">
        <v>2.12</v>
      </c>
      <c r="J2518" s="41">
        <v>109</v>
      </c>
      <c r="L2518" s="41">
        <v>3.12</v>
      </c>
      <c r="M2518" s="41">
        <v>10.119999999999999</v>
      </c>
      <c r="R2518" s="76">
        <f t="shared" si="427"/>
        <v>16740</v>
      </c>
      <c r="S2518" s="53">
        <v>2790</v>
      </c>
      <c r="T2518" s="53">
        <v>872.5</v>
      </c>
      <c r="U2518" s="53">
        <v>53359</v>
      </c>
      <c r="X2518" s="76">
        <f t="shared" si="428"/>
        <v>31022</v>
      </c>
      <c r="Y2518" s="53">
        <v>15511</v>
      </c>
      <c r="Z2518" s="76">
        <f t="shared" si="428"/>
        <v>108546</v>
      </c>
      <c r="AA2518" s="53">
        <v>54273</v>
      </c>
      <c r="AH2518" s="53">
        <f t="shared" si="429"/>
        <v>294964</v>
      </c>
      <c r="AO2518" s="53">
        <f t="shared" si="431"/>
        <v>261737.75999999998</v>
      </c>
      <c r="AP2518" s="53">
        <f t="shared" si="431"/>
        <v>956696.64</v>
      </c>
      <c r="AQ2518" s="53">
        <f t="shared" si="431"/>
        <v>49188648</v>
      </c>
      <c r="AR2518" s="53">
        <f t="shared" si="430"/>
        <v>0</v>
      </c>
      <c r="AS2518" s="53">
        <f t="shared" si="430"/>
        <v>1407968.6400000001</v>
      </c>
      <c r="AT2518" s="53">
        <f t="shared" si="430"/>
        <v>4566872.6399999997</v>
      </c>
      <c r="AU2518" s="53">
        <f t="shared" si="430"/>
        <v>0</v>
      </c>
      <c r="AV2518" s="53">
        <f t="shared" si="430"/>
        <v>0</v>
      </c>
      <c r="AW2518" s="53">
        <f t="shared" si="430"/>
        <v>0</v>
      </c>
      <c r="AX2518" s="53">
        <f t="shared" si="426"/>
        <v>5083247.7842824198</v>
      </c>
      <c r="AY2518" s="41" t="s">
        <v>557</v>
      </c>
    </row>
    <row r="2519" spans="1:51" x14ac:dyDescent="0.2">
      <c r="A2519" s="41" t="s">
        <v>278</v>
      </c>
      <c r="B2519" s="41">
        <v>1981</v>
      </c>
      <c r="C2519" s="41" t="s">
        <v>91</v>
      </c>
      <c r="D2519" s="41" t="s">
        <v>88</v>
      </c>
      <c r="E2519" s="41">
        <v>0</v>
      </c>
      <c r="F2519" s="41" t="s">
        <v>584</v>
      </c>
      <c r="G2519" s="53">
        <v>508691</v>
      </c>
      <c r="H2519" s="41">
        <v>0.67</v>
      </c>
      <c r="I2519" s="41">
        <v>2.91</v>
      </c>
      <c r="J2519" s="41">
        <v>124</v>
      </c>
      <c r="L2519" s="41">
        <v>4.12</v>
      </c>
      <c r="M2519" s="41">
        <v>11.24</v>
      </c>
      <c r="R2519" s="76">
        <f t="shared" si="427"/>
        <v>23700</v>
      </c>
      <c r="S2519" s="53">
        <v>3950</v>
      </c>
      <c r="T2519" s="53">
        <v>1540</v>
      </c>
      <c r="U2519" s="53">
        <v>75285</v>
      </c>
      <c r="X2519" s="76">
        <f t="shared" si="428"/>
        <v>51054</v>
      </c>
      <c r="Y2519" s="53">
        <v>25527</v>
      </c>
      <c r="Z2519" s="76">
        <f t="shared" si="428"/>
        <v>148826</v>
      </c>
      <c r="AA2519" s="53">
        <v>74413</v>
      </c>
      <c r="AH2519" s="53">
        <f t="shared" si="429"/>
        <v>285111</v>
      </c>
      <c r="AO2519" s="53">
        <f t="shared" si="431"/>
        <v>340822.97000000003</v>
      </c>
      <c r="AP2519" s="53">
        <f t="shared" si="431"/>
        <v>1480290.81</v>
      </c>
      <c r="AQ2519" s="53">
        <f t="shared" si="431"/>
        <v>63077684</v>
      </c>
      <c r="AR2519" s="53">
        <f t="shared" si="430"/>
        <v>0</v>
      </c>
      <c r="AS2519" s="53">
        <f t="shared" si="430"/>
        <v>2095806.9200000002</v>
      </c>
      <c r="AT2519" s="53">
        <f t="shared" si="430"/>
        <v>5717686.8399999999</v>
      </c>
      <c r="AU2519" s="53">
        <f t="shared" si="430"/>
        <v>0</v>
      </c>
      <c r="AV2519" s="53">
        <f t="shared" si="430"/>
        <v>0</v>
      </c>
      <c r="AW2519" s="53">
        <f t="shared" si="430"/>
        <v>0</v>
      </c>
      <c r="AX2519" s="53">
        <f t="shared" si="426"/>
        <v>0</v>
      </c>
      <c r="AY2519" s="41" t="s">
        <v>557</v>
      </c>
    </row>
    <row r="2520" spans="1:51" x14ac:dyDescent="0.2">
      <c r="A2520" s="41" t="s">
        <v>278</v>
      </c>
      <c r="B2520" s="41">
        <v>1982</v>
      </c>
      <c r="C2520" s="41" t="s">
        <v>91</v>
      </c>
      <c r="D2520" s="41" t="s">
        <v>88</v>
      </c>
      <c r="E2520" s="41">
        <v>0</v>
      </c>
      <c r="F2520" s="41" t="s">
        <v>584</v>
      </c>
      <c r="G2520" s="53">
        <v>591191</v>
      </c>
      <c r="H2520" s="41">
        <v>0.62</v>
      </c>
      <c r="I2520" s="41">
        <v>2.67</v>
      </c>
      <c r="J2520" s="41">
        <v>123</v>
      </c>
      <c r="L2520" s="41">
        <v>4.42</v>
      </c>
      <c r="M2520" s="41">
        <v>10.73</v>
      </c>
      <c r="R2520" s="76">
        <f t="shared" si="427"/>
        <v>24654</v>
      </c>
      <c r="S2520" s="53">
        <v>4109</v>
      </c>
      <c r="T2520" s="53">
        <v>1368</v>
      </c>
      <c r="U2520" s="53">
        <v>82210</v>
      </c>
      <c r="X2520" s="76">
        <f t="shared" si="428"/>
        <v>61242</v>
      </c>
      <c r="Y2520" s="53">
        <v>30621</v>
      </c>
      <c r="Z2520" s="76">
        <f t="shared" si="428"/>
        <v>158986</v>
      </c>
      <c r="AA2520" s="53">
        <v>79493</v>
      </c>
      <c r="AH2520" s="53">
        <f t="shared" si="429"/>
        <v>346309</v>
      </c>
      <c r="AO2520" s="53">
        <f t="shared" si="431"/>
        <v>366538.42</v>
      </c>
      <c r="AP2520" s="53">
        <f t="shared" si="431"/>
        <v>1578479.97</v>
      </c>
      <c r="AQ2520" s="53">
        <f t="shared" si="431"/>
        <v>72716493</v>
      </c>
      <c r="AR2520" s="53">
        <f t="shared" si="430"/>
        <v>0</v>
      </c>
      <c r="AS2520" s="53">
        <f t="shared" si="430"/>
        <v>2613064.2199999997</v>
      </c>
      <c r="AT2520" s="53">
        <f t="shared" si="430"/>
        <v>6343479.4300000006</v>
      </c>
      <c r="AU2520" s="53">
        <f t="shared" si="430"/>
        <v>0</v>
      </c>
      <c r="AV2520" s="53">
        <f t="shared" si="430"/>
        <v>0</v>
      </c>
      <c r="AW2520" s="53">
        <f t="shared" si="430"/>
        <v>0</v>
      </c>
      <c r="AX2520" s="53">
        <f t="shared" si="426"/>
        <v>0</v>
      </c>
      <c r="AY2520" s="41" t="s">
        <v>557</v>
      </c>
    </row>
    <row r="2521" spans="1:51" x14ac:dyDescent="0.2">
      <c r="A2521" s="41" t="s">
        <v>278</v>
      </c>
      <c r="B2521" s="41">
        <v>1983</v>
      </c>
      <c r="C2521" s="41" t="s">
        <v>91</v>
      </c>
      <c r="D2521" s="41" t="s">
        <v>88</v>
      </c>
      <c r="E2521" s="41">
        <v>0</v>
      </c>
      <c r="F2521" s="41" t="s">
        <v>584</v>
      </c>
      <c r="G2521" s="53">
        <v>468182</v>
      </c>
      <c r="H2521" s="41">
        <v>0.56000000000000005</v>
      </c>
      <c r="I2521" s="41">
        <v>3.07</v>
      </c>
      <c r="J2521" s="41">
        <v>147</v>
      </c>
      <c r="L2521" s="41">
        <v>5.49</v>
      </c>
      <c r="M2521" s="41">
        <v>12.54</v>
      </c>
      <c r="R2521" s="76">
        <f t="shared" si="427"/>
        <v>19620</v>
      </c>
      <c r="S2521" s="53">
        <v>3270</v>
      </c>
      <c r="T2521" s="53">
        <v>1338</v>
      </c>
      <c r="U2521" s="53">
        <v>90378</v>
      </c>
      <c r="X2521" s="76">
        <f t="shared" si="428"/>
        <v>69554</v>
      </c>
      <c r="Y2521" s="53">
        <v>34777</v>
      </c>
      <c r="Z2521" s="76">
        <f t="shared" si="428"/>
        <v>164570</v>
      </c>
      <c r="AA2521" s="53">
        <v>82285</v>
      </c>
      <c r="AH2521" s="53">
        <f t="shared" si="429"/>
        <v>214438</v>
      </c>
      <c r="AO2521" s="53">
        <f t="shared" si="431"/>
        <v>262181.92000000004</v>
      </c>
      <c r="AP2521" s="53">
        <f t="shared" si="431"/>
        <v>1437318.74</v>
      </c>
      <c r="AQ2521" s="53">
        <f t="shared" si="431"/>
        <v>68822754</v>
      </c>
      <c r="AR2521" s="53">
        <f t="shared" si="430"/>
        <v>0</v>
      </c>
      <c r="AS2521" s="53">
        <f t="shared" si="430"/>
        <v>2570319.1800000002</v>
      </c>
      <c r="AT2521" s="53">
        <f t="shared" si="430"/>
        <v>5871002.2799999993</v>
      </c>
      <c r="AU2521" s="53">
        <f t="shared" si="430"/>
        <v>0</v>
      </c>
      <c r="AV2521" s="53">
        <f t="shared" si="430"/>
        <v>0</v>
      </c>
      <c r="AW2521" s="53">
        <f t="shared" si="430"/>
        <v>0</v>
      </c>
      <c r="AX2521" s="53">
        <f t="shared" si="426"/>
        <v>0</v>
      </c>
      <c r="AY2521" s="41" t="s">
        <v>557</v>
      </c>
    </row>
    <row r="2522" spans="1:51" x14ac:dyDescent="0.2">
      <c r="A2522" s="41" t="s">
        <v>278</v>
      </c>
      <c r="B2522" s="41">
        <v>1984</v>
      </c>
      <c r="C2522" s="41" t="s">
        <v>91</v>
      </c>
      <c r="D2522" s="41" t="s">
        <v>88</v>
      </c>
      <c r="E2522" s="41">
        <v>0</v>
      </c>
      <c r="F2522" s="41" t="s">
        <v>584</v>
      </c>
      <c r="G2522" s="53">
        <v>534017</v>
      </c>
      <c r="H2522" s="41">
        <v>0.51</v>
      </c>
      <c r="I2522" s="41">
        <v>2.62</v>
      </c>
      <c r="J2522" s="41">
        <v>132</v>
      </c>
      <c r="L2522" s="41">
        <v>4.78</v>
      </c>
      <c r="M2522" s="41">
        <v>11.43</v>
      </c>
      <c r="R2522" s="76">
        <f t="shared" si="427"/>
        <v>21060</v>
      </c>
      <c r="S2522" s="53">
        <v>3510</v>
      </c>
      <c r="T2522" s="53">
        <v>1400</v>
      </c>
      <c r="U2522" s="53">
        <v>65857</v>
      </c>
      <c r="X2522" s="76">
        <f t="shared" si="428"/>
        <v>65340</v>
      </c>
      <c r="Y2522" s="53">
        <v>32670</v>
      </c>
      <c r="Z2522" s="76">
        <f t="shared" si="428"/>
        <v>168032</v>
      </c>
      <c r="AA2522" s="53">
        <v>84016</v>
      </c>
      <c r="AH2522" s="53">
        <f t="shared" si="429"/>
        <v>279585</v>
      </c>
      <c r="AO2522" s="53">
        <f t="shared" si="431"/>
        <v>272348.67</v>
      </c>
      <c r="AP2522" s="53">
        <f t="shared" si="431"/>
        <v>1399124.54</v>
      </c>
      <c r="AQ2522" s="53">
        <f t="shared" si="431"/>
        <v>70490244</v>
      </c>
      <c r="AR2522" s="53">
        <f t="shared" si="430"/>
        <v>0</v>
      </c>
      <c r="AS2522" s="53">
        <f t="shared" si="430"/>
        <v>2552601.2600000002</v>
      </c>
      <c r="AT2522" s="53">
        <f t="shared" si="430"/>
        <v>6103814.3099999996</v>
      </c>
      <c r="AU2522" s="53">
        <f t="shared" si="430"/>
        <v>0</v>
      </c>
      <c r="AV2522" s="53">
        <f t="shared" si="430"/>
        <v>0</v>
      </c>
      <c r="AW2522" s="53">
        <f t="shared" si="430"/>
        <v>0</v>
      </c>
      <c r="AX2522" s="53">
        <f t="shared" si="426"/>
        <v>0</v>
      </c>
      <c r="AY2522" s="41" t="s">
        <v>557</v>
      </c>
    </row>
    <row r="2523" spans="1:51" x14ac:dyDescent="0.2">
      <c r="A2523" s="41" t="s">
        <v>278</v>
      </c>
      <c r="B2523" s="41">
        <v>1985</v>
      </c>
      <c r="C2523" s="41" t="s">
        <v>91</v>
      </c>
      <c r="D2523" s="41" t="s">
        <v>88</v>
      </c>
      <c r="E2523" s="41">
        <v>0</v>
      </c>
      <c r="F2523" s="41" t="s">
        <v>584</v>
      </c>
      <c r="G2523" s="53">
        <v>550905</v>
      </c>
      <c r="H2523" s="41">
        <v>0.56000000000000005</v>
      </c>
      <c r="I2523" s="41">
        <v>2.77</v>
      </c>
      <c r="J2523" s="41">
        <v>134</v>
      </c>
      <c r="L2523" s="41">
        <v>4.74</v>
      </c>
      <c r="M2523" s="41">
        <v>11.49</v>
      </c>
      <c r="R2523" s="76">
        <f t="shared" si="427"/>
        <v>25608</v>
      </c>
      <c r="S2523" s="53">
        <v>4268</v>
      </c>
      <c r="T2523" s="53">
        <v>2313</v>
      </c>
      <c r="U2523" s="53">
        <v>106444</v>
      </c>
      <c r="X2523" s="76">
        <f t="shared" si="428"/>
        <v>75918</v>
      </c>
      <c r="Y2523" s="53">
        <v>37959</v>
      </c>
      <c r="Z2523" s="76">
        <f t="shared" si="428"/>
        <v>197554</v>
      </c>
      <c r="AA2523" s="53">
        <v>98777</v>
      </c>
      <c r="AH2523" s="53">
        <f t="shared" si="429"/>
        <v>251825</v>
      </c>
      <c r="AO2523" s="53">
        <f t="shared" si="431"/>
        <v>308506.80000000005</v>
      </c>
      <c r="AP2523" s="53">
        <f t="shared" si="431"/>
        <v>1526006.85</v>
      </c>
      <c r="AQ2523" s="53">
        <f t="shared" si="431"/>
        <v>73821270</v>
      </c>
      <c r="AR2523" s="53">
        <f t="shared" si="430"/>
        <v>0</v>
      </c>
      <c r="AS2523" s="53">
        <f t="shared" si="430"/>
        <v>2611289.7000000002</v>
      </c>
      <c r="AT2523" s="53">
        <f t="shared" si="430"/>
        <v>6329898.4500000002</v>
      </c>
      <c r="AU2523" s="53">
        <f t="shared" si="430"/>
        <v>0</v>
      </c>
      <c r="AV2523" s="53">
        <f t="shared" si="430"/>
        <v>0</v>
      </c>
      <c r="AW2523" s="53">
        <f t="shared" si="430"/>
        <v>0</v>
      </c>
      <c r="AX2523" s="53">
        <f t="shared" si="426"/>
        <v>0</v>
      </c>
      <c r="AY2523" s="41" t="s">
        <v>557</v>
      </c>
    </row>
    <row r="2524" spans="1:51" x14ac:dyDescent="0.2">
      <c r="A2524" s="41" t="s">
        <v>278</v>
      </c>
      <c r="B2524" s="41">
        <v>1986</v>
      </c>
      <c r="C2524" s="41" t="s">
        <v>91</v>
      </c>
      <c r="D2524" s="41" t="s">
        <v>88</v>
      </c>
      <c r="E2524" s="41">
        <v>0</v>
      </c>
      <c r="F2524" s="41" t="s">
        <v>584</v>
      </c>
      <c r="G2524" s="53">
        <v>898112</v>
      </c>
      <c r="H2524" s="41">
        <v>0.7</v>
      </c>
      <c r="I2524" s="46">
        <v>2.8</v>
      </c>
      <c r="J2524" s="41">
        <v>129</v>
      </c>
      <c r="K2524" s="46"/>
      <c r="L2524" s="41">
        <v>4.9000000000000004</v>
      </c>
      <c r="M2524" s="41">
        <v>11.6</v>
      </c>
      <c r="R2524" s="76">
        <f t="shared" si="427"/>
        <v>25932</v>
      </c>
      <c r="S2524" s="53">
        <v>4322</v>
      </c>
      <c r="T2524" s="53">
        <v>1562</v>
      </c>
      <c r="U2524" s="53">
        <v>91116</v>
      </c>
      <c r="X2524" s="76">
        <f t="shared" si="428"/>
        <v>75138</v>
      </c>
      <c r="Y2524" s="53">
        <v>37569</v>
      </c>
      <c r="Z2524" s="76">
        <f t="shared" si="428"/>
        <v>190084</v>
      </c>
      <c r="AA2524" s="53">
        <v>95042</v>
      </c>
      <c r="AH2524" s="53">
        <f t="shared" si="429"/>
        <v>606958</v>
      </c>
      <c r="AO2524" s="53">
        <f t="shared" si="431"/>
        <v>628678.39999999991</v>
      </c>
      <c r="AP2524" s="53">
        <f t="shared" si="431"/>
        <v>2514713.5999999996</v>
      </c>
      <c r="AQ2524" s="53">
        <f t="shared" si="431"/>
        <v>115856448</v>
      </c>
      <c r="AR2524" s="53">
        <f t="shared" si="430"/>
        <v>0</v>
      </c>
      <c r="AS2524" s="53">
        <f t="shared" si="430"/>
        <v>4400748.8000000007</v>
      </c>
      <c r="AT2524" s="53">
        <f t="shared" si="430"/>
        <v>10418099.199999999</v>
      </c>
      <c r="AU2524" s="53">
        <f t="shared" si="430"/>
        <v>0</v>
      </c>
      <c r="AV2524" s="53">
        <f t="shared" si="430"/>
        <v>0</v>
      </c>
      <c r="AW2524" s="53">
        <f t="shared" si="430"/>
        <v>0</v>
      </c>
      <c r="AX2524" s="53">
        <f t="shared" si="426"/>
        <v>0</v>
      </c>
      <c r="AY2524" s="41" t="s">
        <v>557</v>
      </c>
    </row>
    <row r="2525" spans="1:51" x14ac:dyDescent="0.2">
      <c r="A2525" s="41" t="s">
        <v>278</v>
      </c>
      <c r="B2525" s="41">
        <v>1987</v>
      </c>
      <c r="C2525" s="41" t="s">
        <v>91</v>
      </c>
      <c r="D2525" s="41" t="s">
        <v>88</v>
      </c>
      <c r="E2525" s="41">
        <v>0</v>
      </c>
      <c r="F2525" s="41" t="s">
        <v>584</v>
      </c>
      <c r="G2525" s="53">
        <v>457391</v>
      </c>
      <c r="H2525" s="41">
        <v>0.59</v>
      </c>
      <c r="I2525" s="41">
        <v>3.06</v>
      </c>
      <c r="J2525" s="41">
        <v>162</v>
      </c>
      <c r="L2525" s="46">
        <v>5.4</v>
      </c>
      <c r="M2525" s="41">
        <v>12.06</v>
      </c>
      <c r="R2525" s="76">
        <f t="shared" si="427"/>
        <v>20232</v>
      </c>
      <c r="S2525" s="53">
        <v>3372</v>
      </c>
      <c r="T2525" s="53">
        <v>1362</v>
      </c>
      <c r="U2525" s="53">
        <v>91662</v>
      </c>
      <c r="X2525" s="76">
        <f t="shared" si="428"/>
        <v>61470</v>
      </c>
      <c r="Y2525" s="53">
        <v>30735</v>
      </c>
      <c r="Z2525" s="76">
        <f t="shared" si="428"/>
        <v>158844</v>
      </c>
      <c r="AA2525" s="53">
        <v>79422</v>
      </c>
      <c r="AH2525" s="53">
        <f t="shared" si="429"/>
        <v>216845</v>
      </c>
      <c r="AO2525" s="53">
        <f t="shared" si="431"/>
        <v>269860.69</v>
      </c>
      <c r="AP2525" s="53">
        <f t="shared" si="431"/>
        <v>1399616.46</v>
      </c>
      <c r="AQ2525" s="53">
        <f t="shared" si="431"/>
        <v>74097342</v>
      </c>
      <c r="AR2525" s="53">
        <f t="shared" si="431"/>
        <v>0</v>
      </c>
      <c r="AS2525" s="53">
        <f t="shared" si="431"/>
        <v>2469911.4000000004</v>
      </c>
      <c r="AT2525" s="53">
        <f t="shared" si="431"/>
        <v>5516135.46</v>
      </c>
      <c r="AU2525" s="53">
        <f t="shared" si="431"/>
        <v>0</v>
      </c>
      <c r="AV2525" s="53">
        <f t="shared" si="431"/>
        <v>0</v>
      </c>
      <c r="AW2525" s="53">
        <f t="shared" si="431"/>
        <v>0</v>
      </c>
      <c r="AX2525" s="53">
        <f t="shared" si="426"/>
        <v>0</v>
      </c>
      <c r="AY2525" s="41" t="s">
        <v>557</v>
      </c>
    </row>
    <row r="2526" spans="1:51" x14ac:dyDescent="0.2">
      <c r="A2526" s="41" t="s">
        <v>278</v>
      </c>
      <c r="B2526" s="41">
        <v>1988</v>
      </c>
      <c r="C2526" s="41" t="s">
        <v>91</v>
      </c>
      <c r="D2526" s="41" t="s">
        <v>88</v>
      </c>
      <c r="E2526" s="41">
        <v>0</v>
      </c>
      <c r="F2526" s="41" t="s">
        <v>584</v>
      </c>
      <c r="G2526" s="53">
        <v>506236</v>
      </c>
      <c r="H2526" s="46">
        <v>0.56000000000000005</v>
      </c>
      <c r="I2526" s="47">
        <v>2.7</v>
      </c>
      <c r="J2526" s="41">
        <v>129</v>
      </c>
      <c r="K2526" s="47"/>
      <c r="L2526" s="41">
        <v>4.5</v>
      </c>
      <c r="M2526" s="46">
        <v>10.52</v>
      </c>
      <c r="R2526" s="76">
        <f t="shared" si="427"/>
        <v>23664</v>
      </c>
      <c r="S2526" s="53">
        <v>3944</v>
      </c>
      <c r="T2526" s="53">
        <v>1661</v>
      </c>
      <c r="U2526" s="53">
        <v>101650</v>
      </c>
      <c r="X2526" s="76">
        <f t="shared" si="428"/>
        <v>71048</v>
      </c>
      <c r="Y2526" s="53">
        <v>35524</v>
      </c>
      <c r="Z2526" s="76">
        <f t="shared" si="428"/>
        <v>173444</v>
      </c>
      <c r="AA2526" s="53">
        <v>86722</v>
      </c>
      <c r="AH2526" s="53">
        <f t="shared" si="429"/>
        <v>238080</v>
      </c>
      <c r="AO2526" s="53">
        <f t="shared" ref="AO2526:AW2553" si="432">$G2526*H2526</f>
        <v>283492.16000000003</v>
      </c>
      <c r="AP2526" s="53">
        <f t="shared" si="432"/>
        <v>1366837.2000000002</v>
      </c>
      <c r="AQ2526" s="53">
        <f t="shared" si="432"/>
        <v>65304444</v>
      </c>
      <c r="AR2526" s="53">
        <f t="shared" si="432"/>
        <v>0</v>
      </c>
      <c r="AS2526" s="53">
        <f t="shared" si="432"/>
        <v>2278062</v>
      </c>
      <c r="AT2526" s="53">
        <f t="shared" si="432"/>
        <v>5325602.72</v>
      </c>
      <c r="AU2526" s="53">
        <f t="shared" si="432"/>
        <v>0</v>
      </c>
      <c r="AV2526" s="53">
        <f t="shared" si="432"/>
        <v>0</v>
      </c>
      <c r="AW2526" s="53">
        <f t="shared" si="432"/>
        <v>0</v>
      </c>
      <c r="AX2526" s="53">
        <f t="shared" si="426"/>
        <v>0</v>
      </c>
      <c r="AY2526" s="41" t="s">
        <v>557</v>
      </c>
    </row>
    <row r="2527" spans="1:51" x14ac:dyDescent="0.2">
      <c r="A2527" s="41" t="s">
        <v>278</v>
      </c>
      <c r="B2527" s="41">
        <v>1989</v>
      </c>
      <c r="C2527" s="41" t="s">
        <v>91</v>
      </c>
      <c r="D2527" s="41" t="s">
        <v>88</v>
      </c>
      <c r="E2527" s="41">
        <v>0</v>
      </c>
      <c r="F2527" s="41" t="s">
        <v>584</v>
      </c>
      <c r="G2527" s="53">
        <v>772877</v>
      </c>
      <c r="H2527" s="46">
        <v>0.58220143696862503</v>
      </c>
      <c r="I2527" s="46">
        <v>2.6075768848083198</v>
      </c>
      <c r="J2527" s="47">
        <v>119.97458327780488</v>
      </c>
      <c r="K2527" s="46"/>
      <c r="L2527" s="46">
        <v>4.4313047224849491</v>
      </c>
      <c r="M2527" s="46">
        <v>11.305542149656414</v>
      </c>
      <c r="R2527" s="76">
        <f t="shared" si="427"/>
        <v>18545.603999999999</v>
      </c>
      <c r="S2527" s="53">
        <v>3090.9340000000002</v>
      </c>
      <c r="T2527" s="53">
        <v>1111.2049999999999</v>
      </c>
      <c r="U2527" s="53">
        <v>64279.9</v>
      </c>
      <c r="X2527" s="76">
        <f t="shared" si="428"/>
        <v>48082.001999999993</v>
      </c>
      <c r="Y2527" s="53">
        <v>24041.000999999997</v>
      </c>
      <c r="Z2527" s="76">
        <f t="shared" si="428"/>
        <v>149483.89000000001</v>
      </c>
      <c r="AA2527" s="53">
        <v>74741.945000000007</v>
      </c>
      <c r="AH2527" s="53">
        <f t="shared" si="429"/>
        <v>556765.50399999996</v>
      </c>
      <c r="AO2527" s="53">
        <f t="shared" si="432"/>
        <v>449970.10000000003</v>
      </c>
      <c r="AP2527" s="53">
        <f t="shared" si="432"/>
        <v>2015336.1999999997</v>
      </c>
      <c r="AQ2527" s="53">
        <f t="shared" si="432"/>
        <v>92725596</v>
      </c>
      <c r="AR2527" s="53">
        <f t="shared" si="432"/>
        <v>0</v>
      </c>
      <c r="AS2527" s="53">
        <f t="shared" si="432"/>
        <v>3424853.5</v>
      </c>
      <c r="AT2527" s="53">
        <f t="shared" si="432"/>
        <v>8737793.5</v>
      </c>
      <c r="AU2527" s="53">
        <f t="shared" si="432"/>
        <v>0</v>
      </c>
      <c r="AV2527" s="53">
        <f t="shared" si="432"/>
        <v>0</v>
      </c>
      <c r="AW2527" s="53">
        <f t="shared" si="432"/>
        <v>0</v>
      </c>
      <c r="AX2527" s="53">
        <f t="shared" si="426"/>
        <v>0</v>
      </c>
      <c r="AY2527" s="41" t="s">
        <v>557</v>
      </c>
    </row>
    <row r="2528" spans="1:51" x14ac:dyDescent="0.2">
      <c r="A2528" s="41" t="s">
        <v>278</v>
      </c>
      <c r="B2528" s="41">
        <v>1990</v>
      </c>
      <c r="C2528" s="41" t="s">
        <v>91</v>
      </c>
      <c r="D2528" s="41" t="s">
        <v>88</v>
      </c>
      <c r="E2528" s="41">
        <v>0</v>
      </c>
      <c r="F2528" s="41" t="s">
        <v>584</v>
      </c>
      <c r="G2528" s="53">
        <v>764702</v>
      </c>
      <c r="H2528" s="46">
        <v>0.57660172197797299</v>
      </c>
      <c r="I2528" s="46">
        <v>2.2401122267236122</v>
      </c>
      <c r="J2528" s="47">
        <v>112.06230923941614</v>
      </c>
      <c r="K2528" s="46"/>
      <c r="L2528" s="46">
        <v>4.2675332351687327</v>
      </c>
      <c r="M2528" s="46">
        <v>10.25692491977267</v>
      </c>
      <c r="R2528" s="76">
        <f t="shared" si="427"/>
        <v>18381.671999999999</v>
      </c>
      <c r="S2528" s="53">
        <v>3063.6120000000001</v>
      </c>
      <c r="T2528" s="53">
        <v>1016.806</v>
      </c>
      <c r="U2528" s="53">
        <v>61727.209000000003</v>
      </c>
      <c r="X2528" s="76">
        <f t="shared" si="428"/>
        <v>46873.052000000003</v>
      </c>
      <c r="Y2528" s="53">
        <v>23436.526000000002</v>
      </c>
      <c r="Z2528" s="76">
        <f t="shared" si="428"/>
        <v>139464.03200000001</v>
      </c>
      <c r="AA2528" s="53">
        <v>69732.016000000003</v>
      </c>
      <c r="AH2528" s="53">
        <f t="shared" si="429"/>
        <v>559983.24399999995</v>
      </c>
      <c r="AO2528" s="53">
        <f t="shared" si="432"/>
        <v>440928.48999999987</v>
      </c>
      <c r="AP2528" s="53">
        <f t="shared" si="432"/>
        <v>1713018.2999999998</v>
      </c>
      <c r="AQ2528" s="53">
        <f t="shared" si="432"/>
        <v>85694272</v>
      </c>
      <c r="AR2528" s="53">
        <f t="shared" si="432"/>
        <v>0</v>
      </c>
      <c r="AS2528" s="53">
        <f t="shared" si="432"/>
        <v>3263391.2</v>
      </c>
      <c r="AT2528" s="53">
        <f t="shared" si="432"/>
        <v>7843491</v>
      </c>
      <c r="AU2528" s="53">
        <f t="shared" si="432"/>
        <v>0</v>
      </c>
      <c r="AV2528" s="53">
        <f t="shared" si="432"/>
        <v>0</v>
      </c>
      <c r="AW2528" s="53">
        <f t="shared" si="432"/>
        <v>0</v>
      </c>
      <c r="AX2528" s="53">
        <f t="shared" si="426"/>
        <v>0</v>
      </c>
      <c r="AY2528" s="41" t="s">
        <v>557</v>
      </c>
    </row>
    <row r="2529" spans="1:51" x14ac:dyDescent="0.2">
      <c r="A2529" s="41" t="s">
        <v>278</v>
      </c>
      <c r="B2529" s="41">
        <v>1991</v>
      </c>
      <c r="C2529" s="41" t="s">
        <v>91</v>
      </c>
      <c r="D2529" s="41" t="s">
        <v>88</v>
      </c>
      <c r="E2529" s="41">
        <v>0</v>
      </c>
      <c r="F2529" s="41" t="s">
        <v>584</v>
      </c>
      <c r="G2529" s="53">
        <v>576921</v>
      </c>
      <c r="H2529" s="46">
        <v>0.53386007789628032</v>
      </c>
      <c r="I2529" s="46">
        <v>2.7393932618157426</v>
      </c>
      <c r="J2529" s="47">
        <v>102.41757588993987</v>
      </c>
      <c r="K2529" s="46"/>
      <c r="L2529" s="46">
        <v>3.7154792423919392</v>
      </c>
      <c r="M2529" s="46">
        <v>11.116349725525678</v>
      </c>
      <c r="R2529" s="76">
        <f t="shared" si="427"/>
        <v>10884</v>
      </c>
      <c r="S2529" s="53">
        <v>1814</v>
      </c>
      <c r="T2529" s="53">
        <v>830</v>
      </c>
      <c r="U2529" s="53">
        <v>44152</v>
      </c>
      <c r="X2529" s="76">
        <f t="shared" si="428"/>
        <v>31618</v>
      </c>
      <c r="Y2529" s="53">
        <v>15809</v>
      </c>
      <c r="Z2529" s="76">
        <f t="shared" si="428"/>
        <v>112916.86</v>
      </c>
      <c r="AA2529" s="53">
        <v>56458.43</v>
      </c>
      <c r="AH2529" s="53">
        <f t="shared" si="429"/>
        <v>421502.14</v>
      </c>
      <c r="AO2529" s="53">
        <f t="shared" si="432"/>
        <v>307995.08999999991</v>
      </c>
      <c r="AP2529" s="53">
        <f t="shared" si="432"/>
        <v>1580413.5</v>
      </c>
      <c r="AQ2529" s="53">
        <f t="shared" si="432"/>
        <v>59086850.299999997</v>
      </c>
      <c r="AR2529" s="53">
        <f t="shared" si="432"/>
        <v>0</v>
      </c>
      <c r="AS2529" s="53">
        <f t="shared" si="432"/>
        <v>2143538</v>
      </c>
      <c r="AT2529" s="53">
        <f t="shared" si="432"/>
        <v>6413255.5999999996</v>
      </c>
      <c r="AU2529" s="53">
        <f t="shared" si="432"/>
        <v>0</v>
      </c>
      <c r="AV2529" s="53">
        <f t="shared" si="432"/>
        <v>0</v>
      </c>
      <c r="AW2529" s="53">
        <f t="shared" si="432"/>
        <v>0</v>
      </c>
      <c r="AX2529" s="53">
        <f t="shared" ref="AX2529:AX2553" si="433">$G2529*E2529</f>
        <v>0</v>
      </c>
      <c r="AY2529" s="41" t="s">
        <v>557</v>
      </c>
    </row>
    <row r="2530" spans="1:51" x14ac:dyDescent="0.2">
      <c r="A2530" s="41" t="s">
        <v>278</v>
      </c>
      <c r="B2530" s="41">
        <v>1992</v>
      </c>
      <c r="C2530" s="41" t="s">
        <v>91</v>
      </c>
      <c r="D2530" s="41" t="s">
        <v>88</v>
      </c>
      <c r="E2530" s="41">
        <v>0</v>
      </c>
      <c r="F2530" s="41" t="s">
        <v>584</v>
      </c>
      <c r="G2530" s="53">
        <v>533420</v>
      </c>
      <c r="H2530" s="46">
        <v>0.61740242210640783</v>
      </c>
      <c r="I2530" s="46">
        <v>2.0797411045705072</v>
      </c>
      <c r="J2530" s="47">
        <v>84.528761576243866</v>
      </c>
      <c r="K2530" s="46"/>
      <c r="L2530" s="46">
        <v>2.9339336732780921</v>
      </c>
      <c r="M2530" s="46">
        <v>9.5715558096809268</v>
      </c>
      <c r="R2530" s="76">
        <f t="shared" ref="R2530:R2553" si="434">S2530*6</f>
        <v>10164</v>
      </c>
      <c r="S2530" s="53">
        <v>1694</v>
      </c>
      <c r="T2530" s="53">
        <v>552</v>
      </c>
      <c r="U2530" s="53">
        <v>31239</v>
      </c>
      <c r="X2530" s="76">
        <f t="shared" ref="X2530:Z2553" si="435">Y2530*2</f>
        <v>22456</v>
      </c>
      <c r="Y2530" s="53">
        <v>11228</v>
      </c>
      <c r="Z2530" s="76">
        <f t="shared" si="435"/>
        <v>91098</v>
      </c>
      <c r="AA2530" s="53">
        <v>45549</v>
      </c>
      <c r="AH2530" s="53">
        <f t="shared" ref="AH2530:AH2553" si="436">G2530-R2530-X2530-Z2530</f>
        <v>409702</v>
      </c>
      <c r="AO2530" s="53">
        <f t="shared" si="432"/>
        <v>329334.80000000005</v>
      </c>
      <c r="AP2530" s="53">
        <f t="shared" si="432"/>
        <v>1109375.5</v>
      </c>
      <c r="AQ2530" s="53">
        <f t="shared" si="432"/>
        <v>45089332</v>
      </c>
      <c r="AR2530" s="53">
        <f t="shared" si="432"/>
        <v>0</v>
      </c>
      <c r="AS2530" s="53">
        <f t="shared" si="432"/>
        <v>1565018.9</v>
      </c>
      <c r="AT2530" s="53">
        <f t="shared" si="432"/>
        <v>5105659.3</v>
      </c>
      <c r="AU2530" s="53">
        <f t="shared" si="432"/>
        <v>0</v>
      </c>
      <c r="AV2530" s="53">
        <f t="shared" si="432"/>
        <v>0</v>
      </c>
      <c r="AW2530" s="53">
        <f t="shared" si="432"/>
        <v>0</v>
      </c>
      <c r="AX2530" s="53">
        <f t="shared" si="433"/>
        <v>0</v>
      </c>
      <c r="AY2530" s="41" t="s">
        <v>557</v>
      </c>
    </row>
    <row r="2531" spans="1:51" x14ac:dyDescent="0.2">
      <c r="A2531" s="41" t="s">
        <v>278</v>
      </c>
      <c r="B2531" s="41">
        <v>1993</v>
      </c>
      <c r="C2531" s="41" t="s">
        <v>91</v>
      </c>
      <c r="D2531" s="41" t="s">
        <v>88</v>
      </c>
      <c r="E2531" s="41">
        <v>0</v>
      </c>
      <c r="F2531" s="41" t="s">
        <v>584</v>
      </c>
      <c r="G2531" s="53">
        <v>575828</v>
      </c>
      <c r="H2531" s="46">
        <v>0.35093152816466022</v>
      </c>
      <c r="I2531" s="46">
        <v>2.0030170467570176</v>
      </c>
      <c r="J2531" s="47">
        <v>103.69463971880492</v>
      </c>
      <c r="K2531" s="46"/>
      <c r="L2531" s="46">
        <v>3.2289621206332448</v>
      </c>
      <c r="M2531" s="46">
        <v>9.8787396583702076</v>
      </c>
      <c r="R2531" s="76">
        <f t="shared" si="434"/>
        <v>6420</v>
      </c>
      <c r="S2531" s="53">
        <v>1070</v>
      </c>
      <c r="T2531" s="53">
        <v>704</v>
      </c>
      <c r="U2531" s="53">
        <v>43900</v>
      </c>
      <c r="X2531" s="76">
        <f t="shared" si="435"/>
        <v>27912</v>
      </c>
      <c r="Y2531" s="53">
        <v>13956</v>
      </c>
      <c r="Z2531" s="76">
        <f t="shared" si="435"/>
        <v>102328</v>
      </c>
      <c r="AA2531" s="53">
        <v>51164</v>
      </c>
      <c r="AH2531" s="53">
        <f t="shared" si="436"/>
        <v>439168</v>
      </c>
      <c r="AO2531" s="53">
        <f t="shared" si="432"/>
        <v>202076.19999999995</v>
      </c>
      <c r="AP2531" s="53">
        <f t="shared" si="432"/>
        <v>1153393.3</v>
      </c>
      <c r="AQ2531" s="53">
        <f t="shared" si="432"/>
        <v>59710277</v>
      </c>
      <c r="AR2531" s="53">
        <f t="shared" si="432"/>
        <v>0</v>
      </c>
      <c r="AS2531" s="53">
        <f t="shared" si="432"/>
        <v>1859326.8</v>
      </c>
      <c r="AT2531" s="53">
        <f t="shared" si="432"/>
        <v>5688454.9000000004</v>
      </c>
      <c r="AU2531" s="53">
        <f t="shared" si="432"/>
        <v>0</v>
      </c>
      <c r="AV2531" s="53">
        <f t="shared" si="432"/>
        <v>0</v>
      </c>
      <c r="AW2531" s="53">
        <f t="shared" si="432"/>
        <v>0</v>
      </c>
      <c r="AX2531" s="53">
        <f t="shared" si="433"/>
        <v>0</v>
      </c>
      <c r="AY2531" s="41" t="s">
        <v>557</v>
      </c>
    </row>
    <row r="2532" spans="1:51" x14ac:dyDescent="0.2">
      <c r="A2532" s="41" t="s">
        <v>278</v>
      </c>
      <c r="B2532" s="41">
        <v>1994</v>
      </c>
      <c r="C2532" s="41" t="s">
        <v>91</v>
      </c>
      <c r="D2532" s="41" t="s">
        <v>88</v>
      </c>
      <c r="E2532" s="41">
        <v>0</v>
      </c>
      <c r="F2532" s="41" t="s">
        <v>584</v>
      </c>
      <c r="G2532" s="53">
        <v>494831</v>
      </c>
      <c r="H2532" s="46">
        <v>0.42653512007129712</v>
      </c>
      <c r="I2532" s="46">
        <v>1.941604507397475</v>
      </c>
      <c r="J2532" s="47">
        <v>108.26426396082702</v>
      </c>
      <c r="K2532" s="46"/>
      <c r="L2532" s="46">
        <v>3.6192041323199233</v>
      </c>
      <c r="M2532" s="46">
        <v>10.597166103174619</v>
      </c>
      <c r="R2532" s="76">
        <f t="shared" si="434"/>
        <v>8238</v>
      </c>
      <c r="S2532" s="53">
        <v>1373</v>
      </c>
      <c r="T2532" s="53">
        <v>604</v>
      </c>
      <c r="U2532" s="53">
        <v>39942</v>
      </c>
      <c r="X2532" s="76">
        <f t="shared" si="435"/>
        <v>27128</v>
      </c>
      <c r="Y2532" s="53">
        <v>13564</v>
      </c>
      <c r="Z2532" s="76">
        <f t="shared" si="435"/>
        <v>95756</v>
      </c>
      <c r="AA2532" s="53">
        <v>47878</v>
      </c>
      <c r="AH2532" s="53">
        <f t="shared" si="436"/>
        <v>363709</v>
      </c>
      <c r="AO2532" s="53">
        <f t="shared" si="432"/>
        <v>211062.80000000002</v>
      </c>
      <c r="AP2532" s="53">
        <f t="shared" si="432"/>
        <v>960766.1</v>
      </c>
      <c r="AQ2532" s="53">
        <f t="shared" si="432"/>
        <v>53572514</v>
      </c>
      <c r="AR2532" s="53">
        <f t="shared" si="432"/>
        <v>0</v>
      </c>
      <c r="AS2532" s="53">
        <f t="shared" si="432"/>
        <v>1790894.4</v>
      </c>
      <c r="AT2532" s="53">
        <f t="shared" si="432"/>
        <v>5243806.3</v>
      </c>
      <c r="AU2532" s="53">
        <f t="shared" si="432"/>
        <v>0</v>
      </c>
      <c r="AV2532" s="53">
        <f t="shared" si="432"/>
        <v>0</v>
      </c>
      <c r="AW2532" s="53">
        <f t="shared" si="432"/>
        <v>0</v>
      </c>
      <c r="AX2532" s="53">
        <f t="shared" si="433"/>
        <v>0</v>
      </c>
      <c r="AY2532" s="41" t="s">
        <v>557</v>
      </c>
    </row>
    <row r="2533" spans="1:51" x14ac:dyDescent="0.2">
      <c r="A2533" s="41" t="s">
        <v>278</v>
      </c>
      <c r="B2533" s="41">
        <v>1995</v>
      </c>
      <c r="C2533" s="41" t="s">
        <v>91</v>
      </c>
      <c r="D2533" s="41" t="s">
        <v>88</v>
      </c>
      <c r="E2533" s="41">
        <v>0</v>
      </c>
      <c r="F2533" s="41" t="s">
        <v>584</v>
      </c>
      <c r="G2533" s="53">
        <v>579103</v>
      </c>
      <c r="H2533" s="46">
        <v>0.37296128667957168</v>
      </c>
      <c r="I2533" s="46">
        <v>1.6478951067426693</v>
      </c>
      <c r="J2533" s="47">
        <v>100.99841030006752</v>
      </c>
      <c r="K2533" s="46"/>
      <c r="L2533" s="46">
        <v>3.1268674139142774</v>
      </c>
      <c r="M2533" s="46">
        <v>10.722486327993465</v>
      </c>
      <c r="R2533" s="76">
        <f t="shared" si="434"/>
        <v>6870</v>
      </c>
      <c r="S2533" s="53">
        <v>1145</v>
      </c>
      <c r="T2533" s="53">
        <v>603</v>
      </c>
      <c r="U2533" s="53">
        <v>42097</v>
      </c>
      <c r="X2533" s="76">
        <f t="shared" si="435"/>
        <v>25958</v>
      </c>
      <c r="Y2533" s="53">
        <v>12979</v>
      </c>
      <c r="Z2533" s="76">
        <f t="shared" si="435"/>
        <v>112818</v>
      </c>
      <c r="AA2533" s="53">
        <v>56409</v>
      </c>
      <c r="AH2533" s="53">
        <f t="shared" si="436"/>
        <v>433457</v>
      </c>
      <c r="AO2533" s="53">
        <f t="shared" si="432"/>
        <v>215983</v>
      </c>
      <c r="AP2533" s="53">
        <f t="shared" si="432"/>
        <v>954301</v>
      </c>
      <c r="AQ2533" s="53">
        <f t="shared" si="432"/>
        <v>58488482.399999999</v>
      </c>
      <c r="AR2533" s="53">
        <f t="shared" si="432"/>
        <v>0</v>
      </c>
      <c r="AS2533" s="53">
        <f t="shared" si="432"/>
        <v>1810778.2999999998</v>
      </c>
      <c r="AT2533" s="53">
        <f t="shared" si="432"/>
        <v>6209424</v>
      </c>
      <c r="AU2533" s="53">
        <f t="shared" si="432"/>
        <v>0</v>
      </c>
      <c r="AV2533" s="53">
        <f t="shared" si="432"/>
        <v>0</v>
      </c>
      <c r="AW2533" s="53">
        <f t="shared" si="432"/>
        <v>0</v>
      </c>
      <c r="AX2533" s="53">
        <f t="shared" si="433"/>
        <v>0</v>
      </c>
      <c r="AY2533" s="41" t="s">
        <v>557</v>
      </c>
    </row>
    <row r="2534" spans="1:51" x14ac:dyDescent="0.2">
      <c r="A2534" s="41" t="s">
        <v>278</v>
      </c>
      <c r="B2534" s="41">
        <v>1996</v>
      </c>
      <c r="C2534" s="41" t="s">
        <v>91</v>
      </c>
      <c r="D2534" s="41" t="s">
        <v>88</v>
      </c>
      <c r="E2534" s="41">
        <v>0</v>
      </c>
      <c r="F2534" s="41" t="s">
        <v>584</v>
      </c>
      <c r="G2534" s="53">
        <v>607091</v>
      </c>
      <c r="H2534" s="46">
        <v>0.40479631554412765</v>
      </c>
      <c r="I2534" s="46">
        <v>1.7083534428940637</v>
      </c>
      <c r="J2534" s="47">
        <v>103.44974855499422</v>
      </c>
      <c r="K2534" s="46"/>
      <c r="L2534" s="46">
        <v>3.0376025999397127</v>
      </c>
      <c r="M2534" s="46">
        <v>10.849958408212279</v>
      </c>
      <c r="R2534" s="76">
        <f t="shared" si="434"/>
        <v>8292</v>
      </c>
      <c r="S2534" s="53">
        <v>1382</v>
      </c>
      <c r="T2534" s="53">
        <v>733</v>
      </c>
      <c r="U2534" s="53">
        <v>45645</v>
      </c>
      <c r="X2534" s="76">
        <f t="shared" si="435"/>
        <v>24616</v>
      </c>
      <c r="Y2534" s="53">
        <v>12308</v>
      </c>
      <c r="Z2534" s="76">
        <f t="shared" si="435"/>
        <v>120414</v>
      </c>
      <c r="AA2534" s="53">
        <v>60207</v>
      </c>
      <c r="AH2534" s="53">
        <f t="shared" si="436"/>
        <v>453769</v>
      </c>
      <c r="AO2534" s="53">
        <f t="shared" si="432"/>
        <v>245748.2</v>
      </c>
      <c r="AP2534" s="53">
        <f t="shared" si="432"/>
        <v>1037126</v>
      </c>
      <c r="AQ2534" s="53">
        <f t="shared" si="432"/>
        <v>62803411.29999999</v>
      </c>
      <c r="AR2534" s="53">
        <f t="shared" si="432"/>
        <v>0</v>
      </c>
      <c r="AS2534" s="53">
        <f t="shared" si="432"/>
        <v>1844101.2000000002</v>
      </c>
      <c r="AT2534" s="53">
        <f t="shared" si="432"/>
        <v>6586912.1000000006</v>
      </c>
      <c r="AU2534" s="53">
        <f t="shared" si="432"/>
        <v>0</v>
      </c>
      <c r="AV2534" s="53">
        <f t="shared" si="432"/>
        <v>0</v>
      </c>
      <c r="AW2534" s="53">
        <f t="shared" si="432"/>
        <v>0</v>
      </c>
      <c r="AX2534" s="53">
        <f t="shared" si="433"/>
        <v>0</v>
      </c>
      <c r="AY2534" s="41" t="s">
        <v>557</v>
      </c>
    </row>
    <row r="2535" spans="1:51" x14ac:dyDescent="0.2">
      <c r="A2535" s="41" t="s">
        <v>278</v>
      </c>
      <c r="B2535" s="41">
        <v>1997</v>
      </c>
      <c r="C2535" s="41" t="s">
        <v>91</v>
      </c>
      <c r="D2535" s="41" t="s">
        <v>88</v>
      </c>
      <c r="E2535" s="41">
        <v>0</v>
      </c>
      <c r="F2535" s="41" t="s">
        <v>584</v>
      </c>
      <c r="G2535" s="53">
        <v>687941</v>
      </c>
      <c r="H2535" s="46">
        <v>0.4</v>
      </c>
      <c r="I2535" s="46">
        <v>1.2763386685776834</v>
      </c>
      <c r="J2535" s="47">
        <v>95.691794499819025</v>
      </c>
      <c r="K2535" s="46"/>
      <c r="L2535" s="46">
        <v>2.6332425309728595</v>
      </c>
      <c r="M2535" s="46">
        <v>9.9220132249713284</v>
      </c>
      <c r="R2535" s="76">
        <f t="shared" si="434"/>
        <v>7536</v>
      </c>
      <c r="S2535" s="53">
        <v>1256</v>
      </c>
      <c r="T2535" s="53">
        <v>514</v>
      </c>
      <c r="U2535" s="53">
        <v>44705</v>
      </c>
      <c r="X2535" s="76">
        <f t="shared" si="435"/>
        <v>25504</v>
      </c>
      <c r="Y2535" s="53">
        <v>12752</v>
      </c>
      <c r="Z2535" s="76">
        <f t="shared" si="435"/>
        <v>122110</v>
      </c>
      <c r="AA2535" s="53">
        <v>61055</v>
      </c>
      <c r="AH2535" s="53">
        <f t="shared" si="436"/>
        <v>532791</v>
      </c>
      <c r="AO2535" s="53">
        <f t="shared" si="432"/>
        <v>275176.40000000002</v>
      </c>
      <c r="AP2535" s="53">
        <f t="shared" si="432"/>
        <v>878045.70000000007</v>
      </c>
      <c r="AQ2535" s="53">
        <f t="shared" si="432"/>
        <v>65830308.799999997</v>
      </c>
      <c r="AR2535" s="53">
        <f t="shared" si="432"/>
        <v>0</v>
      </c>
      <c r="AS2535" s="53">
        <f t="shared" si="432"/>
        <v>1811515.5</v>
      </c>
      <c r="AT2535" s="53">
        <f t="shared" si="432"/>
        <v>6825759.7000000002</v>
      </c>
      <c r="AU2535" s="53">
        <f t="shared" si="432"/>
        <v>0</v>
      </c>
      <c r="AV2535" s="53">
        <f t="shared" si="432"/>
        <v>0</v>
      </c>
      <c r="AW2535" s="53">
        <f t="shared" si="432"/>
        <v>0</v>
      </c>
      <c r="AX2535" s="53">
        <f t="shared" si="433"/>
        <v>0</v>
      </c>
      <c r="AY2535" s="41" t="s">
        <v>557</v>
      </c>
    </row>
    <row r="2536" spans="1:51" x14ac:dyDescent="0.2">
      <c r="A2536" s="41" t="s">
        <v>278</v>
      </c>
      <c r="B2536" s="41">
        <v>1998</v>
      </c>
      <c r="C2536" s="41" t="s">
        <v>91</v>
      </c>
      <c r="D2536" s="41" t="s">
        <v>88</v>
      </c>
      <c r="E2536" s="47">
        <v>4.2699667814064544</v>
      </c>
      <c r="F2536" s="41" t="s">
        <v>584</v>
      </c>
      <c r="G2536" s="53">
        <v>630632</v>
      </c>
      <c r="H2536" s="46">
        <v>0.4</v>
      </c>
      <c r="I2536" s="46">
        <v>1.4221011620089055</v>
      </c>
      <c r="J2536" s="47">
        <v>78.975557535932197</v>
      </c>
      <c r="K2536" s="46"/>
      <c r="L2536" s="46">
        <v>2.9088771264382398</v>
      </c>
      <c r="M2536" s="46">
        <v>10.110872426391303</v>
      </c>
      <c r="R2536" s="76">
        <f t="shared" si="434"/>
        <v>7326</v>
      </c>
      <c r="S2536" s="53">
        <v>1221</v>
      </c>
      <c r="T2536" s="53">
        <v>431</v>
      </c>
      <c r="U2536" s="53">
        <v>30507</v>
      </c>
      <c r="X2536" s="76">
        <f t="shared" si="435"/>
        <v>25934</v>
      </c>
      <c r="Y2536" s="53">
        <v>12967</v>
      </c>
      <c r="Z2536" s="76">
        <f t="shared" si="435"/>
        <v>88506</v>
      </c>
      <c r="AA2536" s="53">
        <v>44253</v>
      </c>
      <c r="AH2536" s="53">
        <f t="shared" si="436"/>
        <v>508866</v>
      </c>
      <c r="AO2536" s="53">
        <f t="shared" si="432"/>
        <v>252252.80000000002</v>
      </c>
      <c r="AP2536" s="53">
        <f t="shared" si="432"/>
        <v>896822.50000000012</v>
      </c>
      <c r="AQ2536" s="53">
        <f t="shared" si="432"/>
        <v>49804513.79999999</v>
      </c>
      <c r="AR2536" s="53">
        <f t="shared" si="432"/>
        <v>0</v>
      </c>
      <c r="AS2536" s="53">
        <f t="shared" si="432"/>
        <v>1834431</v>
      </c>
      <c r="AT2536" s="53">
        <f t="shared" si="432"/>
        <v>6376239.7000000002</v>
      </c>
      <c r="AU2536" s="53">
        <f t="shared" si="432"/>
        <v>0</v>
      </c>
      <c r="AV2536" s="53">
        <f t="shared" si="432"/>
        <v>0</v>
      </c>
      <c r="AW2536" s="53">
        <f t="shared" si="432"/>
        <v>0</v>
      </c>
      <c r="AX2536" s="53">
        <f t="shared" si="433"/>
        <v>2692777.6912919153</v>
      </c>
      <c r="AY2536" s="41" t="s">
        <v>557</v>
      </c>
    </row>
    <row r="2537" spans="1:51" x14ac:dyDescent="0.2">
      <c r="A2537" s="41" t="s">
        <v>278</v>
      </c>
      <c r="B2537" s="41">
        <v>1999</v>
      </c>
      <c r="C2537" s="41" t="s">
        <v>91</v>
      </c>
      <c r="D2537" s="41" t="s">
        <v>88</v>
      </c>
      <c r="E2537" s="47">
        <v>2.7458238178921421</v>
      </c>
      <c r="F2537" s="41" t="s">
        <v>584</v>
      </c>
      <c r="G2537" s="53">
        <v>701163</v>
      </c>
      <c r="H2537" s="46">
        <v>0.4</v>
      </c>
      <c r="I2537" s="46">
        <v>1.5581265697134621</v>
      </c>
      <c r="J2537" s="47">
        <v>115.29395547112443</v>
      </c>
      <c r="K2537" s="46"/>
      <c r="L2537" s="46">
        <v>3.9462136478964234</v>
      </c>
      <c r="M2537" s="46">
        <v>12.470706668777447</v>
      </c>
      <c r="R2537" s="76">
        <f t="shared" si="434"/>
        <v>3630</v>
      </c>
      <c r="S2537" s="53">
        <v>605</v>
      </c>
      <c r="T2537" s="53">
        <v>753</v>
      </c>
      <c r="U2537" s="53">
        <v>68168</v>
      </c>
      <c r="X2537" s="76">
        <f t="shared" si="435"/>
        <v>43488</v>
      </c>
      <c r="Y2537" s="53">
        <v>21744</v>
      </c>
      <c r="Z2537" s="76">
        <f t="shared" si="435"/>
        <v>157182</v>
      </c>
      <c r="AA2537" s="53">
        <v>78591</v>
      </c>
      <c r="AH2537" s="53">
        <f t="shared" si="436"/>
        <v>496863</v>
      </c>
      <c r="AO2537" s="53">
        <f t="shared" si="432"/>
        <v>280465.2</v>
      </c>
      <c r="AP2537" s="53">
        <f t="shared" si="432"/>
        <v>1092500.7000000002</v>
      </c>
      <c r="AQ2537" s="53">
        <f t="shared" si="432"/>
        <v>80839855.700000018</v>
      </c>
      <c r="AR2537" s="53">
        <f t="shared" si="432"/>
        <v>0</v>
      </c>
      <c r="AS2537" s="53">
        <f t="shared" si="432"/>
        <v>2766939</v>
      </c>
      <c r="AT2537" s="53">
        <f t="shared" si="432"/>
        <v>8743998.1000000015</v>
      </c>
      <c r="AU2537" s="53">
        <f t="shared" si="432"/>
        <v>0</v>
      </c>
      <c r="AV2537" s="53">
        <f t="shared" si="432"/>
        <v>0</v>
      </c>
      <c r="AW2537" s="53">
        <f t="shared" si="432"/>
        <v>0</v>
      </c>
      <c r="AX2537" s="53">
        <f t="shared" si="433"/>
        <v>1925270.0656247081</v>
      </c>
      <c r="AY2537" s="41" t="s">
        <v>557</v>
      </c>
    </row>
    <row r="2538" spans="1:51" x14ac:dyDescent="0.2">
      <c r="A2538" s="41" t="s">
        <v>278</v>
      </c>
      <c r="B2538" s="41">
        <v>2000</v>
      </c>
      <c r="C2538" s="41" t="s">
        <v>91</v>
      </c>
      <c r="D2538" s="41" t="s">
        <v>88</v>
      </c>
      <c r="E2538" s="41">
        <v>0</v>
      </c>
      <c r="F2538" s="41" t="s">
        <v>584</v>
      </c>
      <c r="G2538" s="53">
        <v>654529</v>
      </c>
      <c r="H2538" s="46">
        <v>0.36926415789063594</v>
      </c>
      <c r="I2538" s="46">
        <v>1.9691896004607894</v>
      </c>
      <c r="J2538" s="47">
        <v>144.48002930351444</v>
      </c>
      <c r="K2538" s="46"/>
      <c r="L2538" s="46">
        <v>4.1616073542959899</v>
      </c>
      <c r="M2538" s="46">
        <v>11.582786095039333</v>
      </c>
      <c r="R2538" s="76">
        <f t="shared" si="434"/>
        <v>8208</v>
      </c>
      <c r="S2538" s="53">
        <v>1368</v>
      </c>
      <c r="T2538" s="53">
        <v>819</v>
      </c>
      <c r="U2538" s="53">
        <v>75826</v>
      </c>
      <c r="X2538" s="76">
        <f t="shared" si="435"/>
        <v>44284</v>
      </c>
      <c r="Y2538" s="53">
        <v>22142</v>
      </c>
      <c r="Z2538" s="76">
        <f t="shared" si="435"/>
        <v>137346</v>
      </c>
      <c r="AA2538" s="53">
        <v>68673</v>
      </c>
      <c r="AH2538" s="53">
        <f t="shared" si="436"/>
        <v>464691</v>
      </c>
      <c r="AO2538" s="53">
        <f t="shared" si="432"/>
        <v>241694.10000000003</v>
      </c>
      <c r="AP2538" s="53">
        <f t="shared" si="432"/>
        <v>1288891.7</v>
      </c>
      <c r="AQ2538" s="53">
        <f t="shared" si="432"/>
        <v>94566369.100000009</v>
      </c>
      <c r="AR2538" s="53">
        <f t="shared" si="432"/>
        <v>0</v>
      </c>
      <c r="AS2538" s="53">
        <f t="shared" si="432"/>
        <v>2723892.7</v>
      </c>
      <c r="AT2538" s="53">
        <f t="shared" si="432"/>
        <v>7581269.3999999994</v>
      </c>
      <c r="AU2538" s="53">
        <f t="shared" si="432"/>
        <v>0</v>
      </c>
      <c r="AV2538" s="53">
        <f t="shared" si="432"/>
        <v>0</v>
      </c>
      <c r="AW2538" s="53">
        <f t="shared" si="432"/>
        <v>0</v>
      </c>
      <c r="AX2538" s="53">
        <f t="shared" si="433"/>
        <v>0</v>
      </c>
      <c r="AY2538" s="41" t="s">
        <v>557</v>
      </c>
    </row>
    <row r="2539" spans="1:51" x14ac:dyDescent="0.2">
      <c r="A2539" s="41" t="s">
        <v>278</v>
      </c>
      <c r="B2539" s="41">
        <v>2001</v>
      </c>
      <c r="C2539" s="41" t="s">
        <v>91</v>
      </c>
      <c r="D2539" s="41" t="s">
        <v>88</v>
      </c>
      <c r="E2539" s="47">
        <v>1.9361073559414432</v>
      </c>
      <c r="F2539" s="41" t="s">
        <v>584</v>
      </c>
      <c r="G2539" s="53">
        <v>761983</v>
      </c>
      <c r="H2539" s="46">
        <v>0.34837947828232385</v>
      </c>
      <c r="I2539" s="46">
        <v>2.0822526749284433</v>
      </c>
      <c r="J2539" s="47">
        <v>157.03115082619954</v>
      </c>
      <c r="K2539" s="46"/>
      <c r="L2539" s="46">
        <v>4.3641577305530435</v>
      </c>
      <c r="M2539" s="46">
        <v>11.993588912088589</v>
      </c>
      <c r="R2539" s="76">
        <f t="shared" si="434"/>
        <v>9078</v>
      </c>
      <c r="S2539" s="53">
        <v>1513</v>
      </c>
      <c r="T2539" s="53">
        <v>1072</v>
      </c>
      <c r="U2539" s="53">
        <v>90284</v>
      </c>
      <c r="X2539" s="76">
        <f t="shared" si="435"/>
        <v>53270</v>
      </c>
      <c r="Y2539" s="53">
        <v>26635</v>
      </c>
      <c r="Z2539" s="76">
        <f t="shared" si="435"/>
        <v>163854</v>
      </c>
      <c r="AA2539" s="53">
        <v>81927</v>
      </c>
      <c r="AH2539" s="53">
        <f t="shared" si="436"/>
        <v>535781</v>
      </c>
      <c r="AO2539" s="53">
        <f t="shared" si="432"/>
        <v>265459.24</v>
      </c>
      <c r="AP2539" s="53">
        <f t="shared" si="432"/>
        <v>1586641.1400000001</v>
      </c>
      <c r="AQ2539" s="53">
        <f t="shared" si="432"/>
        <v>119655067.40000001</v>
      </c>
      <c r="AR2539" s="53">
        <f t="shared" si="432"/>
        <v>0</v>
      </c>
      <c r="AS2539" s="53">
        <f t="shared" si="432"/>
        <v>3325413.9999999995</v>
      </c>
      <c r="AT2539" s="53">
        <f t="shared" si="432"/>
        <v>9138910.8599999994</v>
      </c>
      <c r="AU2539" s="53">
        <f t="shared" si="432"/>
        <v>0</v>
      </c>
      <c r="AV2539" s="53">
        <f t="shared" si="432"/>
        <v>0</v>
      </c>
      <c r="AW2539" s="53">
        <f t="shared" si="432"/>
        <v>0</v>
      </c>
      <c r="AX2539" s="53">
        <f t="shared" si="433"/>
        <v>1475280.8914023289</v>
      </c>
      <c r="AY2539" s="41" t="s">
        <v>557</v>
      </c>
    </row>
    <row r="2540" spans="1:51" x14ac:dyDescent="0.2">
      <c r="A2540" s="41" t="s">
        <v>278</v>
      </c>
      <c r="B2540" s="41">
        <v>2002</v>
      </c>
      <c r="C2540" s="41" t="s">
        <v>91</v>
      </c>
      <c r="D2540" s="41" t="s">
        <v>88</v>
      </c>
      <c r="E2540" s="47">
        <v>1.2659875430194587</v>
      </c>
      <c r="F2540" s="41" t="s">
        <v>584</v>
      </c>
      <c r="G2540" s="53">
        <v>796474</v>
      </c>
      <c r="H2540" s="46">
        <v>0.3</v>
      </c>
      <c r="I2540" s="46">
        <v>1.5194807363454423</v>
      </c>
      <c r="J2540" s="47">
        <v>110.07992715393095</v>
      </c>
      <c r="K2540" s="46"/>
      <c r="L2540" s="46">
        <v>3.7873680747896357</v>
      </c>
      <c r="M2540" s="46">
        <v>10.8803186293589</v>
      </c>
      <c r="R2540" s="76">
        <f t="shared" si="434"/>
        <v>7338</v>
      </c>
      <c r="S2540" s="53">
        <v>1223</v>
      </c>
      <c r="T2540" s="53">
        <v>891</v>
      </c>
      <c r="U2540" s="53">
        <v>64514</v>
      </c>
      <c r="X2540" s="76">
        <f t="shared" si="435"/>
        <v>50170</v>
      </c>
      <c r="Y2540" s="53">
        <v>25085</v>
      </c>
      <c r="Z2540" s="76">
        <f t="shared" si="435"/>
        <v>155404</v>
      </c>
      <c r="AA2540" s="53">
        <v>77702</v>
      </c>
      <c r="AH2540" s="53">
        <f t="shared" si="436"/>
        <v>583562</v>
      </c>
      <c r="AO2540" s="53">
        <f t="shared" si="432"/>
        <v>238942.19999999998</v>
      </c>
      <c r="AP2540" s="53">
        <f t="shared" si="432"/>
        <v>1210226.8999999999</v>
      </c>
      <c r="AQ2540" s="53">
        <f t="shared" si="432"/>
        <v>87675799.900000006</v>
      </c>
      <c r="AR2540" s="53">
        <f t="shared" si="432"/>
        <v>0</v>
      </c>
      <c r="AS2540" s="53">
        <f t="shared" si="432"/>
        <v>3016540.2</v>
      </c>
      <c r="AT2540" s="53">
        <f t="shared" si="432"/>
        <v>8665890.9000000004</v>
      </c>
      <c r="AU2540" s="53">
        <f t="shared" si="432"/>
        <v>0</v>
      </c>
      <c r="AV2540" s="53">
        <f t="shared" si="432"/>
        <v>0</v>
      </c>
      <c r="AW2540" s="53">
        <f t="shared" si="432"/>
        <v>0</v>
      </c>
      <c r="AX2540" s="53">
        <f t="shared" si="433"/>
        <v>1008326.1623388804</v>
      </c>
      <c r="AY2540" s="41" t="s">
        <v>557</v>
      </c>
    </row>
    <row r="2541" spans="1:51" x14ac:dyDescent="0.2">
      <c r="A2541" s="41" t="s">
        <v>278</v>
      </c>
      <c r="B2541" s="41">
        <v>2003</v>
      </c>
      <c r="C2541" s="41" t="s">
        <v>91</v>
      </c>
      <c r="D2541" s="41" t="s">
        <v>88</v>
      </c>
      <c r="E2541" s="47">
        <v>0.56300062598208922</v>
      </c>
      <c r="F2541" s="41" t="s">
        <v>584</v>
      </c>
      <c r="G2541" s="53">
        <v>766086</v>
      </c>
      <c r="H2541" s="46">
        <v>0.37417548421456598</v>
      </c>
      <c r="I2541" s="46">
        <v>1.8778394331706885</v>
      </c>
      <c r="J2541" s="47">
        <v>101.51090412825714</v>
      </c>
      <c r="K2541" s="46"/>
      <c r="L2541" s="46">
        <v>4.1483042373832699</v>
      </c>
      <c r="M2541" s="46">
        <v>12.244797320405281</v>
      </c>
      <c r="R2541" s="76">
        <f t="shared" si="434"/>
        <v>9726</v>
      </c>
      <c r="S2541" s="53">
        <v>1621</v>
      </c>
      <c r="T2541" s="53">
        <v>1194</v>
      </c>
      <c r="U2541" s="53">
        <v>67269</v>
      </c>
      <c r="X2541" s="76">
        <f t="shared" si="435"/>
        <v>52664</v>
      </c>
      <c r="Y2541" s="53">
        <v>26332</v>
      </c>
      <c r="Z2541" s="76">
        <f t="shared" si="435"/>
        <v>148096</v>
      </c>
      <c r="AA2541" s="53">
        <v>74048</v>
      </c>
      <c r="AH2541" s="53">
        <f t="shared" si="436"/>
        <v>555600</v>
      </c>
      <c r="AO2541" s="53">
        <f t="shared" si="432"/>
        <v>286650.59999999998</v>
      </c>
      <c r="AP2541" s="53">
        <f t="shared" si="432"/>
        <v>1438586.5</v>
      </c>
      <c r="AQ2541" s="53">
        <f t="shared" si="432"/>
        <v>77766082.5</v>
      </c>
      <c r="AR2541" s="53">
        <f t="shared" si="432"/>
        <v>0</v>
      </c>
      <c r="AS2541" s="53">
        <f t="shared" si="432"/>
        <v>3177957.8</v>
      </c>
      <c r="AT2541" s="53">
        <f t="shared" si="432"/>
        <v>9380567.8000000007</v>
      </c>
      <c r="AU2541" s="53">
        <f t="shared" si="432"/>
        <v>0</v>
      </c>
      <c r="AV2541" s="53">
        <f t="shared" si="432"/>
        <v>0</v>
      </c>
      <c r="AW2541" s="53">
        <f t="shared" si="432"/>
        <v>0</v>
      </c>
      <c r="AX2541" s="53">
        <f t="shared" si="433"/>
        <v>431306.89755611483</v>
      </c>
      <c r="AY2541" s="41" t="s">
        <v>557</v>
      </c>
    </row>
    <row r="2542" spans="1:51" x14ac:dyDescent="0.2">
      <c r="A2542" s="41" t="s">
        <v>278</v>
      </c>
      <c r="B2542" s="41">
        <v>2004</v>
      </c>
      <c r="C2542" s="41" t="s">
        <v>91</v>
      </c>
      <c r="D2542" s="41" t="s">
        <v>88</v>
      </c>
      <c r="E2542" s="41">
        <v>0</v>
      </c>
      <c r="F2542" s="41" t="s">
        <v>584</v>
      </c>
      <c r="G2542" s="53">
        <v>712189</v>
      </c>
      <c r="H2542" s="46">
        <v>0.49922408237139304</v>
      </c>
      <c r="I2542" s="46">
        <v>2.0682651655670052</v>
      </c>
      <c r="J2542" s="47">
        <v>138.69611086382969</v>
      </c>
      <c r="K2542" s="46"/>
      <c r="L2542" s="46">
        <v>5.1867536566838304</v>
      </c>
      <c r="M2542" s="46">
        <v>14.901023885513537</v>
      </c>
      <c r="R2542" s="76">
        <f t="shared" si="434"/>
        <v>13158</v>
      </c>
      <c r="S2542" s="53">
        <v>2193</v>
      </c>
      <c r="T2542" s="53">
        <v>1256</v>
      </c>
      <c r="U2542" s="53">
        <v>88804</v>
      </c>
      <c r="X2542" s="76">
        <f t="shared" si="435"/>
        <v>62186</v>
      </c>
      <c r="Y2542" s="53">
        <v>31093</v>
      </c>
      <c r="Z2542" s="76">
        <f t="shared" si="435"/>
        <v>197240</v>
      </c>
      <c r="AA2542" s="53">
        <v>98620</v>
      </c>
      <c r="AH2542" s="53">
        <f t="shared" si="436"/>
        <v>439605</v>
      </c>
      <c r="AO2542" s="53">
        <f t="shared" si="432"/>
        <v>355541.9</v>
      </c>
      <c r="AP2542" s="53">
        <f t="shared" si="432"/>
        <v>1472995.7</v>
      </c>
      <c r="AQ2542" s="53">
        <f t="shared" si="432"/>
        <v>98777844.5</v>
      </c>
      <c r="AR2542" s="53">
        <f t="shared" si="432"/>
        <v>0</v>
      </c>
      <c r="AS2542" s="53">
        <f t="shared" si="432"/>
        <v>3693948.9000000004</v>
      </c>
      <c r="AT2542" s="53">
        <f t="shared" si="432"/>
        <v>10612345.300000001</v>
      </c>
      <c r="AU2542" s="53">
        <f t="shared" si="432"/>
        <v>0</v>
      </c>
      <c r="AV2542" s="53">
        <f t="shared" si="432"/>
        <v>0</v>
      </c>
      <c r="AW2542" s="53">
        <f t="shared" si="432"/>
        <v>0</v>
      </c>
      <c r="AX2542" s="53">
        <f t="shared" si="433"/>
        <v>0</v>
      </c>
      <c r="AY2542" s="41" t="s">
        <v>557</v>
      </c>
    </row>
    <row r="2543" spans="1:51" x14ac:dyDescent="0.2">
      <c r="A2543" s="41" t="s">
        <v>278</v>
      </c>
      <c r="B2543" s="41">
        <v>2005</v>
      </c>
      <c r="C2543" s="41" t="s">
        <v>91</v>
      </c>
      <c r="D2543" s="41" t="s">
        <v>88</v>
      </c>
      <c r="E2543" s="41">
        <v>0</v>
      </c>
      <c r="F2543" s="41" t="s">
        <v>584</v>
      </c>
      <c r="G2543" s="53">
        <v>709130</v>
      </c>
      <c r="H2543" s="46">
        <v>0.37279398699815269</v>
      </c>
      <c r="I2543" s="46">
        <v>1.5168901329798485</v>
      </c>
      <c r="J2543" s="47">
        <v>130.51953999971798</v>
      </c>
      <c r="K2543" s="46"/>
      <c r="L2543" s="46">
        <v>4.382961516224106</v>
      </c>
      <c r="M2543" s="46">
        <v>13.25491574182449</v>
      </c>
      <c r="R2543" s="76">
        <f t="shared" si="434"/>
        <v>10302</v>
      </c>
      <c r="S2543" s="53">
        <v>1717</v>
      </c>
      <c r="T2543" s="53">
        <v>1056</v>
      </c>
      <c r="U2543" s="53">
        <v>83581</v>
      </c>
      <c r="X2543" s="76">
        <f t="shared" si="435"/>
        <v>50290</v>
      </c>
      <c r="Y2543" s="53">
        <v>25145</v>
      </c>
      <c r="Z2543" s="76">
        <f t="shared" si="435"/>
        <v>177110</v>
      </c>
      <c r="AA2543" s="53">
        <v>88555</v>
      </c>
      <c r="AH2543" s="53">
        <f t="shared" si="436"/>
        <v>471428</v>
      </c>
      <c r="AO2543" s="53">
        <f t="shared" si="432"/>
        <v>264359.40000000002</v>
      </c>
      <c r="AP2543" s="53">
        <f t="shared" si="432"/>
        <v>1075672.3</v>
      </c>
      <c r="AQ2543" s="53">
        <f t="shared" si="432"/>
        <v>92555321.400000006</v>
      </c>
      <c r="AR2543" s="53">
        <f t="shared" si="432"/>
        <v>0</v>
      </c>
      <c r="AS2543" s="53">
        <f t="shared" si="432"/>
        <v>3108089.5000000005</v>
      </c>
      <c r="AT2543" s="53">
        <f t="shared" si="432"/>
        <v>9399458.4000000004</v>
      </c>
      <c r="AU2543" s="53">
        <f t="shared" si="432"/>
        <v>0</v>
      </c>
      <c r="AV2543" s="53">
        <f t="shared" si="432"/>
        <v>0</v>
      </c>
      <c r="AW2543" s="53">
        <f t="shared" si="432"/>
        <v>0</v>
      </c>
      <c r="AX2543" s="53">
        <f t="shared" si="433"/>
        <v>0</v>
      </c>
      <c r="AY2543" s="41" t="s">
        <v>557</v>
      </c>
    </row>
    <row r="2544" spans="1:51" x14ac:dyDescent="0.2">
      <c r="A2544" s="41" t="s">
        <v>278</v>
      </c>
      <c r="B2544" s="41">
        <v>2006</v>
      </c>
      <c r="C2544" s="41" t="s">
        <v>91</v>
      </c>
      <c r="D2544" s="41" t="s">
        <v>88</v>
      </c>
      <c r="E2544" s="41">
        <v>0</v>
      </c>
      <c r="F2544" s="41" t="s">
        <v>584</v>
      </c>
      <c r="G2544" s="53">
        <v>641262</v>
      </c>
      <c r="H2544" s="46">
        <v>0.34719615383415831</v>
      </c>
      <c r="I2544" s="46">
        <v>1.8873564939135641</v>
      </c>
      <c r="J2544" s="47">
        <v>154.94089264606356</v>
      </c>
      <c r="K2544" s="46"/>
      <c r="L2544" s="46">
        <v>4.9309731435824986</v>
      </c>
      <c r="M2544" s="46">
        <v>14.217943835748882</v>
      </c>
      <c r="R2544" s="76">
        <f t="shared" si="434"/>
        <v>7668</v>
      </c>
      <c r="S2544" s="53">
        <v>1278</v>
      </c>
      <c r="T2544" s="53">
        <v>1224</v>
      </c>
      <c r="U2544" s="53">
        <v>88381</v>
      </c>
      <c r="X2544" s="76">
        <f t="shared" si="435"/>
        <v>48820</v>
      </c>
      <c r="Y2544" s="53">
        <v>24410</v>
      </c>
      <c r="Z2544" s="76">
        <f t="shared" si="435"/>
        <v>173880</v>
      </c>
      <c r="AA2544" s="53">
        <v>86940</v>
      </c>
      <c r="AH2544" s="53">
        <f t="shared" si="436"/>
        <v>410894</v>
      </c>
      <c r="AO2544" s="53">
        <f t="shared" si="432"/>
        <v>222643.7</v>
      </c>
      <c r="AP2544" s="53">
        <f t="shared" si="432"/>
        <v>1210290</v>
      </c>
      <c r="AQ2544" s="53">
        <f t="shared" si="432"/>
        <v>99357706.700000018</v>
      </c>
      <c r="AR2544" s="53">
        <f t="shared" si="432"/>
        <v>0</v>
      </c>
      <c r="AS2544" s="53">
        <f t="shared" si="432"/>
        <v>3162045.7</v>
      </c>
      <c r="AT2544" s="53">
        <f t="shared" si="432"/>
        <v>9117427.0999999996</v>
      </c>
      <c r="AU2544" s="53">
        <f t="shared" si="432"/>
        <v>0</v>
      </c>
      <c r="AV2544" s="53">
        <f t="shared" si="432"/>
        <v>0</v>
      </c>
      <c r="AW2544" s="53">
        <f t="shared" si="432"/>
        <v>0</v>
      </c>
      <c r="AX2544" s="53">
        <f t="shared" si="433"/>
        <v>0</v>
      </c>
      <c r="AY2544" s="41" t="s">
        <v>557</v>
      </c>
    </row>
    <row r="2545" spans="1:51" x14ac:dyDescent="0.2">
      <c r="A2545" s="41" t="s">
        <v>278</v>
      </c>
      <c r="B2545" s="41">
        <v>2007</v>
      </c>
      <c r="C2545" s="41" t="s">
        <v>91</v>
      </c>
      <c r="D2545" s="41" t="s">
        <v>88</v>
      </c>
      <c r="E2545" s="41">
        <v>0</v>
      </c>
      <c r="F2545" s="41" t="s">
        <v>584</v>
      </c>
      <c r="G2545" s="53">
        <v>726081</v>
      </c>
      <c r="H2545" s="46">
        <v>0.4</v>
      </c>
      <c r="I2545" s="46">
        <v>1.3969156333797468</v>
      </c>
      <c r="J2545" s="47">
        <v>155.81141305171187</v>
      </c>
      <c r="K2545" s="46"/>
      <c r="L2545" s="46">
        <v>3.8023133782594503</v>
      </c>
      <c r="M2545" s="46">
        <v>12.352509017588947</v>
      </c>
      <c r="R2545" s="76">
        <f t="shared" si="434"/>
        <v>9174</v>
      </c>
      <c r="S2545" s="53">
        <v>1529</v>
      </c>
      <c r="T2545" s="53">
        <v>1129</v>
      </c>
      <c r="U2545" s="53">
        <v>93884</v>
      </c>
      <c r="X2545" s="76">
        <f t="shared" si="435"/>
        <v>43244</v>
      </c>
      <c r="Y2545" s="53">
        <v>21622</v>
      </c>
      <c r="Z2545" s="76">
        <f t="shared" si="435"/>
        <v>168160</v>
      </c>
      <c r="AA2545" s="53">
        <v>84080</v>
      </c>
      <c r="AH2545" s="53">
        <f t="shared" si="436"/>
        <v>505503</v>
      </c>
      <c r="AO2545" s="53">
        <f t="shared" si="432"/>
        <v>290432.40000000002</v>
      </c>
      <c r="AP2545" s="53">
        <f t="shared" si="432"/>
        <v>1014273.8999999999</v>
      </c>
      <c r="AQ2545" s="53">
        <f t="shared" si="432"/>
        <v>113131706.60000001</v>
      </c>
      <c r="AR2545" s="53">
        <f t="shared" si="432"/>
        <v>0</v>
      </c>
      <c r="AS2545" s="53">
        <f t="shared" si="432"/>
        <v>2760787.5</v>
      </c>
      <c r="AT2545" s="53">
        <f t="shared" si="432"/>
        <v>8968922.0999999996</v>
      </c>
      <c r="AU2545" s="53">
        <f t="shared" si="432"/>
        <v>0</v>
      </c>
      <c r="AV2545" s="53">
        <f t="shared" si="432"/>
        <v>0</v>
      </c>
      <c r="AW2545" s="53">
        <f t="shared" si="432"/>
        <v>0</v>
      </c>
      <c r="AX2545" s="53">
        <f t="shared" si="433"/>
        <v>0</v>
      </c>
      <c r="AY2545" s="41" t="s">
        <v>557</v>
      </c>
    </row>
    <row r="2546" spans="1:51" x14ac:dyDescent="0.2">
      <c r="A2546" s="41" t="s">
        <v>278</v>
      </c>
      <c r="B2546" s="41">
        <v>2008</v>
      </c>
      <c r="C2546" s="41" t="s">
        <v>91</v>
      </c>
      <c r="D2546" s="41" t="s">
        <v>88</v>
      </c>
      <c r="E2546" s="41">
        <v>0</v>
      </c>
      <c r="F2546" s="41" t="s">
        <v>584</v>
      </c>
      <c r="G2546" s="53">
        <v>815345</v>
      </c>
      <c r="H2546" s="46">
        <v>0.3</v>
      </c>
      <c r="I2546" s="46">
        <v>1.5003436582060354</v>
      </c>
      <c r="J2546" s="47">
        <v>126.68257988949462</v>
      </c>
      <c r="K2546" s="46"/>
      <c r="L2546" s="46">
        <v>3.8261440249219656</v>
      </c>
      <c r="M2546" s="46">
        <v>11.126071662915699</v>
      </c>
      <c r="R2546" s="76">
        <f t="shared" si="434"/>
        <v>10008</v>
      </c>
      <c r="S2546" s="53">
        <v>1668</v>
      </c>
      <c r="T2546" s="53">
        <v>955.22220000000004</v>
      </c>
      <c r="U2546" s="53">
        <v>92823.31719999999</v>
      </c>
      <c r="X2546" s="76">
        <f t="shared" si="435"/>
        <v>53286</v>
      </c>
      <c r="Y2546" s="53">
        <v>26643</v>
      </c>
      <c r="Z2546" s="76">
        <f t="shared" si="435"/>
        <v>169230</v>
      </c>
      <c r="AA2546" s="53">
        <v>84615</v>
      </c>
      <c r="AH2546" s="53">
        <f t="shared" si="436"/>
        <v>582821</v>
      </c>
      <c r="AO2546" s="53">
        <f t="shared" si="432"/>
        <v>244603.5</v>
      </c>
      <c r="AP2546" s="53">
        <f t="shared" si="432"/>
        <v>1223297.7</v>
      </c>
      <c r="AQ2546" s="53">
        <f t="shared" si="432"/>
        <v>103290008.09999999</v>
      </c>
      <c r="AR2546" s="53">
        <f t="shared" si="432"/>
        <v>0</v>
      </c>
      <c r="AS2546" s="53">
        <f t="shared" si="432"/>
        <v>3119627.4</v>
      </c>
      <c r="AT2546" s="53">
        <f t="shared" si="432"/>
        <v>9071586.9000000004</v>
      </c>
      <c r="AU2546" s="53">
        <f t="shared" si="432"/>
        <v>0</v>
      </c>
      <c r="AV2546" s="53">
        <f t="shared" si="432"/>
        <v>0</v>
      </c>
      <c r="AW2546" s="53">
        <f t="shared" si="432"/>
        <v>0</v>
      </c>
      <c r="AX2546" s="53">
        <f t="shared" si="433"/>
        <v>0</v>
      </c>
      <c r="AY2546" s="41" t="s">
        <v>557</v>
      </c>
    </row>
    <row r="2547" spans="1:51" x14ac:dyDescent="0.2">
      <c r="A2547" s="41" t="s">
        <v>278</v>
      </c>
      <c r="B2547" s="41">
        <v>2009</v>
      </c>
      <c r="C2547" s="41" t="s">
        <v>91</v>
      </c>
      <c r="D2547" s="41" t="s">
        <v>88</v>
      </c>
      <c r="E2547" s="41">
        <v>0</v>
      </c>
      <c r="F2547" s="41" t="s">
        <v>584</v>
      </c>
      <c r="G2547" s="53">
        <v>794819.5</v>
      </c>
      <c r="H2547" s="46">
        <v>0.42990553201072695</v>
      </c>
      <c r="I2547" s="46">
        <v>1.4697565799530585</v>
      </c>
      <c r="J2547" s="47">
        <v>135.53952784248497</v>
      </c>
      <c r="K2547" s="46"/>
      <c r="L2547" s="46">
        <v>3.9899757366295114</v>
      </c>
      <c r="M2547" s="46">
        <v>12.040387081595254</v>
      </c>
      <c r="R2547" s="76">
        <f t="shared" si="434"/>
        <v>16980</v>
      </c>
      <c r="S2547" s="53">
        <v>2830</v>
      </c>
      <c r="T2547" s="53">
        <v>1031.3071</v>
      </c>
      <c r="U2547" s="53">
        <v>96070.947799999994</v>
      </c>
      <c r="X2547" s="76">
        <f t="shared" si="435"/>
        <v>53589.537107999997</v>
      </c>
      <c r="Y2547" s="53">
        <v>26794.768553999998</v>
      </c>
      <c r="Z2547" s="76">
        <f t="shared" si="435"/>
        <v>177651.89068000001</v>
      </c>
      <c r="AA2547" s="53">
        <v>88825.945340000006</v>
      </c>
      <c r="AH2547" s="53">
        <f t="shared" si="436"/>
        <v>546598.07221199991</v>
      </c>
      <c r="AO2547" s="53">
        <f t="shared" si="432"/>
        <v>341697.3</v>
      </c>
      <c r="AP2547" s="53">
        <f t="shared" si="432"/>
        <v>1168191.19</v>
      </c>
      <c r="AQ2547" s="53">
        <f t="shared" si="432"/>
        <v>107729459.74999999</v>
      </c>
      <c r="AR2547" s="53">
        <f t="shared" si="432"/>
        <v>0</v>
      </c>
      <c r="AS2547" s="53">
        <f t="shared" si="432"/>
        <v>3171310.52</v>
      </c>
      <c r="AT2547" s="53">
        <f t="shared" si="432"/>
        <v>9569934.4399999995</v>
      </c>
      <c r="AU2547" s="53">
        <f t="shared" si="432"/>
        <v>0</v>
      </c>
      <c r="AV2547" s="53">
        <f t="shared" si="432"/>
        <v>0</v>
      </c>
      <c r="AW2547" s="53">
        <f t="shared" si="432"/>
        <v>0</v>
      </c>
      <c r="AX2547" s="53">
        <f t="shared" si="433"/>
        <v>0</v>
      </c>
      <c r="AY2547" s="41" t="s">
        <v>557</v>
      </c>
    </row>
    <row r="2548" spans="1:51" x14ac:dyDescent="0.2">
      <c r="A2548" s="41" t="s">
        <v>278</v>
      </c>
      <c r="B2548" s="41">
        <v>2010</v>
      </c>
      <c r="C2548" s="41" t="s">
        <v>91</v>
      </c>
      <c r="D2548" s="41" t="s">
        <v>88</v>
      </c>
      <c r="E2548" s="41">
        <v>0</v>
      </c>
      <c r="F2548" s="41" t="s">
        <v>584</v>
      </c>
      <c r="G2548" s="53">
        <v>724791</v>
      </c>
      <c r="H2548" s="46">
        <v>0.37870855184460078</v>
      </c>
      <c r="I2548" s="46">
        <v>1.7170139943790694</v>
      </c>
      <c r="J2548" s="47">
        <v>125.03292958935748</v>
      </c>
      <c r="K2548" s="46"/>
      <c r="L2548" s="46">
        <v>4.0862692831450724</v>
      </c>
      <c r="M2548" s="46">
        <v>12.666111334163917</v>
      </c>
      <c r="R2548" s="76">
        <f t="shared" si="434"/>
        <v>12522</v>
      </c>
      <c r="S2548" s="53">
        <v>2087</v>
      </c>
      <c r="T2548" s="53">
        <v>981.20500000000004</v>
      </c>
      <c r="U2548" s="53">
        <v>78709.030700000003</v>
      </c>
      <c r="X2548" s="76">
        <f t="shared" si="435"/>
        <v>50702</v>
      </c>
      <c r="Y2548" s="53">
        <v>25351</v>
      </c>
      <c r="Z2548" s="76">
        <f t="shared" si="435"/>
        <v>168390</v>
      </c>
      <c r="AA2548" s="53">
        <v>84195</v>
      </c>
      <c r="AH2548" s="53">
        <f t="shared" si="436"/>
        <v>493177</v>
      </c>
      <c r="AO2548" s="53">
        <f t="shared" si="432"/>
        <v>274484.55000000005</v>
      </c>
      <c r="AP2548" s="53">
        <f t="shared" si="432"/>
        <v>1244476.29</v>
      </c>
      <c r="AQ2548" s="53">
        <f t="shared" si="432"/>
        <v>90622742.069999993</v>
      </c>
      <c r="AR2548" s="53">
        <f t="shared" si="432"/>
        <v>0</v>
      </c>
      <c r="AS2548" s="53">
        <f t="shared" si="432"/>
        <v>2961691.2</v>
      </c>
      <c r="AT2548" s="53">
        <f t="shared" si="432"/>
        <v>9180283.5</v>
      </c>
      <c r="AU2548" s="53">
        <f t="shared" si="432"/>
        <v>0</v>
      </c>
      <c r="AV2548" s="53">
        <f t="shared" si="432"/>
        <v>0</v>
      </c>
      <c r="AW2548" s="53">
        <f t="shared" si="432"/>
        <v>0</v>
      </c>
      <c r="AX2548" s="53">
        <f t="shared" si="433"/>
        <v>0</v>
      </c>
      <c r="AY2548" s="41" t="s">
        <v>557</v>
      </c>
    </row>
    <row r="2549" spans="1:51" x14ac:dyDescent="0.2">
      <c r="A2549" s="41" t="s">
        <v>278</v>
      </c>
      <c r="B2549" s="41">
        <v>2011</v>
      </c>
      <c r="C2549" s="41" t="s">
        <v>91</v>
      </c>
      <c r="D2549" s="41" t="s">
        <v>88</v>
      </c>
      <c r="E2549" s="41">
        <v>0</v>
      </c>
      <c r="F2549" s="41" t="s">
        <v>584</v>
      </c>
      <c r="G2549" s="53">
        <v>788411</v>
      </c>
      <c r="H2549" s="46">
        <v>0.3605270601247319</v>
      </c>
      <c r="I2549" s="46">
        <v>2.1681093363740485</v>
      </c>
      <c r="J2549" s="47">
        <v>119.60189460826905</v>
      </c>
      <c r="K2549" s="46"/>
      <c r="L2549" s="46">
        <v>3.9353764977911267</v>
      </c>
      <c r="M2549" s="46">
        <v>11.364269587816507</v>
      </c>
      <c r="R2549" s="76">
        <f t="shared" si="434"/>
        <v>11000.9007864</v>
      </c>
      <c r="S2549" s="53">
        <v>1833.4834644</v>
      </c>
      <c r="T2549" s="53">
        <v>386.66272404799997</v>
      </c>
      <c r="U2549" s="53">
        <v>53510.628900000003</v>
      </c>
      <c r="X2549" s="76">
        <f t="shared" si="435"/>
        <v>50705.793934200003</v>
      </c>
      <c r="Y2549" s="53">
        <v>25352.896967100001</v>
      </c>
      <c r="Z2549" s="76">
        <f t="shared" si="435"/>
        <v>161351.28337768</v>
      </c>
      <c r="AA2549" s="53">
        <v>80675.641688839998</v>
      </c>
      <c r="AH2549" s="53">
        <f t="shared" si="436"/>
        <v>565353.02190172009</v>
      </c>
      <c r="AO2549" s="53">
        <f t="shared" si="432"/>
        <v>284243.5</v>
      </c>
      <c r="AP2549" s="53">
        <f t="shared" si="432"/>
        <v>1709361.25</v>
      </c>
      <c r="AQ2549" s="53">
        <f t="shared" si="432"/>
        <v>94295449.330000013</v>
      </c>
      <c r="AR2549" s="53">
        <f t="shared" si="432"/>
        <v>0</v>
      </c>
      <c r="AS2549" s="53">
        <f t="shared" si="432"/>
        <v>3102694.12</v>
      </c>
      <c r="AT2549" s="53">
        <f t="shared" si="432"/>
        <v>8959715.1500000004</v>
      </c>
      <c r="AU2549" s="53">
        <f t="shared" si="432"/>
        <v>0</v>
      </c>
      <c r="AV2549" s="53">
        <f t="shared" si="432"/>
        <v>0</v>
      </c>
      <c r="AW2549" s="53">
        <f t="shared" si="432"/>
        <v>0</v>
      </c>
      <c r="AX2549" s="53">
        <f t="shared" si="433"/>
        <v>0</v>
      </c>
      <c r="AY2549" s="41" t="s">
        <v>557</v>
      </c>
    </row>
    <row r="2550" spans="1:51" x14ac:dyDescent="0.2">
      <c r="A2550" s="41" t="s">
        <v>278</v>
      </c>
      <c r="B2550" s="41">
        <v>2012</v>
      </c>
      <c r="C2550" s="41" t="s">
        <v>91</v>
      </c>
      <c r="D2550" s="41" t="s">
        <v>88</v>
      </c>
      <c r="E2550" s="41">
        <v>0</v>
      </c>
      <c r="F2550" s="41" t="s">
        <v>584</v>
      </c>
      <c r="G2550" s="53">
        <v>812595</v>
      </c>
      <c r="H2550" s="46">
        <v>0.32391646515176692</v>
      </c>
      <c r="I2550" s="46">
        <v>1.4467198296814527</v>
      </c>
      <c r="J2550" s="47">
        <v>99.8607834160929</v>
      </c>
      <c r="K2550" s="46"/>
      <c r="L2550" s="46">
        <v>3.198523618776882</v>
      </c>
      <c r="M2550" s="46">
        <v>9.6537095355004645</v>
      </c>
      <c r="R2550" s="76">
        <f t="shared" si="434"/>
        <v>9522</v>
      </c>
      <c r="S2550" s="53">
        <v>1587</v>
      </c>
      <c r="T2550" s="53">
        <v>968.32960000000003</v>
      </c>
      <c r="U2550" s="53">
        <v>73293.090100000001</v>
      </c>
      <c r="X2550" s="76">
        <f t="shared" si="435"/>
        <v>40292</v>
      </c>
      <c r="Y2550" s="53">
        <v>20146</v>
      </c>
      <c r="Z2550" s="76">
        <f t="shared" si="435"/>
        <v>140820</v>
      </c>
      <c r="AA2550" s="53">
        <v>70410</v>
      </c>
      <c r="AH2550" s="53">
        <f t="shared" si="436"/>
        <v>621961</v>
      </c>
      <c r="AO2550" s="53">
        <f t="shared" si="432"/>
        <v>263212.90000000002</v>
      </c>
      <c r="AP2550" s="53">
        <f t="shared" si="432"/>
        <v>1175597.3</v>
      </c>
      <c r="AQ2550" s="53">
        <f t="shared" si="432"/>
        <v>81146373.300000012</v>
      </c>
      <c r="AR2550" s="53">
        <f t="shared" si="432"/>
        <v>0</v>
      </c>
      <c r="AS2550" s="53">
        <f t="shared" si="432"/>
        <v>2599104.3000000003</v>
      </c>
      <c r="AT2550" s="53">
        <f t="shared" si="432"/>
        <v>7844556.0999999996</v>
      </c>
      <c r="AU2550" s="53">
        <f t="shared" si="432"/>
        <v>0</v>
      </c>
      <c r="AV2550" s="53">
        <f t="shared" si="432"/>
        <v>0</v>
      </c>
      <c r="AW2550" s="53">
        <f t="shared" si="432"/>
        <v>0</v>
      </c>
      <c r="AX2550" s="53">
        <f t="shared" si="433"/>
        <v>0</v>
      </c>
      <c r="AY2550" s="41" t="s">
        <v>557</v>
      </c>
    </row>
    <row r="2551" spans="1:51" x14ac:dyDescent="0.2">
      <c r="A2551" s="41" t="s">
        <v>278</v>
      </c>
      <c r="B2551" s="41">
        <v>2013</v>
      </c>
      <c r="C2551" s="41" t="s">
        <v>91</v>
      </c>
      <c r="D2551" s="41" t="s">
        <v>88</v>
      </c>
      <c r="E2551" s="41">
        <v>0</v>
      </c>
      <c r="F2551" s="41" t="s">
        <v>584</v>
      </c>
      <c r="G2551" s="53">
        <v>897277</v>
      </c>
      <c r="H2551" s="46">
        <v>0.33197039487248647</v>
      </c>
      <c r="I2551" s="46">
        <v>1.4589105705373033</v>
      </c>
      <c r="J2551" s="47">
        <v>133.77034126585212</v>
      </c>
      <c r="K2551" s="46"/>
      <c r="L2551" s="46">
        <v>3.5511769498159431</v>
      </c>
      <c r="M2551" s="46">
        <v>11.070236170101319</v>
      </c>
      <c r="R2551" s="76">
        <f t="shared" si="434"/>
        <v>11112</v>
      </c>
      <c r="S2551" s="53">
        <v>1852</v>
      </c>
      <c r="T2551" s="53">
        <v>906.90710000000001</v>
      </c>
      <c r="U2551" s="53">
        <v>74392.879400000005</v>
      </c>
      <c r="X2551" s="76">
        <f t="shared" si="435"/>
        <v>49730</v>
      </c>
      <c r="Y2551" s="53">
        <v>24865</v>
      </c>
      <c r="Z2551" s="76">
        <f t="shared" si="435"/>
        <v>176738</v>
      </c>
      <c r="AA2551" s="53">
        <v>88369</v>
      </c>
      <c r="AH2551" s="53">
        <f t="shared" si="436"/>
        <v>659697</v>
      </c>
      <c r="AO2551" s="53">
        <f t="shared" si="432"/>
        <v>297869.40000000002</v>
      </c>
      <c r="AP2551" s="53">
        <f t="shared" si="432"/>
        <v>1309046.8999999999</v>
      </c>
      <c r="AQ2551" s="53">
        <f t="shared" si="432"/>
        <v>120029050.5</v>
      </c>
      <c r="AR2551" s="53">
        <f t="shared" si="432"/>
        <v>0</v>
      </c>
      <c r="AS2551" s="53">
        <f t="shared" si="432"/>
        <v>3186389.4</v>
      </c>
      <c r="AT2551" s="53">
        <f t="shared" si="432"/>
        <v>9933068.3000000007</v>
      </c>
      <c r="AU2551" s="53">
        <f t="shared" si="432"/>
        <v>0</v>
      </c>
      <c r="AV2551" s="53">
        <f t="shared" si="432"/>
        <v>0</v>
      </c>
      <c r="AW2551" s="53">
        <f t="shared" si="432"/>
        <v>0</v>
      </c>
      <c r="AX2551" s="53">
        <f t="shared" si="433"/>
        <v>0</v>
      </c>
      <c r="AY2551" s="41" t="s">
        <v>557</v>
      </c>
    </row>
    <row r="2552" spans="1:51" x14ac:dyDescent="0.2">
      <c r="A2552" s="41" t="s">
        <v>278</v>
      </c>
      <c r="B2552" s="41">
        <v>2014</v>
      </c>
      <c r="C2552" s="41" t="s">
        <v>91</v>
      </c>
      <c r="D2552" s="41" t="s">
        <v>88</v>
      </c>
      <c r="E2552" s="41">
        <v>0</v>
      </c>
      <c r="F2552" s="41" t="s">
        <v>584</v>
      </c>
      <c r="G2552" s="53">
        <v>879288</v>
      </c>
      <c r="H2552" s="46">
        <v>0.42579507510622233</v>
      </c>
      <c r="I2552" s="46">
        <v>1.721130505590887</v>
      </c>
      <c r="J2552" s="47">
        <v>113.34320620774992</v>
      </c>
      <c r="K2552" s="46"/>
      <c r="L2552" s="46">
        <v>3.5407776519183702</v>
      </c>
      <c r="M2552" s="46">
        <v>10.724111667621985</v>
      </c>
      <c r="R2552" s="76">
        <f t="shared" si="434"/>
        <v>13830</v>
      </c>
      <c r="S2552" s="53">
        <v>2305</v>
      </c>
      <c r="T2552" s="53">
        <v>1106.2892000000002</v>
      </c>
      <c r="U2552" s="53">
        <v>76076.695600000006</v>
      </c>
      <c r="X2552" s="76">
        <f t="shared" si="435"/>
        <v>46818</v>
      </c>
      <c r="Y2552" s="53">
        <v>23409</v>
      </c>
      <c r="Z2552" s="76">
        <f t="shared" si="435"/>
        <v>167014</v>
      </c>
      <c r="AA2552" s="53">
        <v>83507</v>
      </c>
      <c r="AH2552" s="53">
        <f t="shared" si="436"/>
        <v>651626</v>
      </c>
      <c r="AO2552" s="53">
        <f t="shared" si="432"/>
        <v>374396.5</v>
      </c>
      <c r="AP2552" s="53">
        <f t="shared" si="432"/>
        <v>1513369.4</v>
      </c>
      <c r="AQ2552" s="53">
        <f t="shared" si="432"/>
        <v>99661321.100000009</v>
      </c>
      <c r="AR2552" s="53">
        <f t="shared" si="432"/>
        <v>0</v>
      </c>
      <c r="AS2552" s="53">
        <f t="shared" si="432"/>
        <v>3113363.3</v>
      </c>
      <c r="AT2552" s="53">
        <f t="shared" si="432"/>
        <v>9429582.6999999993</v>
      </c>
      <c r="AU2552" s="53">
        <f t="shared" si="432"/>
        <v>0</v>
      </c>
      <c r="AV2552" s="53">
        <f t="shared" si="432"/>
        <v>0</v>
      </c>
      <c r="AW2552" s="53">
        <f t="shared" si="432"/>
        <v>0</v>
      </c>
      <c r="AX2552" s="53">
        <f t="shared" si="433"/>
        <v>0</v>
      </c>
      <c r="AY2552" s="41" t="s">
        <v>557</v>
      </c>
    </row>
    <row r="2553" spans="1:51" x14ac:dyDescent="0.2">
      <c r="A2553" s="41" t="s">
        <v>278</v>
      </c>
      <c r="B2553" s="41">
        <v>2015</v>
      </c>
      <c r="C2553" s="41" t="s">
        <v>91</v>
      </c>
      <c r="D2553" s="41" t="s">
        <v>88</v>
      </c>
      <c r="E2553" s="41">
        <v>0</v>
      </c>
      <c r="F2553" s="41" t="s">
        <v>584</v>
      </c>
      <c r="G2553" s="53">
        <v>898573</v>
      </c>
      <c r="H2553" s="46">
        <v>0.49429840424762372</v>
      </c>
      <c r="I2553" s="46">
        <v>1.6839679135696266</v>
      </c>
      <c r="J2553" s="47">
        <v>93.355662478173727</v>
      </c>
      <c r="K2553" s="46"/>
      <c r="L2553" s="46">
        <v>3.0840195509991957</v>
      </c>
      <c r="M2553" s="46">
        <v>11.434287698383992</v>
      </c>
      <c r="R2553" s="76">
        <f t="shared" si="434"/>
        <v>17622</v>
      </c>
      <c r="S2553" s="53">
        <v>2937</v>
      </c>
      <c r="T2553" s="53">
        <v>1066.7922000000001</v>
      </c>
      <c r="U2553" s="53">
        <v>58086.123100000004</v>
      </c>
      <c r="X2553" s="76">
        <f t="shared" si="435"/>
        <v>42624</v>
      </c>
      <c r="Y2553" s="53">
        <v>21312</v>
      </c>
      <c r="Z2553" s="76">
        <f t="shared" si="435"/>
        <v>184208</v>
      </c>
      <c r="AA2553" s="53">
        <v>92104</v>
      </c>
      <c r="AH2553" s="53">
        <f t="shared" si="436"/>
        <v>654119</v>
      </c>
      <c r="AO2553" s="53">
        <f t="shared" si="432"/>
        <v>444163.2</v>
      </c>
      <c r="AP2553" s="53">
        <f t="shared" si="432"/>
        <v>1513168.1</v>
      </c>
      <c r="AQ2553" s="53">
        <f t="shared" si="432"/>
        <v>83886877.700000003</v>
      </c>
      <c r="AR2553" s="53">
        <f t="shared" si="432"/>
        <v>0</v>
      </c>
      <c r="AS2553" s="53">
        <f t="shared" si="432"/>
        <v>2771216.7</v>
      </c>
      <c r="AT2553" s="53">
        <f t="shared" si="432"/>
        <v>10274542.199999999</v>
      </c>
      <c r="AU2553" s="53">
        <f t="shared" si="432"/>
        <v>0</v>
      </c>
      <c r="AV2553" s="53">
        <f t="shared" si="432"/>
        <v>0</v>
      </c>
      <c r="AW2553" s="53">
        <f t="shared" si="432"/>
        <v>0</v>
      </c>
      <c r="AX2553" s="53">
        <f t="shared" si="433"/>
        <v>0</v>
      </c>
      <c r="AY2553" s="41" t="s">
        <v>557</v>
      </c>
    </row>
    <row r="2554" spans="1:51" x14ac:dyDescent="0.2">
      <c r="A2554" s="41" t="s">
        <v>278</v>
      </c>
      <c r="B2554" s="60" t="s">
        <v>559</v>
      </c>
      <c r="C2554" s="60" t="s">
        <v>91</v>
      </c>
      <c r="D2554" s="60" t="s">
        <v>88</v>
      </c>
      <c r="E2554" s="78">
        <f>AX2554/$G2554</f>
        <v>1.1882269219097357</v>
      </c>
      <c r="F2554" s="60" t="s">
        <v>584</v>
      </c>
      <c r="G2554" s="79">
        <f>SUM(G2465:G2553)</f>
        <v>36355359.267999999</v>
      </c>
      <c r="H2554" s="80">
        <f>AO2554/$G2554</f>
        <v>0.47892464835654769</v>
      </c>
      <c r="I2554" s="80">
        <f>AP2554/$G2554</f>
        <v>2.3008539734725062</v>
      </c>
      <c r="J2554" s="78">
        <f>AQ2554/$G2554</f>
        <v>143.45404655665899</v>
      </c>
      <c r="L2554" s="80">
        <f>AS2554/$G2554</f>
        <v>4.3969947031977625</v>
      </c>
      <c r="M2554" s="80">
        <f>AT2554/$G2554</f>
        <v>13.023966477492912</v>
      </c>
      <c r="R2554" s="79">
        <f>SUM(R2465:R2553)</f>
        <v>749802.98451840004</v>
      </c>
      <c r="S2554" s="79">
        <f>SUM(S2465:S2553)</f>
        <v>124967.16408639999</v>
      </c>
      <c r="T2554" s="79">
        <f>SUM(T2465:T2553)</f>
        <v>62863.117722125993</v>
      </c>
      <c r="U2554" s="79">
        <f>SUM(U2465:U2553)</f>
        <v>4238566.1997563001</v>
      </c>
      <c r="X2554" s="79">
        <f>SUM(X2465:X2553)</f>
        <v>2624883.9391413997</v>
      </c>
      <c r="Y2554" s="79">
        <f>SUM(Y2465:Y2553)</f>
        <v>1312441.9695706998</v>
      </c>
      <c r="Z2554" s="79">
        <f>SUM(Z2465:Z2553)</f>
        <v>8483551.1650816798</v>
      </c>
      <c r="AA2554" s="79">
        <f>SUM(AA2465:AA2553)</f>
        <v>4241775.5825408399</v>
      </c>
      <c r="AH2554" s="79">
        <f>SUM(AH2465:AH2553)</f>
        <v>24497121.179258522</v>
      </c>
      <c r="AO2554" s="79">
        <f t="shared" ref="AO2554:AX2554" si="437">SUM(AO2465:AO2553)</f>
        <v>17411477.653302856</v>
      </c>
      <c r="AP2554" s="79">
        <f t="shared" si="437"/>
        <v>83648372.828798309</v>
      </c>
      <c r="AQ2554" s="79">
        <f t="shared" si="437"/>
        <v>5215323401.0157356</v>
      </c>
      <c r="AR2554" s="79">
        <f t="shared" si="437"/>
        <v>0</v>
      </c>
      <c r="AS2554" s="79">
        <f t="shared" si="437"/>
        <v>159854322.13424769</v>
      </c>
      <c r="AT2554" s="79">
        <f t="shared" si="437"/>
        <v>473490980.38364327</v>
      </c>
      <c r="AU2554" s="79">
        <f t="shared" si="437"/>
        <v>0</v>
      </c>
      <c r="AV2554" s="79">
        <f t="shared" si="437"/>
        <v>0</v>
      </c>
      <c r="AW2554" s="79">
        <f t="shared" si="437"/>
        <v>0</v>
      </c>
      <c r="AX2554" s="79">
        <f t="shared" si="437"/>
        <v>43198416.637938216</v>
      </c>
      <c r="AY2554" s="41" t="s">
        <v>557</v>
      </c>
    </row>
    <row r="2555" spans="1:51" x14ac:dyDescent="0.2">
      <c r="A2555" s="41" t="s">
        <v>278</v>
      </c>
      <c r="B2555" s="43" t="s">
        <v>560</v>
      </c>
      <c r="G2555" s="53">
        <f>STDEV(G2465:G2553)</f>
        <v>272707.00855186896</v>
      </c>
      <c r="H2555" s="46">
        <f>STDEV(H2465:H2553)</f>
        <v>0.12834518754689575</v>
      </c>
      <c r="I2555" s="46">
        <f>STDEV(I2465:I2553)</f>
        <v>0.81120058066972034</v>
      </c>
      <c r="J2555" s="47">
        <f>STDEV(J2465:J2553)</f>
        <v>60.001979202649864</v>
      </c>
      <c r="L2555" s="46">
        <f>STDEV(L2465:L2553)</f>
        <v>1.2906975984033309</v>
      </c>
      <c r="M2555" s="46">
        <f>STDEV(M2465:M2553)</f>
        <v>4.5172942317863169</v>
      </c>
      <c r="R2555" s="53">
        <f>STDEV(R2465:R2553)</f>
        <v>7374.8638027629841</v>
      </c>
      <c r="S2555" s="53">
        <f>STDEV(S2465:S2553)</f>
        <v>1191.5224692501015</v>
      </c>
      <c r="T2555" s="53">
        <f>STDEV(T2465:T2553)</f>
        <v>468.37248000703369</v>
      </c>
      <c r="U2555" s="53">
        <f>STDEV(U2465:U2553)</f>
        <v>27175.318118310275</v>
      </c>
      <c r="X2555" s="53">
        <f>STDEV(X2465:X2553)</f>
        <v>19187.755767268678</v>
      </c>
      <c r="Y2555" s="53">
        <f>STDEV(Y2465:Y2553)</f>
        <v>9593.877883634339</v>
      </c>
      <c r="Z2555" s="53">
        <f>STDEV(Z2465:Z2553)</f>
        <v>57410.32148362069</v>
      </c>
      <c r="AA2555" s="53">
        <f>STDEV(AA2465:AA2553)</f>
        <v>28705.160741810345</v>
      </c>
      <c r="AH2555" s="53">
        <f>STDEV(AH2465:AH2553)</f>
        <v>200671.05406894427</v>
      </c>
      <c r="AY2555" s="41" t="s">
        <v>557</v>
      </c>
    </row>
    <row r="2556" spans="1:51" x14ac:dyDescent="0.2">
      <c r="A2556" s="41" t="s">
        <v>278</v>
      </c>
      <c r="B2556" s="81" t="s">
        <v>249</v>
      </c>
      <c r="G2556" s="41">
        <f>COUNT(G2465:G2553)</f>
        <v>89</v>
      </c>
      <c r="H2556" s="41">
        <f>COUNT(H2465:H2553)</f>
        <v>79</v>
      </c>
      <c r="I2556" s="41">
        <f>COUNT(I2465:I2553)</f>
        <v>88</v>
      </c>
      <c r="J2556" s="41">
        <f>COUNT(J2465:J2553)</f>
        <v>88</v>
      </c>
      <c r="L2556" s="41">
        <f>COUNT(L2465:L2553)</f>
        <v>89</v>
      </c>
      <c r="M2556" s="41">
        <f>COUNT(M2465:M2553)</f>
        <v>89</v>
      </c>
      <c r="R2556" s="41">
        <f>COUNT(R2465:R2553)</f>
        <v>89</v>
      </c>
      <c r="S2556" s="41">
        <f>COUNT(S2465:S2553)</f>
        <v>79</v>
      </c>
      <c r="T2556" s="41">
        <f>COUNT(T2465:T2553)</f>
        <v>89</v>
      </c>
      <c r="U2556" s="41">
        <f>COUNT(U2465:U2553)</f>
        <v>88</v>
      </c>
      <c r="X2556" s="41">
        <f>COUNT(X2465:X2553)</f>
        <v>89</v>
      </c>
      <c r="Y2556" s="41">
        <f>COUNT(Y2465:Y2553)</f>
        <v>89</v>
      </c>
      <c r="Z2556" s="41">
        <f>COUNT(Z2465:Z2553)</f>
        <v>89</v>
      </c>
      <c r="AA2556" s="41">
        <f>COUNT(AA2465:AA2553)</f>
        <v>89</v>
      </c>
      <c r="AH2556" s="41">
        <f>COUNT(AH2465:AH2553)</f>
        <v>89</v>
      </c>
      <c r="AY2556" s="41" t="s">
        <v>557</v>
      </c>
    </row>
    <row r="2557" spans="1:51" x14ac:dyDescent="0.2">
      <c r="A2557" s="82"/>
      <c r="B2557" s="82"/>
      <c r="C2557" s="82"/>
      <c r="D2557" s="82"/>
      <c r="E2557" s="82"/>
      <c r="F2557" s="82"/>
      <c r="G2557" s="82"/>
      <c r="H2557" s="82"/>
      <c r="I2557" s="82"/>
      <c r="J2557" s="82"/>
      <c r="K2557" s="82"/>
      <c r="L2557" s="82"/>
      <c r="M2557" s="82"/>
      <c r="N2557" s="82"/>
      <c r="O2557" s="82"/>
      <c r="P2557" s="82"/>
      <c r="Q2557" s="82"/>
      <c r="R2557" s="82"/>
      <c r="S2557" s="82"/>
      <c r="T2557" s="82"/>
      <c r="U2557" s="82"/>
      <c r="V2557" s="82"/>
      <c r="W2557" s="82"/>
      <c r="X2557" s="82"/>
      <c r="Y2557" s="82"/>
      <c r="Z2557" s="82"/>
      <c r="AA2557" s="82"/>
      <c r="AB2557" s="82"/>
      <c r="AC2557" s="82"/>
      <c r="AD2557" s="82"/>
      <c r="AE2557" s="82"/>
      <c r="AF2557" s="82"/>
      <c r="AG2557" s="82"/>
      <c r="AH2557" s="82"/>
      <c r="AI2557" s="82"/>
      <c r="AJ2557" s="82"/>
      <c r="AK2557" s="82"/>
      <c r="AL2557" s="82"/>
      <c r="AM2557" s="82"/>
      <c r="AN2557" s="82"/>
      <c r="AO2557" s="82"/>
      <c r="AP2557" s="82"/>
      <c r="AQ2557" s="82"/>
      <c r="AR2557" s="82"/>
      <c r="AS2557" s="82"/>
      <c r="AT2557" s="82"/>
      <c r="AU2557" s="82"/>
      <c r="AV2557" s="82"/>
      <c r="AW2557" s="82"/>
      <c r="AX2557" s="82"/>
      <c r="AY2557" s="41" t="s">
        <v>557</v>
      </c>
    </row>
    <row r="2558" spans="1:51" x14ac:dyDescent="0.2">
      <c r="A2558" s="41" t="s">
        <v>497</v>
      </c>
      <c r="B2558" s="41">
        <v>1976</v>
      </c>
      <c r="C2558" s="41" t="s">
        <v>87</v>
      </c>
      <c r="D2558" s="41" t="s">
        <v>175</v>
      </c>
      <c r="E2558" s="41">
        <v>100</v>
      </c>
      <c r="F2558" s="41" t="s">
        <v>495</v>
      </c>
      <c r="G2558" s="91">
        <v>2500000</v>
      </c>
      <c r="P2558" s="41">
        <v>0.04</v>
      </c>
      <c r="Q2558" s="41" t="s">
        <v>93</v>
      </c>
      <c r="AF2558" s="53">
        <v>700</v>
      </c>
      <c r="AG2558" s="41" t="s">
        <v>541</v>
      </c>
      <c r="AM2558" s="91">
        <v>6114982.0920048179</v>
      </c>
      <c r="AO2558" s="53">
        <f t="shared" ref="AO2558:AW2586" si="438">$G2558*H2558</f>
        <v>0</v>
      </c>
      <c r="AP2558" s="53">
        <f t="shared" si="438"/>
        <v>0</v>
      </c>
      <c r="AQ2558" s="53">
        <f t="shared" si="438"/>
        <v>0</v>
      </c>
      <c r="AR2558" s="53">
        <f t="shared" si="438"/>
        <v>0</v>
      </c>
      <c r="AS2558" s="53">
        <f t="shared" si="438"/>
        <v>0</v>
      </c>
      <c r="AT2558" s="53">
        <f t="shared" si="438"/>
        <v>0</v>
      </c>
      <c r="AU2558" s="53">
        <f t="shared" si="438"/>
        <v>0</v>
      </c>
      <c r="AV2558" s="53">
        <f t="shared" si="438"/>
        <v>0</v>
      </c>
      <c r="AW2558" s="53">
        <f t="shared" si="438"/>
        <v>100000</v>
      </c>
      <c r="AX2558" s="53">
        <f t="shared" ref="AX2558:AX2597" si="439">$G2558*E2558</f>
        <v>250000000</v>
      </c>
      <c r="AY2558" s="41" t="s">
        <v>557</v>
      </c>
    </row>
    <row r="2559" spans="1:51" x14ac:dyDescent="0.2">
      <c r="A2559" s="41" t="s">
        <v>497</v>
      </c>
      <c r="B2559" s="41">
        <v>1977</v>
      </c>
      <c r="C2559" s="41" t="s">
        <v>87</v>
      </c>
      <c r="D2559" s="41" t="s">
        <v>175</v>
      </c>
      <c r="E2559" s="41">
        <v>100</v>
      </c>
      <c r="F2559" s="41" t="s">
        <v>495</v>
      </c>
      <c r="G2559" s="53">
        <f>28251*365</f>
        <v>10311615</v>
      </c>
      <c r="P2559" s="42">
        <v>3.6938280419340809E-2</v>
      </c>
      <c r="Q2559" s="41" t="s">
        <v>93</v>
      </c>
      <c r="AF2559" s="53">
        <v>2765.2855500000001</v>
      </c>
      <c r="AG2559" s="41" t="s">
        <v>541</v>
      </c>
      <c r="AM2559" s="91">
        <v>25222136.425859306</v>
      </c>
      <c r="AO2559" s="53">
        <f t="shared" si="438"/>
        <v>0</v>
      </c>
      <c r="AP2559" s="53">
        <f t="shared" si="438"/>
        <v>0</v>
      </c>
      <c r="AQ2559" s="53">
        <f t="shared" si="438"/>
        <v>0</v>
      </c>
      <c r="AR2559" s="53">
        <f t="shared" si="438"/>
        <v>0</v>
      </c>
      <c r="AS2559" s="53">
        <f t="shared" si="438"/>
        <v>0</v>
      </c>
      <c r="AT2559" s="53">
        <f t="shared" si="438"/>
        <v>0</v>
      </c>
      <c r="AU2559" s="53">
        <f t="shared" si="438"/>
        <v>0</v>
      </c>
      <c r="AV2559" s="53">
        <f t="shared" si="438"/>
        <v>0</v>
      </c>
      <c r="AW2559" s="53">
        <f t="shared" si="438"/>
        <v>380893.32644628099</v>
      </c>
      <c r="AX2559" s="53">
        <f t="shared" si="439"/>
        <v>1031161500</v>
      </c>
      <c r="AY2559" s="41" t="s">
        <v>557</v>
      </c>
    </row>
    <row r="2560" spans="1:51" x14ac:dyDescent="0.2">
      <c r="A2560" s="41" t="s">
        <v>497</v>
      </c>
      <c r="B2560" s="41">
        <v>1978</v>
      </c>
      <c r="C2560" s="41" t="s">
        <v>87</v>
      </c>
      <c r="D2560" s="41" t="s">
        <v>175</v>
      </c>
      <c r="E2560" s="41">
        <v>100</v>
      </c>
      <c r="F2560" s="41" t="s">
        <v>495</v>
      </c>
      <c r="G2560" s="53">
        <f>30776*365</f>
        <v>11233240</v>
      </c>
      <c r="P2560" s="42">
        <v>3.407600089204494E-2</v>
      </c>
      <c r="Q2560" s="41" t="s">
        <v>93</v>
      </c>
      <c r="AF2560" s="53">
        <v>3173.2785000000003</v>
      </c>
      <c r="AG2560" s="41" t="s">
        <v>541</v>
      </c>
      <c r="AM2560" s="91">
        <v>27476424.57407688</v>
      </c>
      <c r="AO2560" s="53">
        <f t="shared" si="438"/>
        <v>0</v>
      </c>
      <c r="AP2560" s="53">
        <f t="shared" si="438"/>
        <v>0</v>
      </c>
      <c r="AQ2560" s="53">
        <f t="shared" si="438"/>
        <v>0</v>
      </c>
      <c r="AR2560" s="53">
        <f t="shared" si="438"/>
        <v>0</v>
      </c>
      <c r="AS2560" s="53">
        <f t="shared" si="438"/>
        <v>0</v>
      </c>
      <c r="AT2560" s="53">
        <f t="shared" si="438"/>
        <v>0</v>
      </c>
      <c r="AU2560" s="53">
        <f t="shared" si="438"/>
        <v>0</v>
      </c>
      <c r="AV2560" s="53">
        <f t="shared" si="438"/>
        <v>0</v>
      </c>
      <c r="AW2560" s="53">
        <f t="shared" si="438"/>
        <v>382783.8962605549</v>
      </c>
      <c r="AX2560" s="53">
        <f t="shared" si="439"/>
        <v>1123324000</v>
      </c>
      <c r="AY2560" s="41" t="s">
        <v>557</v>
      </c>
    </row>
    <row r="2561" spans="1:51" x14ac:dyDescent="0.2">
      <c r="A2561" s="41" t="s">
        <v>497</v>
      </c>
      <c r="B2561" s="41">
        <v>1979</v>
      </c>
      <c r="C2561" s="41" t="s">
        <v>87</v>
      </c>
      <c r="D2561" s="41" t="s">
        <v>175</v>
      </c>
      <c r="E2561" s="41">
        <v>100</v>
      </c>
      <c r="F2561" s="41" t="s">
        <v>495</v>
      </c>
      <c r="G2561" s="53">
        <f>41560*365</f>
        <v>15169400</v>
      </c>
      <c r="P2561" s="42">
        <v>3.5449831175863644E-2</v>
      </c>
      <c r="Q2561" s="41" t="s">
        <v>93</v>
      </c>
      <c r="AF2561" s="53">
        <v>4533.2550000000001</v>
      </c>
      <c r="AG2561" s="41" t="s">
        <v>541</v>
      </c>
      <c r="AM2561" s="91">
        <v>37104243.738583155</v>
      </c>
      <c r="AO2561" s="53">
        <f t="shared" si="438"/>
        <v>0</v>
      </c>
      <c r="AP2561" s="53">
        <f t="shared" si="438"/>
        <v>0</v>
      </c>
      <c r="AQ2561" s="53">
        <f t="shared" si="438"/>
        <v>0</v>
      </c>
      <c r="AR2561" s="53">
        <f t="shared" si="438"/>
        <v>0</v>
      </c>
      <c r="AS2561" s="53">
        <f t="shared" si="438"/>
        <v>0</v>
      </c>
      <c r="AT2561" s="53">
        <f t="shared" si="438"/>
        <v>0</v>
      </c>
      <c r="AU2561" s="53">
        <f t="shared" si="438"/>
        <v>0</v>
      </c>
      <c r="AV2561" s="53">
        <f t="shared" si="438"/>
        <v>0</v>
      </c>
      <c r="AW2561" s="53">
        <f t="shared" si="438"/>
        <v>537752.66903914593</v>
      </c>
      <c r="AX2561" s="53">
        <f t="shared" si="439"/>
        <v>1516940000</v>
      </c>
      <c r="AY2561" s="41" t="s">
        <v>557</v>
      </c>
    </row>
    <row r="2562" spans="1:51" x14ac:dyDescent="0.2">
      <c r="A2562" s="41" t="s">
        <v>497</v>
      </c>
      <c r="B2562" s="41">
        <v>1980</v>
      </c>
      <c r="C2562" s="41" t="s">
        <v>87</v>
      </c>
      <c r="D2562" s="41" t="s">
        <v>175</v>
      </c>
      <c r="E2562" s="41">
        <v>100</v>
      </c>
      <c r="F2562" s="41" t="s">
        <v>495</v>
      </c>
      <c r="G2562" s="53">
        <f>44856*365</f>
        <v>16372440</v>
      </c>
      <c r="P2562" s="42">
        <v>3.3542432457052393E-2</v>
      </c>
      <c r="Q2562" s="41" t="s">
        <v>93</v>
      </c>
      <c r="AF2562" s="53">
        <v>4805.2503000000006</v>
      </c>
      <c r="AG2562" s="41" t="s">
        <v>541</v>
      </c>
      <c r="AM2562" s="91">
        <v>40046870.960969344</v>
      </c>
      <c r="AO2562" s="53">
        <f t="shared" si="438"/>
        <v>0</v>
      </c>
      <c r="AP2562" s="53">
        <f t="shared" si="438"/>
        <v>0</v>
      </c>
      <c r="AQ2562" s="53">
        <f t="shared" si="438"/>
        <v>0</v>
      </c>
      <c r="AR2562" s="53">
        <f t="shared" si="438"/>
        <v>0</v>
      </c>
      <c r="AS2562" s="53">
        <f t="shared" si="438"/>
        <v>0</v>
      </c>
      <c r="AT2562" s="53">
        <f t="shared" si="438"/>
        <v>0</v>
      </c>
      <c r="AU2562" s="53">
        <f t="shared" si="438"/>
        <v>0</v>
      </c>
      <c r="AV2562" s="53">
        <f t="shared" si="438"/>
        <v>0</v>
      </c>
      <c r="AW2562" s="53">
        <f t="shared" si="438"/>
        <v>549171.46285714291</v>
      </c>
      <c r="AX2562" s="53">
        <f t="shared" si="439"/>
        <v>1637244000</v>
      </c>
      <c r="AY2562" s="41" t="s">
        <v>557</v>
      </c>
    </row>
    <row r="2563" spans="1:51" x14ac:dyDescent="0.2">
      <c r="A2563" s="41" t="s">
        <v>497</v>
      </c>
      <c r="B2563" s="41">
        <v>1981</v>
      </c>
      <c r="C2563" s="41" t="s">
        <v>87</v>
      </c>
      <c r="D2563" s="41" t="s">
        <v>175</v>
      </c>
      <c r="E2563" s="41">
        <v>100</v>
      </c>
      <c r="F2563" s="41" t="s">
        <v>495</v>
      </c>
      <c r="G2563" s="53">
        <f>40819*365</f>
        <v>14898935</v>
      </c>
      <c r="P2563" s="42">
        <v>3.5016207984255962E-2</v>
      </c>
      <c r="Q2563" s="41" t="s">
        <v>93</v>
      </c>
      <c r="AF2563" s="53">
        <v>4669.2526500000004</v>
      </c>
      <c r="AG2563" s="41" t="s">
        <v>541</v>
      </c>
      <c r="AM2563" s="91">
        <v>36442688.28597752</v>
      </c>
      <c r="AO2563" s="53">
        <f t="shared" si="438"/>
        <v>0</v>
      </c>
      <c r="AP2563" s="53">
        <f t="shared" si="438"/>
        <v>0</v>
      </c>
      <c r="AQ2563" s="53">
        <f t="shared" si="438"/>
        <v>0</v>
      </c>
      <c r="AR2563" s="53">
        <f t="shared" si="438"/>
        <v>0</v>
      </c>
      <c r="AS2563" s="53">
        <f t="shared" si="438"/>
        <v>0</v>
      </c>
      <c r="AT2563" s="53">
        <f t="shared" si="438"/>
        <v>0</v>
      </c>
      <c r="AU2563" s="53">
        <f t="shared" si="438"/>
        <v>0</v>
      </c>
      <c r="AV2563" s="53">
        <f t="shared" si="438"/>
        <v>0</v>
      </c>
      <c r="AW2563" s="53">
        <f t="shared" si="438"/>
        <v>521704.2067039106</v>
      </c>
      <c r="AX2563" s="53">
        <f t="shared" si="439"/>
        <v>1489893500</v>
      </c>
      <c r="AY2563" s="41" t="s">
        <v>557</v>
      </c>
    </row>
    <row r="2564" spans="1:51" x14ac:dyDescent="0.2">
      <c r="A2564" s="41" t="s">
        <v>497</v>
      </c>
      <c r="B2564" s="41">
        <v>1982</v>
      </c>
      <c r="C2564" s="41" t="s">
        <v>87</v>
      </c>
      <c r="D2564" s="41" t="s">
        <v>175</v>
      </c>
      <c r="E2564" s="41">
        <v>100</v>
      </c>
      <c r="F2564" s="41" t="s">
        <v>495</v>
      </c>
      <c r="G2564" s="53">
        <f>38996*365</f>
        <v>14233540</v>
      </c>
      <c r="P2564" s="42">
        <v>3.4354090030079762E-2</v>
      </c>
      <c r="Q2564" s="41" t="s">
        <v>93</v>
      </c>
      <c r="AF2564" s="53">
        <v>4351.9247999999998</v>
      </c>
      <c r="AG2564" s="41" t="s">
        <v>541</v>
      </c>
      <c r="AM2564" s="91">
        <v>34815136.882333703</v>
      </c>
      <c r="AO2564" s="53">
        <f t="shared" si="438"/>
        <v>0</v>
      </c>
      <c r="AP2564" s="53">
        <f t="shared" si="438"/>
        <v>0</v>
      </c>
      <c r="AQ2564" s="53">
        <f t="shared" si="438"/>
        <v>0</v>
      </c>
      <c r="AR2564" s="53">
        <f t="shared" si="438"/>
        <v>0</v>
      </c>
      <c r="AS2564" s="53">
        <f t="shared" si="438"/>
        <v>0</v>
      </c>
      <c r="AT2564" s="53">
        <f t="shared" si="438"/>
        <v>0</v>
      </c>
      <c r="AU2564" s="53">
        <f t="shared" si="438"/>
        <v>0</v>
      </c>
      <c r="AV2564" s="53">
        <f t="shared" si="438"/>
        <v>0</v>
      </c>
      <c r="AW2564" s="53">
        <f t="shared" si="438"/>
        <v>488980.31460674148</v>
      </c>
      <c r="AX2564" s="53">
        <f t="shared" si="439"/>
        <v>1423354000</v>
      </c>
      <c r="AY2564" s="41" t="s">
        <v>557</v>
      </c>
    </row>
    <row r="2565" spans="1:51" x14ac:dyDescent="0.2">
      <c r="A2565" s="41" t="s">
        <v>497</v>
      </c>
      <c r="B2565" s="41">
        <v>1983</v>
      </c>
      <c r="C2565" s="41" t="s">
        <v>87</v>
      </c>
      <c r="D2565" s="41" t="s">
        <v>175</v>
      </c>
      <c r="E2565" s="41">
        <v>100</v>
      </c>
      <c r="F2565" s="41" t="s">
        <v>495</v>
      </c>
      <c r="G2565" s="53">
        <f>37817*365</f>
        <v>13803205</v>
      </c>
      <c r="P2565" s="42">
        <v>3.5135072233566753E-2</v>
      </c>
      <c r="Q2565" s="41" t="s">
        <v>93</v>
      </c>
      <c r="AF2565" s="53">
        <v>4306.5922500000006</v>
      </c>
      <c r="AG2565" s="41" t="s">
        <v>541</v>
      </c>
      <c r="AM2565" s="91">
        <v>33762540.554908544</v>
      </c>
      <c r="AO2565" s="53">
        <f t="shared" si="438"/>
        <v>0</v>
      </c>
      <c r="AP2565" s="53">
        <f t="shared" si="438"/>
        <v>0</v>
      </c>
      <c r="AQ2565" s="53">
        <f t="shared" si="438"/>
        <v>0</v>
      </c>
      <c r="AR2565" s="53">
        <f t="shared" si="438"/>
        <v>0</v>
      </c>
      <c r="AS2565" s="53">
        <f t="shared" si="438"/>
        <v>0</v>
      </c>
      <c r="AT2565" s="53">
        <f t="shared" si="438"/>
        <v>0</v>
      </c>
      <c r="AU2565" s="53">
        <f t="shared" si="438"/>
        <v>0</v>
      </c>
      <c r="AV2565" s="53">
        <f t="shared" si="438"/>
        <v>0</v>
      </c>
      <c r="AW2565" s="53">
        <f t="shared" si="438"/>
        <v>484976.60472972976</v>
      </c>
      <c r="AX2565" s="53">
        <f t="shared" si="439"/>
        <v>1380320500</v>
      </c>
      <c r="AY2565" s="41" t="s">
        <v>557</v>
      </c>
    </row>
    <row r="2566" spans="1:51" x14ac:dyDescent="0.2">
      <c r="A2566" s="41" t="s">
        <v>497</v>
      </c>
      <c r="B2566" s="41">
        <v>1984</v>
      </c>
      <c r="C2566" s="41" t="s">
        <v>87</v>
      </c>
      <c r="D2566" s="41" t="s">
        <v>175</v>
      </c>
      <c r="E2566" s="41">
        <v>100</v>
      </c>
      <c r="F2566" s="41" t="s">
        <v>495</v>
      </c>
      <c r="G2566" s="53">
        <f>37942*365</f>
        <v>13848830</v>
      </c>
      <c r="P2566" s="42">
        <v>3.4728913519271494E-2</v>
      </c>
      <c r="Q2566" s="41" t="s">
        <v>93</v>
      </c>
      <c r="AF2566" s="53">
        <v>4261.2597000000005</v>
      </c>
      <c r="AG2566" s="41" t="s">
        <v>541</v>
      </c>
      <c r="AM2566" s="91">
        <v>33874138.978087634</v>
      </c>
      <c r="AO2566" s="53">
        <f t="shared" si="438"/>
        <v>0</v>
      </c>
      <c r="AP2566" s="53">
        <f t="shared" si="438"/>
        <v>0</v>
      </c>
      <c r="AQ2566" s="53">
        <f t="shared" si="438"/>
        <v>0</v>
      </c>
      <c r="AR2566" s="53">
        <f t="shared" si="438"/>
        <v>0</v>
      </c>
      <c r="AS2566" s="53">
        <f t="shared" si="438"/>
        <v>0</v>
      </c>
      <c r="AT2566" s="53">
        <f t="shared" si="438"/>
        <v>0</v>
      </c>
      <c r="AU2566" s="53">
        <f t="shared" si="438"/>
        <v>0</v>
      </c>
      <c r="AV2566" s="53">
        <f t="shared" si="438"/>
        <v>0</v>
      </c>
      <c r="AW2566" s="53">
        <f t="shared" si="438"/>
        <v>480954.81941309263</v>
      </c>
      <c r="AX2566" s="53">
        <f t="shared" si="439"/>
        <v>1384883000</v>
      </c>
      <c r="AY2566" s="41" t="s">
        <v>557</v>
      </c>
    </row>
    <row r="2567" spans="1:51" x14ac:dyDescent="0.2">
      <c r="A2567" s="41" t="s">
        <v>497</v>
      </c>
      <c r="B2567" s="41">
        <v>1985</v>
      </c>
      <c r="C2567" s="41" t="s">
        <v>87</v>
      </c>
      <c r="D2567" s="41" t="s">
        <v>175</v>
      </c>
      <c r="E2567" s="41">
        <v>100</v>
      </c>
      <c r="F2567" s="41" t="s">
        <v>495</v>
      </c>
      <c r="G2567" s="53">
        <f>33100*365</f>
        <v>12081500</v>
      </c>
      <c r="P2567" s="42">
        <v>3.5872954881066454E-2</v>
      </c>
      <c r="Q2567" s="41" t="s">
        <v>93</v>
      </c>
      <c r="AF2567" s="53">
        <v>3943.9318499999999</v>
      </c>
      <c r="AG2567" s="41" t="s">
        <v>541</v>
      </c>
      <c r="AM2567" s="92">
        <v>30418500</v>
      </c>
      <c r="AO2567" s="53">
        <f t="shared" si="438"/>
        <v>0</v>
      </c>
      <c r="AP2567" s="53">
        <f t="shared" si="438"/>
        <v>0</v>
      </c>
      <c r="AQ2567" s="53">
        <f t="shared" si="438"/>
        <v>0</v>
      </c>
      <c r="AR2567" s="53">
        <f t="shared" si="438"/>
        <v>0</v>
      </c>
      <c r="AS2567" s="53">
        <f t="shared" si="438"/>
        <v>0</v>
      </c>
      <c r="AT2567" s="53">
        <f t="shared" si="438"/>
        <v>0</v>
      </c>
      <c r="AU2567" s="53">
        <f t="shared" si="438"/>
        <v>0</v>
      </c>
      <c r="AV2567" s="53">
        <f t="shared" si="438"/>
        <v>0</v>
      </c>
      <c r="AW2567" s="53">
        <f t="shared" si="438"/>
        <v>433399.10439560434</v>
      </c>
      <c r="AX2567" s="53">
        <f t="shared" si="439"/>
        <v>1208150000</v>
      </c>
      <c r="AY2567" s="41" t="s">
        <v>557</v>
      </c>
    </row>
    <row r="2568" spans="1:51" x14ac:dyDescent="0.2">
      <c r="A2568" s="41" t="s">
        <v>497</v>
      </c>
      <c r="B2568" s="41">
        <v>1986</v>
      </c>
      <c r="C2568" s="41" t="s">
        <v>87</v>
      </c>
      <c r="D2568" s="41" t="s">
        <v>175</v>
      </c>
      <c r="E2568" s="41">
        <v>100</v>
      </c>
      <c r="F2568" s="41" t="s">
        <v>495</v>
      </c>
      <c r="G2568" s="92">
        <v>12700000</v>
      </c>
      <c r="P2568" s="42">
        <v>3.4830734849939766E-2</v>
      </c>
      <c r="Q2568" s="41" t="s">
        <v>93</v>
      </c>
      <c r="AF2568" s="53">
        <v>3990</v>
      </c>
      <c r="AG2568" s="41" t="s">
        <v>541</v>
      </c>
      <c r="AM2568" s="92">
        <v>29800000</v>
      </c>
      <c r="AO2568" s="53">
        <f t="shared" si="438"/>
        <v>0</v>
      </c>
      <c r="AP2568" s="53">
        <f t="shared" si="438"/>
        <v>0</v>
      </c>
      <c r="AQ2568" s="53">
        <f t="shared" si="438"/>
        <v>0</v>
      </c>
      <c r="AR2568" s="53">
        <f t="shared" si="438"/>
        <v>0</v>
      </c>
      <c r="AS2568" s="53">
        <f t="shared" si="438"/>
        <v>0</v>
      </c>
      <c r="AT2568" s="53">
        <f t="shared" si="438"/>
        <v>0</v>
      </c>
      <c r="AU2568" s="53">
        <f t="shared" si="438"/>
        <v>0</v>
      </c>
      <c r="AV2568" s="53">
        <f t="shared" si="438"/>
        <v>0</v>
      </c>
      <c r="AW2568" s="53">
        <f t="shared" si="438"/>
        <v>442350.33259423502</v>
      </c>
      <c r="AX2568" s="53">
        <f t="shared" si="439"/>
        <v>1270000000</v>
      </c>
      <c r="AY2568" s="41" t="s">
        <v>557</v>
      </c>
    </row>
    <row r="2569" spans="1:51" x14ac:dyDescent="0.2">
      <c r="A2569" s="41" t="s">
        <v>497</v>
      </c>
      <c r="B2569" s="41">
        <v>1987</v>
      </c>
      <c r="C2569" s="41" t="s">
        <v>87</v>
      </c>
      <c r="D2569" s="41" t="s">
        <v>175</v>
      </c>
      <c r="E2569" s="41">
        <v>100</v>
      </c>
      <c r="F2569" s="41" t="s">
        <v>495</v>
      </c>
      <c r="G2569" s="92">
        <v>13300000</v>
      </c>
      <c r="P2569" s="42">
        <v>3.5470031009727711E-2</v>
      </c>
      <c r="Q2569" s="41" t="s">
        <v>93</v>
      </c>
      <c r="AF2569" s="53">
        <v>4175</v>
      </c>
      <c r="AG2569" s="41" t="s">
        <v>541</v>
      </c>
      <c r="AM2569" s="92">
        <v>32700000</v>
      </c>
      <c r="AO2569" s="53">
        <f t="shared" si="438"/>
        <v>0</v>
      </c>
      <c r="AP2569" s="53">
        <f t="shared" si="438"/>
        <v>0</v>
      </c>
      <c r="AQ2569" s="53">
        <f t="shared" si="438"/>
        <v>0</v>
      </c>
      <c r="AR2569" s="53">
        <f t="shared" si="438"/>
        <v>0</v>
      </c>
      <c r="AS2569" s="53">
        <f t="shared" si="438"/>
        <v>0</v>
      </c>
      <c r="AT2569" s="53">
        <f t="shared" si="438"/>
        <v>0</v>
      </c>
      <c r="AU2569" s="53">
        <f t="shared" si="438"/>
        <v>0</v>
      </c>
      <c r="AV2569" s="53">
        <f t="shared" si="438"/>
        <v>0</v>
      </c>
      <c r="AW2569" s="53">
        <f t="shared" si="438"/>
        <v>471751.41242937854</v>
      </c>
      <c r="AX2569" s="53">
        <f t="shared" si="439"/>
        <v>1330000000</v>
      </c>
      <c r="AY2569" s="41" t="s">
        <v>557</v>
      </c>
    </row>
    <row r="2570" spans="1:51" x14ac:dyDescent="0.2">
      <c r="A2570" s="41" t="s">
        <v>497</v>
      </c>
      <c r="B2570" s="41">
        <v>1988</v>
      </c>
      <c r="C2570" s="41" t="s">
        <v>87</v>
      </c>
      <c r="D2570" s="41" t="s">
        <v>175</v>
      </c>
      <c r="E2570" s="41">
        <v>100</v>
      </c>
      <c r="F2570" s="41" t="s">
        <v>495</v>
      </c>
      <c r="G2570" s="92">
        <v>13400000</v>
      </c>
      <c r="P2570" s="42">
        <v>3.5536602700781808E-2</v>
      </c>
      <c r="Q2570" s="41" t="s">
        <v>93</v>
      </c>
      <c r="AF2570" s="53">
        <v>4100</v>
      </c>
      <c r="AG2570" s="41" t="s">
        <v>541</v>
      </c>
      <c r="AM2570" s="92">
        <v>33600000</v>
      </c>
      <c r="AO2570" s="53">
        <f t="shared" si="438"/>
        <v>0</v>
      </c>
      <c r="AP2570" s="53">
        <f t="shared" si="438"/>
        <v>0</v>
      </c>
      <c r="AQ2570" s="53">
        <f t="shared" si="438"/>
        <v>0</v>
      </c>
      <c r="AR2570" s="53">
        <f t="shared" si="438"/>
        <v>0</v>
      </c>
      <c r="AS2570" s="53">
        <f t="shared" si="438"/>
        <v>0</v>
      </c>
      <c r="AT2570" s="53">
        <f t="shared" si="438"/>
        <v>0</v>
      </c>
      <c r="AU2570" s="53">
        <f t="shared" si="438"/>
        <v>0</v>
      </c>
      <c r="AV2570" s="53">
        <f t="shared" si="438"/>
        <v>0</v>
      </c>
      <c r="AW2570" s="53">
        <f t="shared" si="438"/>
        <v>476190.47619047621</v>
      </c>
      <c r="AX2570" s="53">
        <f t="shared" si="439"/>
        <v>1340000000</v>
      </c>
      <c r="AY2570" s="41" t="s">
        <v>557</v>
      </c>
    </row>
    <row r="2571" spans="1:51" x14ac:dyDescent="0.2">
      <c r="A2571" s="41" t="s">
        <v>497</v>
      </c>
      <c r="B2571" s="41">
        <v>1989</v>
      </c>
      <c r="C2571" s="41" t="s">
        <v>87</v>
      </c>
      <c r="D2571" s="41" t="s">
        <v>175</v>
      </c>
      <c r="E2571" s="41">
        <v>100</v>
      </c>
      <c r="F2571" s="41" t="s">
        <v>495</v>
      </c>
      <c r="G2571" s="92">
        <v>11200000</v>
      </c>
      <c r="P2571" s="42">
        <v>3.805957867017775E-2</v>
      </c>
      <c r="Q2571" s="41" t="s">
        <v>93</v>
      </c>
      <c r="AF2571" s="53">
        <v>3700</v>
      </c>
      <c r="AG2571" s="41" t="s">
        <v>541</v>
      </c>
      <c r="AM2571" s="92">
        <v>26800000</v>
      </c>
      <c r="AO2571" s="53">
        <f t="shared" si="438"/>
        <v>0</v>
      </c>
      <c r="AP2571" s="53">
        <f t="shared" si="438"/>
        <v>0</v>
      </c>
      <c r="AQ2571" s="53">
        <f t="shared" si="438"/>
        <v>0</v>
      </c>
      <c r="AR2571" s="53">
        <f t="shared" si="438"/>
        <v>0</v>
      </c>
      <c r="AS2571" s="53">
        <f t="shared" si="438"/>
        <v>0</v>
      </c>
      <c r="AT2571" s="53">
        <f t="shared" si="438"/>
        <v>0</v>
      </c>
      <c r="AU2571" s="53">
        <f t="shared" si="438"/>
        <v>0</v>
      </c>
      <c r="AV2571" s="53">
        <f t="shared" si="438"/>
        <v>0</v>
      </c>
      <c r="AW2571" s="53">
        <f t="shared" si="438"/>
        <v>426267.28110599081</v>
      </c>
      <c r="AX2571" s="53">
        <f t="shared" si="439"/>
        <v>1120000000</v>
      </c>
      <c r="AY2571" s="41" t="s">
        <v>557</v>
      </c>
    </row>
    <row r="2572" spans="1:51" x14ac:dyDescent="0.2">
      <c r="A2572" s="41" t="s">
        <v>497</v>
      </c>
      <c r="B2572" s="41">
        <v>1990</v>
      </c>
      <c r="C2572" s="41" t="s">
        <v>87</v>
      </c>
      <c r="D2572" s="41" t="s">
        <v>175</v>
      </c>
      <c r="E2572" s="41">
        <v>100</v>
      </c>
      <c r="F2572" s="41" t="s">
        <v>495</v>
      </c>
      <c r="G2572" s="92">
        <v>11900000</v>
      </c>
      <c r="P2572" s="42">
        <v>3.5332314744079447E-2</v>
      </c>
      <c r="Q2572" s="41" t="s">
        <v>93</v>
      </c>
      <c r="AF2572" s="53">
        <v>3700</v>
      </c>
      <c r="AG2572" s="41" t="s">
        <v>541</v>
      </c>
      <c r="AM2572" s="92">
        <v>20100000</v>
      </c>
      <c r="AO2572" s="53">
        <f t="shared" si="438"/>
        <v>0</v>
      </c>
      <c r="AP2572" s="53">
        <f t="shared" si="438"/>
        <v>0</v>
      </c>
      <c r="AQ2572" s="53">
        <f t="shared" si="438"/>
        <v>0</v>
      </c>
      <c r="AR2572" s="53">
        <f t="shared" si="438"/>
        <v>0</v>
      </c>
      <c r="AS2572" s="53">
        <f t="shared" si="438"/>
        <v>0</v>
      </c>
      <c r="AT2572" s="53">
        <f t="shared" si="438"/>
        <v>0</v>
      </c>
      <c r="AU2572" s="53">
        <f t="shared" si="438"/>
        <v>0</v>
      </c>
      <c r="AV2572" s="53">
        <f t="shared" si="438"/>
        <v>0</v>
      </c>
      <c r="AW2572" s="53">
        <f t="shared" si="438"/>
        <v>420454.54545454541</v>
      </c>
      <c r="AX2572" s="53">
        <f t="shared" si="439"/>
        <v>1190000000</v>
      </c>
      <c r="AY2572" s="41" t="s">
        <v>557</v>
      </c>
    </row>
    <row r="2573" spans="1:51" x14ac:dyDescent="0.2">
      <c r="A2573" s="41" t="s">
        <v>497</v>
      </c>
      <c r="B2573" s="41">
        <v>1991</v>
      </c>
      <c r="C2573" s="41" t="s">
        <v>87</v>
      </c>
      <c r="D2573" s="41" t="s">
        <v>175</v>
      </c>
      <c r="E2573" s="41">
        <v>100</v>
      </c>
      <c r="F2573" s="41" t="s">
        <v>495</v>
      </c>
      <c r="G2573" s="92">
        <v>9500000</v>
      </c>
      <c r="P2573" s="42">
        <v>3.8098086124401909E-2</v>
      </c>
      <c r="Q2573" s="41" t="s">
        <v>93</v>
      </c>
      <c r="AF2573" s="53">
        <v>3185</v>
      </c>
      <c r="AG2573" s="41" t="s">
        <v>541</v>
      </c>
      <c r="AM2573" s="92">
        <v>9000000</v>
      </c>
      <c r="AO2573" s="53">
        <f t="shared" si="438"/>
        <v>0</v>
      </c>
      <c r="AP2573" s="53">
        <f t="shared" si="438"/>
        <v>0</v>
      </c>
      <c r="AQ2573" s="53">
        <f t="shared" si="438"/>
        <v>0</v>
      </c>
      <c r="AR2573" s="53">
        <f t="shared" si="438"/>
        <v>0</v>
      </c>
      <c r="AS2573" s="53">
        <f t="shared" si="438"/>
        <v>0</v>
      </c>
      <c r="AT2573" s="53">
        <f t="shared" si="438"/>
        <v>0</v>
      </c>
      <c r="AU2573" s="53">
        <f t="shared" si="438"/>
        <v>0</v>
      </c>
      <c r="AV2573" s="53">
        <f t="shared" si="438"/>
        <v>0</v>
      </c>
      <c r="AW2573" s="53">
        <f t="shared" si="438"/>
        <v>361931.81818181812</v>
      </c>
      <c r="AX2573" s="53">
        <f t="shared" si="439"/>
        <v>950000000</v>
      </c>
      <c r="AY2573" s="41" t="s">
        <v>557</v>
      </c>
    </row>
    <row r="2574" spans="1:51" x14ac:dyDescent="0.2">
      <c r="A2574" s="41" t="s">
        <v>497</v>
      </c>
      <c r="B2574" s="41">
        <v>1992</v>
      </c>
      <c r="C2574" s="41" t="s">
        <v>87</v>
      </c>
      <c r="D2574" s="41" t="s">
        <v>175</v>
      </c>
      <c r="E2574" s="41">
        <v>100</v>
      </c>
      <c r="F2574" s="41" t="s">
        <v>495</v>
      </c>
      <c r="G2574" s="92">
        <v>6500000</v>
      </c>
      <c r="P2574" s="42">
        <v>3.4720279720279718E-2</v>
      </c>
      <c r="Q2574" s="41" t="s">
        <v>93</v>
      </c>
      <c r="AF2574" s="53">
        <v>1986</v>
      </c>
      <c r="AG2574" s="41" t="s">
        <v>541</v>
      </c>
      <c r="AM2574" s="92">
        <v>3200000</v>
      </c>
      <c r="AO2574" s="53">
        <f t="shared" si="438"/>
        <v>0</v>
      </c>
      <c r="AP2574" s="53">
        <f t="shared" si="438"/>
        <v>0</v>
      </c>
      <c r="AQ2574" s="53">
        <f t="shared" si="438"/>
        <v>0</v>
      </c>
      <c r="AR2574" s="53">
        <f t="shared" si="438"/>
        <v>0</v>
      </c>
      <c r="AS2574" s="53">
        <f t="shared" si="438"/>
        <v>0</v>
      </c>
      <c r="AT2574" s="53">
        <f t="shared" si="438"/>
        <v>0</v>
      </c>
      <c r="AU2574" s="53">
        <f t="shared" si="438"/>
        <v>0</v>
      </c>
      <c r="AV2574" s="53">
        <f t="shared" si="438"/>
        <v>0</v>
      </c>
      <c r="AW2574" s="53">
        <f t="shared" si="438"/>
        <v>225681.81818181818</v>
      </c>
      <c r="AX2574" s="53">
        <f t="shared" si="439"/>
        <v>650000000</v>
      </c>
      <c r="AY2574" s="41" t="s">
        <v>557</v>
      </c>
    </row>
    <row r="2575" spans="1:51" x14ac:dyDescent="0.2">
      <c r="A2575" s="41" t="s">
        <v>497</v>
      </c>
      <c r="B2575" s="41">
        <v>1993</v>
      </c>
      <c r="C2575" s="41" t="s">
        <v>87</v>
      </c>
      <c r="D2575" s="41" t="s">
        <v>175</v>
      </c>
      <c r="E2575" s="41">
        <v>100</v>
      </c>
      <c r="F2575" s="41" t="s">
        <v>495</v>
      </c>
      <c r="G2575" s="92">
        <v>6100000</v>
      </c>
      <c r="P2575" s="42">
        <v>3.6624441132637853E-2</v>
      </c>
      <c r="Q2575" s="41" t="s">
        <v>93</v>
      </c>
      <c r="AF2575" s="53">
        <v>1966</v>
      </c>
      <c r="AG2575" s="41" t="s">
        <v>541</v>
      </c>
      <c r="AM2575" s="92">
        <v>4400000</v>
      </c>
      <c r="AO2575" s="53">
        <f t="shared" si="438"/>
        <v>0</v>
      </c>
      <c r="AP2575" s="53">
        <f t="shared" si="438"/>
        <v>0</v>
      </c>
      <c r="AQ2575" s="53">
        <f t="shared" si="438"/>
        <v>0</v>
      </c>
      <c r="AR2575" s="53">
        <f t="shared" si="438"/>
        <v>0</v>
      </c>
      <c r="AS2575" s="53">
        <f t="shared" si="438"/>
        <v>0</v>
      </c>
      <c r="AT2575" s="53">
        <f t="shared" si="438"/>
        <v>0</v>
      </c>
      <c r="AU2575" s="53">
        <f t="shared" si="438"/>
        <v>0</v>
      </c>
      <c r="AV2575" s="53">
        <f t="shared" si="438"/>
        <v>0</v>
      </c>
      <c r="AW2575" s="53">
        <f t="shared" si="438"/>
        <v>223409.09090909091</v>
      </c>
      <c r="AX2575" s="53">
        <f t="shared" si="439"/>
        <v>610000000</v>
      </c>
      <c r="AY2575" s="41" t="s">
        <v>557</v>
      </c>
    </row>
    <row r="2576" spans="1:51" x14ac:dyDescent="0.2">
      <c r="A2576" s="41" t="s">
        <v>497</v>
      </c>
      <c r="B2576" s="41">
        <v>1994</v>
      </c>
      <c r="C2576" s="41" t="s">
        <v>87</v>
      </c>
      <c r="D2576" s="41" t="s">
        <v>175</v>
      </c>
      <c r="E2576" s="41">
        <v>100</v>
      </c>
      <c r="F2576" s="41" t="s">
        <v>495</v>
      </c>
      <c r="G2576" s="92">
        <v>7500000</v>
      </c>
      <c r="P2576" s="42">
        <v>2.8727272727272726E-2</v>
      </c>
      <c r="Q2576" s="41" t="s">
        <v>93</v>
      </c>
      <c r="AF2576" s="53">
        <v>1896</v>
      </c>
      <c r="AG2576" s="41" t="s">
        <v>541</v>
      </c>
      <c r="AM2576" s="92">
        <v>8000000</v>
      </c>
      <c r="AO2576" s="53">
        <f t="shared" si="438"/>
        <v>0</v>
      </c>
      <c r="AP2576" s="53">
        <f t="shared" si="438"/>
        <v>0</v>
      </c>
      <c r="AQ2576" s="53">
        <f t="shared" si="438"/>
        <v>0</v>
      </c>
      <c r="AR2576" s="53">
        <f t="shared" si="438"/>
        <v>0</v>
      </c>
      <c r="AS2576" s="53">
        <f t="shared" si="438"/>
        <v>0</v>
      </c>
      <c r="AT2576" s="53">
        <f t="shared" si="438"/>
        <v>0</v>
      </c>
      <c r="AU2576" s="53">
        <f t="shared" si="438"/>
        <v>0</v>
      </c>
      <c r="AV2576" s="53">
        <f t="shared" si="438"/>
        <v>0</v>
      </c>
      <c r="AW2576" s="53">
        <f t="shared" si="438"/>
        <v>215454.54545454544</v>
      </c>
      <c r="AX2576" s="53">
        <f t="shared" si="439"/>
        <v>750000000</v>
      </c>
      <c r="AY2576" s="41" t="s">
        <v>557</v>
      </c>
    </row>
    <row r="2577" spans="1:51" x14ac:dyDescent="0.2">
      <c r="A2577" s="41" t="s">
        <v>497</v>
      </c>
      <c r="B2577" s="41">
        <v>1995</v>
      </c>
      <c r="C2577" s="41" t="s">
        <v>87</v>
      </c>
      <c r="D2577" s="41" t="s">
        <v>175</v>
      </c>
      <c r="E2577" s="41">
        <v>100</v>
      </c>
      <c r="F2577" s="41" t="s">
        <v>495</v>
      </c>
      <c r="G2577" s="53">
        <v>6981000</v>
      </c>
      <c r="P2577" s="42">
        <v>3.9923489808471734E-2</v>
      </c>
      <c r="Q2577" s="41" t="s">
        <v>93</v>
      </c>
      <c r="AF2577" s="53">
        <v>2369</v>
      </c>
      <c r="AG2577" s="41" t="s">
        <v>541</v>
      </c>
      <c r="AM2577" s="53">
        <v>9510000</v>
      </c>
      <c r="AO2577" s="53">
        <f t="shared" si="438"/>
        <v>0</v>
      </c>
      <c r="AP2577" s="53">
        <f t="shared" si="438"/>
        <v>0</v>
      </c>
      <c r="AQ2577" s="53">
        <f t="shared" si="438"/>
        <v>0</v>
      </c>
      <c r="AR2577" s="53">
        <f t="shared" si="438"/>
        <v>0</v>
      </c>
      <c r="AS2577" s="53">
        <f t="shared" si="438"/>
        <v>0</v>
      </c>
      <c r="AT2577" s="53">
        <f t="shared" si="438"/>
        <v>0</v>
      </c>
      <c r="AU2577" s="53">
        <f t="shared" si="438"/>
        <v>0</v>
      </c>
      <c r="AV2577" s="53">
        <f t="shared" si="438"/>
        <v>0</v>
      </c>
      <c r="AW2577" s="53">
        <f t="shared" si="438"/>
        <v>278705.88235294115</v>
      </c>
      <c r="AX2577" s="53">
        <f t="shared" si="439"/>
        <v>698100000</v>
      </c>
      <c r="AY2577" s="41" t="s">
        <v>557</v>
      </c>
    </row>
    <row r="2578" spans="1:51" x14ac:dyDescent="0.2">
      <c r="A2578" s="41" t="s">
        <v>497</v>
      </c>
      <c r="B2578" s="41">
        <v>1996</v>
      </c>
      <c r="C2578" s="41" t="s">
        <v>87</v>
      </c>
      <c r="D2578" s="41" t="s">
        <v>175</v>
      </c>
      <c r="E2578" s="41">
        <v>100</v>
      </c>
      <c r="F2578" s="41" t="s">
        <v>495</v>
      </c>
      <c r="G2578" s="53">
        <v>8330000</v>
      </c>
      <c r="P2578" s="42">
        <v>4.083044982698962E-2</v>
      </c>
      <c r="Q2578" s="41" t="s">
        <v>93</v>
      </c>
      <c r="AF2578" s="53">
        <v>2891</v>
      </c>
      <c r="AG2578" s="41" t="s">
        <v>541</v>
      </c>
      <c r="AM2578" s="53">
        <v>10656000</v>
      </c>
      <c r="AO2578" s="53">
        <f t="shared" si="438"/>
        <v>0</v>
      </c>
      <c r="AP2578" s="53">
        <f t="shared" si="438"/>
        <v>0</v>
      </c>
      <c r="AQ2578" s="53">
        <f t="shared" si="438"/>
        <v>0</v>
      </c>
      <c r="AR2578" s="53">
        <f t="shared" si="438"/>
        <v>0</v>
      </c>
      <c r="AS2578" s="53">
        <f t="shared" si="438"/>
        <v>0</v>
      </c>
      <c r="AT2578" s="53">
        <f t="shared" si="438"/>
        <v>0</v>
      </c>
      <c r="AU2578" s="53">
        <f t="shared" si="438"/>
        <v>0</v>
      </c>
      <c r="AV2578" s="53">
        <f t="shared" si="438"/>
        <v>0</v>
      </c>
      <c r="AW2578" s="53">
        <f t="shared" si="438"/>
        <v>340117.64705882355</v>
      </c>
      <c r="AX2578" s="53">
        <f t="shared" si="439"/>
        <v>833000000</v>
      </c>
      <c r="AY2578" s="41" t="s">
        <v>557</v>
      </c>
    </row>
    <row r="2579" spans="1:51" x14ac:dyDescent="0.2">
      <c r="A2579" s="41" t="s">
        <v>497</v>
      </c>
      <c r="B2579" s="41">
        <v>1997</v>
      </c>
      <c r="C2579" s="41" t="s">
        <v>87</v>
      </c>
      <c r="D2579" s="41" t="s">
        <v>175</v>
      </c>
      <c r="E2579" s="41">
        <v>100</v>
      </c>
      <c r="F2579" s="41" t="s">
        <v>495</v>
      </c>
      <c r="G2579" s="53">
        <v>10668000</v>
      </c>
      <c r="P2579" s="42">
        <v>3.7771013917377978E-2</v>
      </c>
      <c r="Q2579" s="41" t="s">
        <v>93</v>
      </c>
      <c r="AF2579" s="53">
        <v>3425</v>
      </c>
      <c r="AG2579" s="41" t="s">
        <v>541</v>
      </c>
      <c r="AM2579" s="53">
        <v>16137000</v>
      </c>
      <c r="AO2579" s="53">
        <f t="shared" si="438"/>
        <v>0</v>
      </c>
      <c r="AP2579" s="53">
        <f t="shared" si="438"/>
        <v>0</v>
      </c>
      <c r="AQ2579" s="53">
        <f t="shared" si="438"/>
        <v>0</v>
      </c>
      <c r="AR2579" s="53">
        <f t="shared" si="438"/>
        <v>0</v>
      </c>
      <c r="AS2579" s="53">
        <f t="shared" si="438"/>
        <v>0</v>
      </c>
      <c r="AT2579" s="53">
        <f t="shared" si="438"/>
        <v>0</v>
      </c>
      <c r="AU2579" s="53">
        <f t="shared" si="438"/>
        <v>0</v>
      </c>
      <c r="AV2579" s="53">
        <f t="shared" si="438"/>
        <v>0</v>
      </c>
      <c r="AW2579" s="53">
        <f t="shared" si="438"/>
        <v>402941.17647058825</v>
      </c>
      <c r="AX2579" s="53">
        <f t="shared" si="439"/>
        <v>1066800000</v>
      </c>
      <c r="AY2579" s="41" t="s">
        <v>557</v>
      </c>
    </row>
    <row r="2580" spans="1:51" x14ac:dyDescent="0.2">
      <c r="A2580" s="41" t="s">
        <v>497</v>
      </c>
      <c r="B2580" s="41">
        <v>1998</v>
      </c>
      <c r="C2580" s="41" t="s">
        <v>87</v>
      </c>
      <c r="D2580" s="41" t="s">
        <v>175</v>
      </c>
      <c r="E2580" s="41">
        <v>100</v>
      </c>
      <c r="F2580" s="41" t="s">
        <v>495</v>
      </c>
      <c r="G2580" s="53">
        <v>10958000</v>
      </c>
      <c r="P2580" s="42">
        <v>3.4999946319100736E-2</v>
      </c>
      <c r="Q2580" s="41" t="s">
        <v>93</v>
      </c>
      <c r="AF2580" s="53">
        <v>3260</v>
      </c>
      <c r="AG2580" s="41" t="s">
        <v>541</v>
      </c>
      <c r="AM2580" s="53">
        <v>14637000</v>
      </c>
      <c r="AO2580" s="53">
        <f t="shared" si="438"/>
        <v>0</v>
      </c>
      <c r="AP2580" s="53">
        <f t="shared" si="438"/>
        <v>0</v>
      </c>
      <c r="AQ2580" s="53">
        <f t="shared" si="438"/>
        <v>0</v>
      </c>
      <c r="AR2580" s="53">
        <f t="shared" si="438"/>
        <v>0</v>
      </c>
      <c r="AS2580" s="53">
        <f t="shared" si="438"/>
        <v>0</v>
      </c>
      <c r="AT2580" s="53">
        <f t="shared" si="438"/>
        <v>0</v>
      </c>
      <c r="AU2580" s="53">
        <f t="shared" si="438"/>
        <v>0</v>
      </c>
      <c r="AV2580" s="53">
        <f t="shared" si="438"/>
        <v>0</v>
      </c>
      <c r="AW2580" s="53">
        <f t="shared" si="438"/>
        <v>383529.41176470584</v>
      </c>
      <c r="AX2580" s="53">
        <f t="shared" si="439"/>
        <v>1095800000</v>
      </c>
      <c r="AY2580" s="41" t="s">
        <v>557</v>
      </c>
    </row>
    <row r="2581" spans="1:51" x14ac:dyDescent="0.2">
      <c r="A2581" s="41" t="s">
        <v>497</v>
      </c>
      <c r="B2581" s="41">
        <v>1999</v>
      </c>
      <c r="C2581" s="41" t="s">
        <v>87</v>
      </c>
      <c r="D2581" s="41" t="s">
        <v>175</v>
      </c>
      <c r="E2581" s="41">
        <v>100</v>
      </c>
      <c r="F2581" s="41" t="s">
        <v>495</v>
      </c>
      <c r="G2581" s="53">
        <v>10463000</v>
      </c>
      <c r="P2581" s="42">
        <v>3.5655053381383139E-2</v>
      </c>
      <c r="Q2581" s="41" t="s">
        <v>93</v>
      </c>
      <c r="AF2581" s="53">
        <v>3171</v>
      </c>
      <c r="AG2581" s="41" t="s">
        <v>541</v>
      </c>
      <c r="AM2581" s="53">
        <v>15607000</v>
      </c>
      <c r="AO2581" s="53">
        <f t="shared" si="438"/>
        <v>0</v>
      </c>
      <c r="AP2581" s="53">
        <f t="shared" si="438"/>
        <v>0</v>
      </c>
      <c r="AQ2581" s="53">
        <f t="shared" si="438"/>
        <v>0</v>
      </c>
      <c r="AR2581" s="53">
        <f t="shared" si="438"/>
        <v>0</v>
      </c>
      <c r="AS2581" s="53">
        <f t="shared" si="438"/>
        <v>0</v>
      </c>
      <c r="AT2581" s="53">
        <f t="shared" si="438"/>
        <v>0</v>
      </c>
      <c r="AU2581" s="53">
        <f t="shared" si="438"/>
        <v>0</v>
      </c>
      <c r="AV2581" s="53">
        <f t="shared" si="438"/>
        <v>0</v>
      </c>
      <c r="AW2581" s="53">
        <f t="shared" si="438"/>
        <v>373058.82352941181</v>
      </c>
      <c r="AX2581" s="53">
        <f t="shared" si="439"/>
        <v>1046300000</v>
      </c>
      <c r="AY2581" s="41" t="s">
        <v>557</v>
      </c>
    </row>
    <row r="2582" spans="1:51" x14ac:dyDescent="0.2">
      <c r="A2582" s="41" t="s">
        <v>497</v>
      </c>
      <c r="B2582" s="41">
        <v>2000</v>
      </c>
      <c r="C2582" s="41" t="s">
        <v>87</v>
      </c>
      <c r="D2582" s="41" t="s">
        <v>175</v>
      </c>
      <c r="E2582" s="41">
        <v>100</v>
      </c>
      <c r="F2582" s="41" t="s">
        <v>495</v>
      </c>
      <c r="G2582" s="53">
        <v>11039000</v>
      </c>
      <c r="P2582" s="42">
        <v>3.4114343264255609E-2</v>
      </c>
      <c r="Q2582" s="41" t="s">
        <v>93</v>
      </c>
      <c r="AF2582" s="53">
        <v>3201</v>
      </c>
      <c r="AG2582" s="41" t="s">
        <v>541</v>
      </c>
      <c r="AM2582" s="53">
        <v>13124000</v>
      </c>
      <c r="AO2582" s="53">
        <f t="shared" si="438"/>
        <v>0</v>
      </c>
      <c r="AP2582" s="53">
        <f t="shared" si="438"/>
        <v>0</v>
      </c>
      <c r="AQ2582" s="53">
        <f t="shared" si="438"/>
        <v>0</v>
      </c>
      <c r="AR2582" s="53">
        <f t="shared" si="438"/>
        <v>0</v>
      </c>
      <c r="AS2582" s="53">
        <f t="shared" si="438"/>
        <v>0</v>
      </c>
      <c r="AT2582" s="53">
        <f t="shared" si="438"/>
        <v>0</v>
      </c>
      <c r="AU2582" s="53">
        <f t="shared" si="438"/>
        <v>0</v>
      </c>
      <c r="AV2582" s="53">
        <f t="shared" si="438"/>
        <v>0</v>
      </c>
      <c r="AW2582" s="53">
        <f t="shared" si="438"/>
        <v>376588.23529411765</v>
      </c>
      <c r="AX2582" s="53">
        <f t="shared" si="439"/>
        <v>1103900000</v>
      </c>
      <c r="AY2582" s="41" t="s">
        <v>557</v>
      </c>
    </row>
    <row r="2583" spans="1:51" x14ac:dyDescent="0.2">
      <c r="A2583" s="41" t="s">
        <v>497</v>
      </c>
      <c r="B2583" s="41">
        <v>2001</v>
      </c>
      <c r="C2583" s="41" t="s">
        <v>87</v>
      </c>
      <c r="D2583" s="41" t="s">
        <v>175</v>
      </c>
      <c r="E2583" s="41">
        <v>100</v>
      </c>
      <c r="F2583" s="41" t="s">
        <v>495</v>
      </c>
      <c r="G2583" s="53">
        <v>9084000</v>
      </c>
      <c r="P2583" s="42">
        <v>3.4229543865102185E-2</v>
      </c>
      <c r="Q2583" s="41" t="s">
        <v>93</v>
      </c>
      <c r="AF2583" s="53">
        <v>2643</v>
      </c>
      <c r="AG2583" s="41" t="s">
        <v>541</v>
      </c>
      <c r="AM2583" s="53">
        <v>12033000</v>
      </c>
      <c r="AO2583" s="53">
        <f t="shared" si="438"/>
        <v>0</v>
      </c>
      <c r="AP2583" s="53">
        <f t="shared" si="438"/>
        <v>0</v>
      </c>
      <c r="AQ2583" s="53">
        <f t="shared" si="438"/>
        <v>0</v>
      </c>
      <c r="AR2583" s="53">
        <f t="shared" si="438"/>
        <v>0</v>
      </c>
      <c r="AS2583" s="53">
        <f t="shared" si="438"/>
        <v>0</v>
      </c>
      <c r="AT2583" s="53">
        <f t="shared" si="438"/>
        <v>0</v>
      </c>
      <c r="AU2583" s="53">
        <f t="shared" si="438"/>
        <v>0</v>
      </c>
      <c r="AV2583" s="53">
        <f t="shared" si="438"/>
        <v>0</v>
      </c>
      <c r="AW2583" s="53">
        <f t="shared" si="438"/>
        <v>310941.17647058825</v>
      </c>
      <c r="AX2583" s="53">
        <f t="shared" si="439"/>
        <v>908400000</v>
      </c>
      <c r="AY2583" s="41" t="s">
        <v>557</v>
      </c>
    </row>
    <row r="2584" spans="1:51" x14ac:dyDescent="0.2">
      <c r="A2584" s="41" t="s">
        <v>497</v>
      </c>
      <c r="B2584" s="41">
        <v>2002</v>
      </c>
      <c r="C2584" s="41" t="s">
        <v>87</v>
      </c>
      <c r="D2584" s="41" t="s">
        <v>175</v>
      </c>
      <c r="E2584" s="41">
        <v>100</v>
      </c>
      <c r="F2584" s="41" t="s">
        <v>495</v>
      </c>
      <c r="G2584" s="53">
        <v>8769000</v>
      </c>
      <c r="P2584" s="42">
        <v>3.6908092008613225E-2</v>
      </c>
      <c r="Q2584" s="41" t="s">
        <v>93</v>
      </c>
      <c r="AF2584" s="53">
        <v>2751</v>
      </c>
      <c r="AG2584" s="41" t="s">
        <v>541</v>
      </c>
      <c r="AM2584" s="53">
        <v>13015000</v>
      </c>
      <c r="AO2584" s="53">
        <f t="shared" si="438"/>
        <v>0</v>
      </c>
      <c r="AP2584" s="53">
        <f t="shared" si="438"/>
        <v>0</v>
      </c>
      <c r="AQ2584" s="53">
        <f t="shared" si="438"/>
        <v>0</v>
      </c>
      <c r="AR2584" s="53">
        <f t="shared" si="438"/>
        <v>0</v>
      </c>
      <c r="AS2584" s="53">
        <f t="shared" si="438"/>
        <v>0</v>
      </c>
      <c r="AT2584" s="53">
        <f t="shared" si="438"/>
        <v>0</v>
      </c>
      <c r="AU2584" s="53">
        <f t="shared" si="438"/>
        <v>0</v>
      </c>
      <c r="AV2584" s="53">
        <f t="shared" si="438"/>
        <v>0</v>
      </c>
      <c r="AW2584" s="53">
        <f t="shared" si="438"/>
        <v>323647.05882352934</v>
      </c>
      <c r="AX2584" s="53">
        <f t="shared" si="439"/>
        <v>876900000</v>
      </c>
      <c r="AY2584" s="41" t="s">
        <v>557</v>
      </c>
    </row>
    <row r="2585" spans="1:51" x14ac:dyDescent="0.2">
      <c r="A2585" s="41" t="s">
        <v>497</v>
      </c>
      <c r="B2585" s="41">
        <v>2003</v>
      </c>
      <c r="C2585" s="41" t="s">
        <v>87</v>
      </c>
      <c r="D2585" s="41" t="s">
        <v>175</v>
      </c>
      <c r="E2585" s="41">
        <v>100</v>
      </c>
      <c r="F2585" s="41" t="s">
        <v>495</v>
      </c>
      <c r="G2585" s="53">
        <v>8347000</v>
      </c>
      <c r="P2585" s="42">
        <v>3.3840971395147253E-2</v>
      </c>
      <c r="Q2585" s="41" t="s">
        <v>93</v>
      </c>
      <c r="AF2585" s="53">
        <v>2401</v>
      </c>
      <c r="AG2585" s="41" t="s">
        <v>541</v>
      </c>
      <c r="AM2585" s="53">
        <v>10434000</v>
      </c>
      <c r="AO2585" s="53">
        <f t="shared" si="438"/>
        <v>0</v>
      </c>
      <c r="AP2585" s="53">
        <f t="shared" si="438"/>
        <v>0</v>
      </c>
      <c r="AQ2585" s="53">
        <f t="shared" si="438"/>
        <v>0</v>
      </c>
      <c r="AR2585" s="53">
        <f t="shared" si="438"/>
        <v>0</v>
      </c>
      <c r="AS2585" s="53">
        <f t="shared" si="438"/>
        <v>0</v>
      </c>
      <c r="AT2585" s="53">
        <f t="shared" si="438"/>
        <v>0</v>
      </c>
      <c r="AU2585" s="53">
        <f t="shared" si="438"/>
        <v>0</v>
      </c>
      <c r="AV2585" s="53">
        <f t="shared" si="438"/>
        <v>0</v>
      </c>
      <c r="AW2585" s="53">
        <f t="shared" si="438"/>
        <v>282470.5882352941</v>
      </c>
      <c r="AX2585" s="53">
        <f t="shared" si="439"/>
        <v>834700000</v>
      </c>
      <c r="AY2585" s="41" t="s">
        <v>557</v>
      </c>
    </row>
    <row r="2586" spans="1:51" x14ac:dyDescent="0.2">
      <c r="A2586" s="41" t="s">
        <v>497</v>
      </c>
      <c r="B2586" s="41">
        <v>2004</v>
      </c>
      <c r="C2586" s="41" t="s">
        <v>87</v>
      </c>
      <c r="D2586" s="41" t="s">
        <v>175</v>
      </c>
      <c r="E2586" s="41">
        <v>100</v>
      </c>
      <c r="F2586" s="41" t="s">
        <v>495</v>
      </c>
      <c r="G2586" s="53">
        <v>10972000</v>
      </c>
      <c r="P2586" s="42">
        <v>3.8407926057772726E-2</v>
      </c>
      <c r="Q2586" s="41" t="s">
        <v>93</v>
      </c>
      <c r="AF2586" s="53">
        <v>3582</v>
      </c>
      <c r="AG2586" s="41" t="s">
        <v>541</v>
      </c>
      <c r="AM2586" s="53">
        <v>8139000</v>
      </c>
      <c r="AO2586" s="53">
        <f t="shared" si="438"/>
        <v>0</v>
      </c>
      <c r="AP2586" s="53">
        <f t="shared" si="438"/>
        <v>0</v>
      </c>
      <c r="AQ2586" s="53">
        <f t="shared" si="438"/>
        <v>0</v>
      </c>
      <c r="AR2586" s="53">
        <f t="shared" ref="AR2586:AW2598" si="440">$G2586*K2586</f>
        <v>0</v>
      </c>
      <c r="AS2586" s="53">
        <f t="shared" si="440"/>
        <v>0</v>
      </c>
      <c r="AT2586" s="53">
        <f t="shared" si="440"/>
        <v>0</v>
      </c>
      <c r="AU2586" s="53">
        <f t="shared" si="440"/>
        <v>0</v>
      </c>
      <c r="AV2586" s="53">
        <f t="shared" si="440"/>
        <v>0</v>
      </c>
      <c r="AW2586" s="53">
        <f t="shared" si="440"/>
        <v>421411.76470588235</v>
      </c>
      <c r="AX2586" s="53">
        <f t="shared" si="439"/>
        <v>1097200000</v>
      </c>
      <c r="AY2586" s="41" t="s">
        <v>557</v>
      </c>
    </row>
    <row r="2587" spans="1:51" x14ac:dyDescent="0.2">
      <c r="A2587" s="41" t="s">
        <v>497</v>
      </c>
      <c r="B2587" s="41">
        <v>2005</v>
      </c>
      <c r="C2587" s="41" t="s">
        <v>87</v>
      </c>
      <c r="D2587" s="41" t="s">
        <v>175</v>
      </c>
      <c r="E2587" s="41">
        <v>100</v>
      </c>
      <c r="F2587" s="41" t="s">
        <v>495</v>
      </c>
      <c r="G2587" s="53">
        <v>12027000</v>
      </c>
      <c r="P2587" s="42">
        <v>3.6300676419233194E-2</v>
      </c>
      <c r="Q2587" s="41" t="s">
        <v>93</v>
      </c>
      <c r="AF2587" s="53">
        <v>3711</v>
      </c>
      <c r="AG2587" s="41" t="s">
        <v>541</v>
      </c>
      <c r="AM2587" s="53">
        <v>7483000</v>
      </c>
      <c r="AO2587" s="53">
        <f t="shared" ref="AO2587:AQ2598" si="441">$G2587*H2587</f>
        <v>0</v>
      </c>
      <c r="AP2587" s="53">
        <f t="shared" si="441"/>
        <v>0</v>
      </c>
      <c r="AQ2587" s="53">
        <f t="shared" si="441"/>
        <v>0</v>
      </c>
      <c r="AR2587" s="53">
        <f t="shared" si="440"/>
        <v>0</v>
      </c>
      <c r="AS2587" s="53">
        <f t="shared" si="440"/>
        <v>0</v>
      </c>
      <c r="AT2587" s="53">
        <f t="shared" si="440"/>
        <v>0</v>
      </c>
      <c r="AU2587" s="53">
        <f t="shared" si="440"/>
        <v>0</v>
      </c>
      <c r="AV2587" s="53">
        <f t="shared" si="440"/>
        <v>0</v>
      </c>
      <c r="AW2587" s="53">
        <f t="shared" si="440"/>
        <v>436588.23529411765</v>
      </c>
      <c r="AX2587" s="53">
        <f t="shared" si="439"/>
        <v>1202700000</v>
      </c>
      <c r="AY2587" s="41" t="s">
        <v>557</v>
      </c>
    </row>
    <row r="2588" spans="1:51" x14ac:dyDescent="0.2">
      <c r="A2588" s="41" t="s">
        <v>497</v>
      </c>
      <c r="B2588" s="41">
        <v>2006</v>
      </c>
      <c r="C2588" s="41" t="s">
        <v>87</v>
      </c>
      <c r="D2588" s="41" t="s">
        <v>175</v>
      </c>
      <c r="E2588" s="41">
        <v>100</v>
      </c>
      <c r="F2588" s="41" t="s">
        <v>495</v>
      </c>
      <c r="G2588" s="53">
        <v>12008000</v>
      </c>
      <c r="P2588" s="42">
        <v>3.5437159540698357E-2</v>
      </c>
      <c r="Q2588" s="41" t="s">
        <v>93</v>
      </c>
      <c r="AF2588" s="53">
        <v>3617</v>
      </c>
      <c r="AG2588" s="41" t="s">
        <v>541</v>
      </c>
      <c r="AM2588" s="53">
        <v>16835000</v>
      </c>
      <c r="AO2588" s="53">
        <f t="shared" si="441"/>
        <v>0</v>
      </c>
      <c r="AP2588" s="53">
        <f t="shared" si="441"/>
        <v>0</v>
      </c>
      <c r="AQ2588" s="53">
        <f t="shared" si="441"/>
        <v>0</v>
      </c>
      <c r="AR2588" s="53">
        <f t="shared" si="440"/>
        <v>0</v>
      </c>
      <c r="AS2588" s="53">
        <f t="shared" si="440"/>
        <v>0</v>
      </c>
      <c r="AT2588" s="53">
        <f t="shared" si="440"/>
        <v>0</v>
      </c>
      <c r="AU2588" s="53">
        <f t="shared" si="440"/>
        <v>0</v>
      </c>
      <c r="AV2588" s="53">
        <f t="shared" si="440"/>
        <v>0</v>
      </c>
      <c r="AW2588" s="53">
        <f t="shared" si="440"/>
        <v>425529.41176470584</v>
      </c>
      <c r="AX2588" s="53">
        <f t="shared" si="439"/>
        <v>1200800000</v>
      </c>
      <c r="AY2588" s="41" t="s">
        <v>557</v>
      </c>
    </row>
    <row r="2589" spans="1:51" x14ac:dyDescent="0.2">
      <c r="A2589" s="41" t="s">
        <v>497</v>
      </c>
      <c r="B2589" s="41">
        <v>2007</v>
      </c>
      <c r="C2589" s="41" t="s">
        <v>87</v>
      </c>
      <c r="D2589" s="41" t="s">
        <v>175</v>
      </c>
      <c r="E2589" s="41">
        <v>100</v>
      </c>
      <c r="F2589" s="41" t="s">
        <v>495</v>
      </c>
      <c r="G2589" s="53">
        <v>12613000</v>
      </c>
      <c r="P2589" s="42">
        <v>2.8411396271820391E-2</v>
      </c>
      <c r="Q2589" s="41" t="s">
        <v>93</v>
      </c>
      <c r="AF2589" s="53">
        <v>3046</v>
      </c>
      <c r="AG2589" s="41" t="s">
        <v>541</v>
      </c>
      <c r="AM2589" s="53">
        <v>21396000</v>
      </c>
      <c r="AO2589" s="53">
        <f t="shared" si="441"/>
        <v>0</v>
      </c>
      <c r="AP2589" s="53">
        <f t="shared" si="441"/>
        <v>0</v>
      </c>
      <c r="AQ2589" s="53">
        <f t="shared" si="441"/>
        <v>0</v>
      </c>
      <c r="AR2589" s="53">
        <f t="shared" si="440"/>
        <v>0</v>
      </c>
      <c r="AS2589" s="53">
        <f t="shared" si="440"/>
        <v>0</v>
      </c>
      <c r="AT2589" s="53">
        <f t="shared" si="440"/>
        <v>0</v>
      </c>
      <c r="AU2589" s="53">
        <f t="shared" si="440"/>
        <v>0</v>
      </c>
      <c r="AV2589" s="53">
        <f t="shared" si="440"/>
        <v>0</v>
      </c>
      <c r="AW2589" s="53">
        <f t="shared" si="440"/>
        <v>358352.9411764706</v>
      </c>
      <c r="AX2589" s="53">
        <f t="shared" si="439"/>
        <v>1261300000</v>
      </c>
      <c r="AY2589" s="41" t="s">
        <v>557</v>
      </c>
    </row>
    <row r="2590" spans="1:51" x14ac:dyDescent="0.2">
      <c r="A2590" s="41" t="s">
        <v>497</v>
      </c>
      <c r="B2590" s="41">
        <v>2008</v>
      </c>
      <c r="C2590" s="41" t="s">
        <v>87</v>
      </c>
      <c r="D2590" s="41" t="s">
        <v>175</v>
      </c>
      <c r="E2590" s="41">
        <v>100</v>
      </c>
      <c r="F2590" s="41" t="s">
        <v>495</v>
      </c>
      <c r="G2590" s="53">
        <v>12858000</v>
      </c>
      <c r="P2590" s="42">
        <v>3.7587036681214721E-2</v>
      </c>
      <c r="Q2590" s="41" t="s">
        <v>93</v>
      </c>
      <c r="AF2590" s="53">
        <v>4108</v>
      </c>
      <c r="AG2590" s="41" t="s">
        <v>541</v>
      </c>
      <c r="AM2590" s="53">
        <v>33899000</v>
      </c>
      <c r="AO2590" s="53">
        <f t="shared" si="441"/>
        <v>0</v>
      </c>
      <c r="AP2590" s="53">
        <f t="shared" si="441"/>
        <v>0</v>
      </c>
      <c r="AQ2590" s="53">
        <f t="shared" si="441"/>
        <v>0</v>
      </c>
      <c r="AR2590" s="53">
        <f t="shared" si="440"/>
        <v>0</v>
      </c>
      <c r="AS2590" s="53">
        <f t="shared" si="440"/>
        <v>0</v>
      </c>
      <c r="AT2590" s="53">
        <f t="shared" si="440"/>
        <v>0</v>
      </c>
      <c r="AU2590" s="53">
        <f t="shared" si="440"/>
        <v>0</v>
      </c>
      <c r="AV2590" s="53">
        <f t="shared" si="440"/>
        <v>0</v>
      </c>
      <c r="AW2590" s="53">
        <f t="shared" si="440"/>
        <v>483294.11764705885</v>
      </c>
      <c r="AX2590" s="53">
        <f t="shared" si="439"/>
        <v>1285800000</v>
      </c>
      <c r="AY2590" s="41" t="s">
        <v>557</v>
      </c>
    </row>
    <row r="2591" spans="1:51" x14ac:dyDescent="0.2">
      <c r="A2591" s="41" t="s">
        <v>497</v>
      </c>
      <c r="B2591" s="41">
        <v>2009</v>
      </c>
      <c r="C2591" s="41" t="s">
        <v>87</v>
      </c>
      <c r="D2591" s="41" t="s">
        <v>175</v>
      </c>
      <c r="E2591" s="41">
        <v>100</v>
      </c>
      <c r="F2591" s="41" t="s">
        <v>495</v>
      </c>
      <c r="G2591" s="93">
        <v>12633000</v>
      </c>
      <c r="P2591" s="42">
        <v>3.8647612927859343E-2</v>
      </c>
      <c r="Q2591" s="41" t="s">
        <v>93</v>
      </c>
      <c r="AF2591" s="53">
        <v>4150</v>
      </c>
      <c r="AG2591" s="41" t="s">
        <v>541</v>
      </c>
      <c r="AM2591" s="53">
        <v>38755000</v>
      </c>
      <c r="AO2591" s="53">
        <f t="shared" si="441"/>
        <v>0</v>
      </c>
      <c r="AP2591" s="53">
        <f t="shared" si="441"/>
        <v>0</v>
      </c>
      <c r="AQ2591" s="53">
        <f t="shared" si="441"/>
        <v>0</v>
      </c>
      <c r="AR2591" s="53">
        <f t="shared" si="440"/>
        <v>0</v>
      </c>
      <c r="AS2591" s="53">
        <f t="shared" si="440"/>
        <v>0</v>
      </c>
      <c r="AT2591" s="53">
        <f t="shared" si="440"/>
        <v>0</v>
      </c>
      <c r="AU2591" s="53">
        <f t="shared" si="440"/>
        <v>0</v>
      </c>
      <c r="AV2591" s="53">
        <f t="shared" si="440"/>
        <v>0</v>
      </c>
      <c r="AW2591" s="53">
        <f t="shared" si="440"/>
        <v>488235.29411764705</v>
      </c>
      <c r="AX2591" s="53">
        <f t="shared" si="439"/>
        <v>1263300000</v>
      </c>
      <c r="AY2591" s="41" t="s">
        <v>557</v>
      </c>
    </row>
    <row r="2592" spans="1:51" x14ac:dyDescent="0.2">
      <c r="A2592" s="41" t="s">
        <v>497</v>
      </c>
      <c r="B2592" s="41">
        <v>2010</v>
      </c>
      <c r="C2592" s="41" t="s">
        <v>87</v>
      </c>
      <c r="D2592" s="41" t="s">
        <v>175</v>
      </c>
      <c r="E2592" s="41">
        <v>100</v>
      </c>
      <c r="F2592" s="41" t="s">
        <v>495</v>
      </c>
      <c r="G2592" s="93">
        <v>11598000</v>
      </c>
      <c r="P2592" s="42">
        <v>3.6801476928070759E-2</v>
      </c>
      <c r="Q2592" s="41" t="s">
        <v>93</v>
      </c>
      <c r="AF2592" s="53">
        <v>3628</v>
      </c>
      <c r="AG2592" s="41" t="s">
        <v>541</v>
      </c>
      <c r="AM2592" s="53">
        <v>41955000</v>
      </c>
      <c r="AO2592" s="53">
        <f t="shared" si="441"/>
        <v>0</v>
      </c>
      <c r="AP2592" s="53">
        <f t="shared" si="441"/>
        <v>0</v>
      </c>
      <c r="AQ2592" s="53">
        <f t="shared" si="441"/>
        <v>0</v>
      </c>
      <c r="AR2592" s="53">
        <f t="shared" si="440"/>
        <v>0</v>
      </c>
      <c r="AS2592" s="53">
        <f t="shared" si="440"/>
        <v>0</v>
      </c>
      <c r="AT2592" s="53">
        <f t="shared" si="440"/>
        <v>0</v>
      </c>
      <c r="AU2592" s="53">
        <f t="shared" si="440"/>
        <v>0</v>
      </c>
      <c r="AV2592" s="53">
        <f t="shared" si="440"/>
        <v>0</v>
      </c>
      <c r="AW2592" s="53">
        <f t="shared" si="440"/>
        <v>426823.52941176464</v>
      </c>
      <c r="AX2592" s="53">
        <f t="shared" si="439"/>
        <v>1159800000</v>
      </c>
      <c r="AY2592" s="41" t="s">
        <v>557</v>
      </c>
    </row>
    <row r="2593" spans="1:51" x14ac:dyDescent="0.2">
      <c r="A2593" s="41" t="s">
        <v>497</v>
      </c>
      <c r="B2593" s="41">
        <v>2011</v>
      </c>
      <c r="C2593" s="41" t="s">
        <v>87</v>
      </c>
      <c r="D2593" s="41" t="s">
        <v>175</v>
      </c>
      <c r="E2593" s="41">
        <v>100</v>
      </c>
      <c r="F2593" s="41" t="s">
        <v>495</v>
      </c>
      <c r="G2593" s="93">
        <v>10729000</v>
      </c>
      <c r="P2593" s="42">
        <v>2.3553535497524578E-2</v>
      </c>
      <c r="Q2593" s="41" t="s">
        <v>93</v>
      </c>
      <c r="AF2593" s="53">
        <v>2148</v>
      </c>
      <c r="AG2593" s="41" t="s">
        <v>541</v>
      </c>
      <c r="AM2593" s="53">
        <v>39913000</v>
      </c>
      <c r="AO2593" s="53">
        <f t="shared" si="441"/>
        <v>0</v>
      </c>
      <c r="AP2593" s="53">
        <f t="shared" si="441"/>
        <v>0</v>
      </c>
      <c r="AQ2593" s="53">
        <f t="shared" si="441"/>
        <v>0</v>
      </c>
      <c r="AR2593" s="53">
        <f t="shared" si="440"/>
        <v>0</v>
      </c>
      <c r="AS2593" s="53">
        <f t="shared" si="440"/>
        <v>0</v>
      </c>
      <c r="AT2593" s="53">
        <f t="shared" si="440"/>
        <v>0</v>
      </c>
      <c r="AU2593" s="53">
        <f t="shared" si="440"/>
        <v>0</v>
      </c>
      <c r="AV2593" s="53">
        <f t="shared" si="440"/>
        <v>0</v>
      </c>
      <c r="AW2593" s="53">
        <f t="shared" si="440"/>
        <v>252705.8823529412</v>
      </c>
      <c r="AX2593" s="53">
        <f t="shared" si="439"/>
        <v>1072900000</v>
      </c>
      <c r="AY2593" s="41" t="s">
        <v>557</v>
      </c>
    </row>
    <row r="2594" spans="1:51" x14ac:dyDescent="0.2">
      <c r="A2594" s="41" t="s">
        <v>497</v>
      </c>
      <c r="B2594" s="41">
        <v>2012</v>
      </c>
      <c r="C2594" s="41" t="s">
        <v>87</v>
      </c>
      <c r="D2594" s="41" t="s">
        <v>175</v>
      </c>
      <c r="E2594" s="41">
        <v>100</v>
      </c>
      <c r="F2594" s="41" t="s">
        <v>495</v>
      </c>
      <c r="G2594" s="93">
        <v>12127000</v>
      </c>
      <c r="P2594" s="42">
        <v>2.6183673766364796E-2</v>
      </c>
      <c r="Q2594" s="41" t="s">
        <v>93</v>
      </c>
      <c r="AF2594" s="53">
        <v>2699</v>
      </c>
      <c r="AG2594" s="41" t="s">
        <v>541</v>
      </c>
      <c r="AM2594" s="53">
        <v>31737000</v>
      </c>
      <c r="AO2594" s="53">
        <f t="shared" si="441"/>
        <v>0</v>
      </c>
      <c r="AP2594" s="53">
        <f t="shared" si="441"/>
        <v>0</v>
      </c>
      <c r="AQ2594" s="53">
        <f t="shared" si="441"/>
        <v>0</v>
      </c>
      <c r="AR2594" s="53">
        <f t="shared" si="440"/>
        <v>0</v>
      </c>
      <c r="AS2594" s="53">
        <f t="shared" si="440"/>
        <v>0</v>
      </c>
      <c r="AT2594" s="53">
        <f t="shared" si="440"/>
        <v>0</v>
      </c>
      <c r="AU2594" s="53">
        <f t="shared" si="440"/>
        <v>0</v>
      </c>
      <c r="AV2594" s="53">
        <f t="shared" si="440"/>
        <v>0</v>
      </c>
      <c r="AW2594" s="53">
        <f t="shared" si="440"/>
        <v>317529.4117647059</v>
      </c>
      <c r="AX2594" s="53">
        <f t="shared" si="439"/>
        <v>1212700000</v>
      </c>
      <c r="AY2594" s="41" t="s">
        <v>557</v>
      </c>
    </row>
    <row r="2595" spans="1:51" x14ac:dyDescent="0.2">
      <c r="A2595" s="41" t="s">
        <v>497</v>
      </c>
      <c r="B2595" s="41">
        <v>2013</v>
      </c>
      <c r="C2595" s="41" t="s">
        <v>87</v>
      </c>
      <c r="D2595" s="41" t="s">
        <v>175</v>
      </c>
      <c r="E2595" s="41">
        <v>100</v>
      </c>
      <c r="F2595" s="41" t="s">
        <v>495</v>
      </c>
      <c r="G2595" s="53">
        <v>10076000</v>
      </c>
      <c r="P2595" s="42">
        <v>2.8127408168507576E-2</v>
      </c>
      <c r="Q2595" s="41" t="s">
        <v>93</v>
      </c>
      <c r="AF2595" s="53">
        <v>2409</v>
      </c>
      <c r="AG2595" s="41" t="s">
        <v>541</v>
      </c>
      <c r="AM2595" s="53">
        <v>24448000</v>
      </c>
      <c r="AO2595" s="53">
        <f t="shared" si="441"/>
        <v>0</v>
      </c>
      <c r="AP2595" s="53">
        <f t="shared" si="441"/>
        <v>0</v>
      </c>
      <c r="AQ2595" s="53">
        <f t="shared" si="441"/>
        <v>0</v>
      </c>
      <c r="AR2595" s="53">
        <f t="shared" si="440"/>
        <v>0</v>
      </c>
      <c r="AS2595" s="53">
        <f t="shared" si="440"/>
        <v>0</v>
      </c>
      <c r="AT2595" s="53">
        <f t="shared" si="440"/>
        <v>0</v>
      </c>
      <c r="AU2595" s="53">
        <f t="shared" si="440"/>
        <v>0</v>
      </c>
      <c r="AV2595" s="53">
        <f t="shared" si="440"/>
        <v>0</v>
      </c>
      <c r="AW2595" s="53">
        <f t="shared" si="440"/>
        <v>283411.76470588235</v>
      </c>
      <c r="AX2595" s="53">
        <f t="shared" si="439"/>
        <v>1007600000</v>
      </c>
      <c r="AY2595" s="41" t="s">
        <v>557</v>
      </c>
    </row>
    <row r="2596" spans="1:51" x14ac:dyDescent="0.2">
      <c r="A2596" s="41" t="s">
        <v>497</v>
      </c>
      <c r="B2596" s="41">
        <v>2014</v>
      </c>
      <c r="C2596" s="41" t="s">
        <v>87</v>
      </c>
      <c r="D2596" s="41" t="s">
        <v>175</v>
      </c>
      <c r="E2596" s="41">
        <v>100</v>
      </c>
      <c r="F2596" s="41" t="s">
        <v>495</v>
      </c>
      <c r="G2596" s="53">
        <v>7040000</v>
      </c>
      <c r="P2596" s="42">
        <v>2.5785427807486633E-2</v>
      </c>
      <c r="Q2596" s="41" t="s">
        <v>93</v>
      </c>
      <c r="AF2596" s="53">
        <v>1543</v>
      </c>
      <c r="AG2596" s="41" t="s">
        <v>541</v>
      </c>
      <c r="AM2596" s="53">
        <v>16225000</v>
      </c>
      <c r="AO2596" s="53">
        <f t="shared" si="441"/>
        <v>0</v>
      </c>
      <c r="AP2596" s="53">
        <f t="shared" si="441"/>
        <v>0</v>
      </c>
      <c r="AQ2596" s="53">
        <f t="shared" si="441"/>
        <v>0</v>
      </c>
      <c r="AR2596" s="53">
        <f t="shared" si="440"/>
        <v>0</v>
      </c>
      <c r="AS2596" s="53">
        <f t="shared" si="440"/>
        <v>0</v>
      </c>
      <c r="AT2596" s="53">
        <f t="shared" si="440"/>
        <v>0</v>
      </c>
      <c r="AU2596" s="53">
        <f t="shared" si="440"/>
        <v>0</v>
      </c>
      <c r="AV2596" s="53">
        <f t="shared" si="440"/>
        <v>0</v>
      </c>
      <c r="AW2596" s="53">
        <f t="shared" si="440"/>
        <v>181529.4117647059</v>
      </c>
      <c r="AX2596" s="53">
        <f t="shared" si="439"/>
        <v>704000000</v>
      </c>
      <c r="AY2596" s="41" t="s">
        <v>557</v>
      </c>
    </row>
    <row r="2597" spans="1:51" x14ac:dyDescent="0.2">
      <c r="A2597" s="41" t="s">
        <v>497</v>
      </c>
      <c r="B2597" s="41">
        <v>2015</v>
      </c>
      <c r="C2597" s="41" t="s">
        <v>87</v>
      </c>
      <c r="D2597" s="41" t="s">
        <v>175</v>
      </c>
      <c r="E2597" s="41">
        <v>100</v>
      </c>
      <c r="F2597" s="41" t="s">
        <v>495</v>
      </c>
      <c r="G2597" s="53">
        <v>6876000</v>
      </c>
      <c r="P2597" s="42">
        <v>2.1301714403038702E-2</v>
      </c>
      <c r="Q2597" s="41" t="s">
        <v>93</v>
      </c>
      <c r="AF2597" s="53">
        <v>1245</v>
      </c>
      <c r="AG2597" s="41" t="s">
        <v>541</v>
      </c>
      <c r="AM2597" s="53">
        <v>12471000</v>
      </c>
      <c r="AO2597" s="53">
        <f t="shared" si="441"/>
        <v>0</v>
      </c>
      <c r="AP2597" s="53">
        <f t="shared" si="441"/>
        <v>0</v>
      </c>
      <c r="AQ2597" s="53">
        <f t="shared" si="441"/>
        <v>0</v>
      </c>
      <c r="AR2597" s="53">
        <f t="shared" si="440"/>
        <v>0</v>
      </c>
      <c r="AS2597" s="53">
        <f t="shared" si="440"/>
        <v>0</v>
      </c>
      <c r="AT2597" s="53">
        <f t="shared" si="440"/>
        <v>0</v>
      </c>
      <c r="AU2597" s="53">
        <f t="shared" si="440"/>
        <v>0</v>
      </c>
      <c r="AV2597" s="53">
        <f t="shared" si="440"/>
        <v>0</v>
      </c>
      <c r="AW2597" s="53">
        <f t="shared" si="440"/>
        <v>146470.58823529413</v>
      </c>
      <c r="AX2597" s="53">
        <f t="shared" si="439"/>
        <v>687600000</v>
      </c>
      <c r="AY2597" s="41" t="s">
        <v>557</v>
      </c>
    </row>
    <row r="2598" spans="1:51" x14ac:dyDescent="0.2">
      <c r="A2598" s="41" t="s">
        <v>497</v>
      </c>
      <c r="B2598" s="41">
        <v>2016</v>
      </c>
      <c r="C2598" s="41" t="s">
        <v>87</v>
      </c>
      <c r="D2598" s="41" t="s">
        <v>175</v>
      </c>
      <c r="E2598" s="41">
        <v>100</v>
      </c>
      <c r="F2598" s="41" t="s">
        <v>495</v>
      </c>
      <c r="G2598" s="53">
        <v>9194000</v>
      </c>
      <c r="P2598" s="42">
        <v>2.3672727738038874E-2</v>
      </c>
      <c r="Q2598" s="41" t="s">
        <v>93</v>
      </c>
      <c r="AF2598" s="53">
        <v>1850</v>
      </c>
      <c r="AG2598" s="41" t="s">
        <v>541</v>
      </c>
      <c r="AM2598" s="53">
        <v>16467000</v>
      </c>
      <c r="AO2598" s="53">
        <f t="shared" si="441"/>
        <v>0</v>
      </c>
      <c r="AP2598" s="53">
        <f t="shared" si="441"/>
        <v>0</v>
      </c>
      <c r="AQ2598" s="53">
        <f t="shared" si="441"/>
        <v>0</v>
      </c>
      <c r="AR2598" s="53">
        <f t="shared" si="440"/>
        <v>0</v>
      </c>
      <c r="AS2598" s="53">
        <f t="shared" si="440"/>
        <v>0</v>
      </c>
      <c r="AT2598" s="53">
        <f t="shared" si="440"/>
        <v>0</v>
      </c>
      <c r="AU2598" s="53">
        <f t="shared" si="440"/>
        <v>0</v>
      </c>
      <c r="AV2598" s="53">
        <f t="shared" si="440"/>
        <v>0</v>
      </c>
      <c r="AW2598" s="53">
        <f t="shared" si="440"/>
        <v>217647.0588235294</v>
      </c>
      <c r="AX2598" s="53">
        <f>$G2598*E2598</f>
        <v>919400000</v>
      </c>
      <c r="AY2598" s="41" t="s">
        <v>557</v>
      </c>
    </row>
    <row r="2599" spans="1:51" x14ac:dyDescent="0.2">
      <c r="A2599" s="41" t="s">
        <v>497</v>
      </c>
      <c r="B2599" s="60" t="s">
        <v>559</v>
      </c>
      <c r="C2599" s="60" t="s">
        <v>87</v>
      </c>
      <c r="D2599" s="60" t="s">
        <v>175</v>
      </c>
      <c r="E2599" s="60">
        <v>100</v>
      </c>
      <c r="F2599" s="60" t="s">
        <v>495</v>
      </c>
      <c r="G2599" s="79">
        <f>SUM(G2558:G2597)+(2/12)*G2598</f>
        <v>434281038.33333331</v>
      </c>
      <c r="P2599" s="89">
        <f>AW2599/$G2599</f>
        <v>3.443453263603239E-2</v>
      </c>
      <c r="AF2599" s="79">
        <f>SUM(AF2558:AF2597)+(2/12)*AF2598</f>
        <v>128514.36393333333</v>
      </c>
      <c r="AM2599" s="79">
        <f>SUM(AM2558:AM2597)+(2/12)*AM2598</f>
        <v>884031162.49280083</v>
      </c>
      <c r="AO2599" s="79">
        <f t="shared" ref="AO2599:AX2599" si="442">SUM(AO2558:AO2597)+(2/12)*AO2598</f>
        <v>0</v>
      </c>
      <c r="AP2599" s="79">
        <f t="shared" si="442"/>
        <v>0</v>
      </c>
      <c r="AQ2599" s="79">
        <f t="shared" si="442"/>
        <v>0</v>
      </c>
      <c r="AR2599" s="79">
        <f t="shared" si="442"/>
        <v>0</v>
      </c>
      <c r="AS2599" s="79">
        <f t="shared" si="442"/>
        <v>0</v>
      </c>
      <c r="AT2599" s="79">
        <f t="shared" si="442"/>
        <v>0</v>
      </c>
      <c r="AU2599" s="79">
        <f t="shared" si="442"/>
        <v>0</v>
      </c>
      <c r="AV2599" s="79">
        <f t="shared" si="442"/>
        <v>0</v>
      </c>
      <c r="AW2599" s="79">
        <f t="shared" si="442"/>
        <v>14954264.587699199</v>
      </c>
      <c r="AX2599" s="79">
        <f t="shared" si="442"/>
        <v>43428103833.333336</v>
      </c>
      <c r="AY2599" s="41" t="s">
        <v>557</v>
      </c>
    </row>
    <row r="2600" spans="1:51" x14ac:dyDescent="0.2">
      <c r="A2600" s="41" t="s">
        <v>497</v>
      </c>
      <c r="B2600" s="43" t="s">
        <v>560</v>
      </c>
      <c r="G2600" s="53">
        <f>STDEV(G2558:G2598)</f>
        <v>2837441.9507338381</v>
      </c>
      <c r="P2600" s="42">
        <f>STDEV(P2558:P2598)</f>
        <v>4.6807738364788463E-3</v>
      </c>
      <c r="AF2600" s="53">
        <f>STDEV(AF2558:AF2598)</f>
        <v>995.15944300491788</v>
      </c>
      <c r="AM2600" s="53">
        <f>STDEV(AM2558:AM2598)</f>
        <v>11797801.859935015</v>
      </c>
      <c r="AY2600" s="41" t="s">
        <v>557</v>
      </c>
    </row>
    <row r="2601" spans="1:51" x14ac:dyDescent="0.2">
      <c r="A2601" s="41" t="s">
        <v>497</v>
      </c>
      <c r="B2601" s="81" t="s">
        <v>249</v>
      </c>
      <c r="G2601" s="41">
        <f>COUNT(G2558:G2598)</f>
        <v>41</v>
      </c>
      <c r="P2601" s="41">
        <f>COUNT(P2558:P2598)</f>
        <v>41</v>
      </c>
      <c r="AF2601" s="41">
        <f>COUNT(AF2558:AF2598)</f>
        <v>41</v>
      </c>
      <c r="AM2601" s="41">
        <f>COUNT(AM2558:AM2598)</f>
        <v>41</v>
      </c>
      <c r="AY2601" s="41" t="s">
        <v>557</v>
      </c>
    </row>
    <row r="2602" spans="1:51" x14ac:dyDescent="0.2">
      <c r="A2602" s="82"/>
      <c r="B2602" s="82"/>
      <c r="C2602" s="82"/>
      <c r="D2602" s="82"/>
      <c r="E2602" s="82"/>
      <c r="F2602" s="82"/>
      <c r="G2602" s="82"/>
      <c r="H2602" s="82"/>
      <c r="I2602" s="82"/>
      <c r="J2602" s="82"/>
      <c r="K2602" s="82"/>
      <c r="L2602" s="82"/>
      <c r="M2602" s="82"/>
      <c r="N2602" s="82"/>
      <c r="O2602" s="82"/>
      <c r="P2602" s="82"/>
      <c r="Q2602" s="82"/>
      <c r="R2602" s="82"/>
      <c r="S2602" s="82"/>
      <c r="T2602" s="82"/>
      <c r="U2602" s="82"/>
      <c r="V2602" s="82"/>
      <c r="W2602" s="82"/>
      <c r="X2602" s="82"/>
      <c r="Y2602" s="82"/>
      <c r="Z2602" s="82"/>
      <c r="AA2602" s="82"/>
      <c r="AB2602" s="82"/>
      <c r="AC2602" s="82"/>
      <c r="AD2602" s="82"/>
      <c r="AE2602" s="82"/>
      <c r="AF2602" s="82"/>
      <c r="AG2602" s="82"/>
      <c r="AH2602" s="82"/>
      <c r="AI2602" s="82"/>
      <c r="AJ2602" s="82"/>
      <c r="AK2602" s="82"/>
      <c r="AL2602" s="82"/>
      <c r="AM2602" s="82"/>
      <c r="AN2602" s="82"/>
      <c r="AO2602" s="82"/>
      <c r="AP2602" s="82"/>
      <c r="AQ2602" s="82"/>
      <c r="AR2602" s="82"/>
      <c r="AS2602" s="82"/>
      <c r="AT2602" s="82"/>
      <c r="AU2602" s="82"/>
      <c r="AV2602" s="82"/>
      <c r="AW2602" s="82"/>
      <c r="AX2602" s="82"/>
      <c r="AY2602" s="41" t="s">
        <v>557</v>
      </c>
    </row>
    <row r="2603" spans="1:51" x14ac:dyDescent="0.2">
      <c r="A2603" s="86" t="s">
        <v>691</v>
      </c>
      <c r="B2603" s="58" t="s">
        <v>692</v>
      </c>
      <c r="AY2603" s="41" t="s">
        <v>557</v>
      </c>
    </row>
    <row r="2604" spans="1:51" x14ac:dyDescent="0.2">
      <c r="A2604" s="86" t="s">
        <v>691</v>
      </c>
      <c r="B2604" s="41">
        <v>2002</v>
      </c>
      <c r="C2604" s="41" t="s">
        <v>87</v>
      </c>
      <c r="D2604" s="41" t="s">
        <v>401</v>
      </c>
      <c r="E2604" s="41">
        <v>0</v>
      </c>
      <c r="F2604" s="41" t="s">
        <v>390</v>
      </c>
      <c r="G2604" s="53">
        <f>31111000*0.9072</f>
        <v>28223899.199999999</v>
      </c>
      <c r="I2604" s="46">
        <f>0.018*31.1/0.9072</f>
        <v>0.61706349206349198</v>
      </c>
      <c r="T2604" s="53">
        <f>378000*31.1/1000</f>
        <v>11755.8</v>
      </c>
      <c r="AO2604" s="53">
        <f t="shared" ref="AO2604:AW2605" si="443">$G2604*H2604</f>
        <v>0</v>
      </c>
      <c r="AP2604" s="53">
        <f t="shared" si="443"/>
        <v>17415937.799999997</v>
      </c>
      <c r="AQ2604" s="53">
        <f t="shared" si="443"/>
        <v>0</v>
      </c>
      <c r="AR2604" s="53">
        <f t="shared" si="443"/>
        <v>0</v>
      </c>
      <c r="AS2604" s="53">
        <f t="shared" si="443"/>
        <v>0</v>
      </c>
      <c r="AT2604" s="53">
        <f t="shared" si="443"/>
        <v>0</v>
      </c>
      <c r="AU2604" s="53">
        <f t="shared" si="443"/>
        <v>0</v>
      </c>
      <c r="AV2604" s="53">
        <f t="shared" si="443"/>
        <v>0</v>
      </c>
      <c r="AW2604" s="53">
        <f t="shared" si="443"/>
        <v>0</v>
      </c>
      <c r="AX2604" s="53">
        <f t="shared" ref="AX2604:AX2672" si="444">$G2604*E2604</f>
        <v>0</v>
      </c>
      <c r="AY2604" s="41" t="s">
        <v>557</v>
      </c>
    </row>
    <row r="2605" spans="1:51" x14ac:dyDescent="0.2">
      <c r="A2605" s="86" t="s">
        <v>691</v>
      </c>
      <c r="B2605" s="41">
        <v>2003</v>
      </c>
      <c r="C2605" s="41" t="s">
        <v>87</v>
      </c>
      <c r="D2605" s="41" t="s">
        <v>401</v>
      </c>
      <c r="E2605" s="41">
        <v>0</v>
      </c>
      <c r="F2605" s="41" t="s">
        <v>390</v>
      </c>
      <c r="G2605" s="53">
        <f>31470000*0.9072</f>
        <v>28549584</v>
      </c>
      <c r="I2605" s="46">
        <f>0.016*31.1/0.9072</f>
        <v>0.54850088183421519</v>
      </c>
      <c r="T2605" s="53">
        <f>393000*31.1/1000</f>
        <v>12222.3</v>
      </c>
      <c r="AO2605" s="53">
        <f t="shared" si="443"/>
        <v>0</v>
      </c>
      <c r="AP2605" s="53">
        <f t="shared" si="443"/>
        <v>15659472</v>
      </c>
      <c r="AQ2605" s="53">
        <f t="shared" si="443"/>
        <v>0</v>
      </c>
      <c r="AR2605" s="53">
        <f t="shared" si="443"/>
        <v>0</v>
      </c>
      <c r="AS2605" s="53">
        <f t="shared" si="443"/>
        <v>0</v>
      </c>
      <c r="AT2605" s="53">
        <f t="shared" si="443"/>
        <v>0</v>
      </c>
      <c r="AU2605" s="53">
        <f t="shared" si="443"/>
        <v>0</v>
      </c>
      <c r="AV2605" s="53">
        <f t="shared" si="443"/>
        <v>0</v>
      </c>
      <c r="AW2605" s="53">
        <f t="shared" si="443"/>
        <v>0</v>
      </c>
      <c r="AX2605" s="53">
        <f t="shared" si="444"/>
        <v>0</v>
      </c>
      <c r="AY2605" s="41" t="s">
        <v>557</v>
      </c>
    </row>
    <row r="2606" spans="1:51" x14ac:dyDescent="0.2">
      <c r="A2606" s="86" t="s">
        <v>691</v>
      </c>
      <c r="B2606" s="60" t="s">
        <v>248</v>
      </c>
      <c r="C2606" s="60" t="s">
        <v>87</v>
      </c>
      <c r="D2606" s="60" t="s">
        <v>401</v>
      </c>
      <c r="E2606" s="60">
        <v>0</v>
      </c>
      <c r="F2606" s="60" t="s">
        <v>390</v>
      </c>
      <c r="G2606" s="79">
        <f>AVERAGE(G2604:G2605)</f>
        <v>28386741.600000001</v>
      </c>
      <c r="I2606" s="80">
        <f>AP2606/SUM($G2604:$G2605)</f>
        <v>0.58258552999968116</v>
      </c>
      <c r="T2606" s="79">
        <f>AVERAGE(T2604:T2605)</f>
        <v>11989.05</v>
      </c>
      <c r="AO2606" s="79">
        <f t="shared" ref="AO2606:AX2606" si="445">SUM(AO2604:AO2605)</f>
        <v>0</v>
      </c>
      <c r="AP2606" s="79">
        <f t="shared" si="445"/>
        <v>33075409.799999997</v>
      </c>
      <c r="AQ2606" s="79">
        <f t="shared" si="445"/>
        <v>0</v>
      </c>
      <c r="AR2606" s="79">
        <f t="shared" si="445"/>
        <v>0</v>
      </c>
      <c r="AS2606" s="79">
        <f t="shared" si="445"/>
        <v>0</v>
      </c>
      <c r="AT2606" s="79">
        <f t="shared" si="445"/>
        <v>0</v>
      </c>
      <c r="AU2606" s="79">
        <f t="shared" si="445"/>
        <v>0</v>
      </c>
      <c r="AV2606" s="79">
        <f t="shared" si="445"/>
        <v>0</v>
      </c>
      <c r="AW2606" s="79">
        <f t="shared" si="445"/>
        <v>0</v>
      </c>
      <c r="AX2606" s="79">
        <f t="shared" si="445"/>
        <v>0</v>
      </c>
      <c r="AY2606" s="41" t="s">
        <v>557</v>
      </c>
    </row>
    <row r="2607" spans="1:51" x14ac:dyDescent="0.2">
      <c r="A2607" s="86" t="s">
        <v>691</v>
      </c>
      <c r="B2607" s="43" t="s">
        <v>560</v>
      </c>
      <c r="G2607" s="53">
        <f>STDEV(G2604:G2605)</f>
        <v>230293.93060938502</v>
      </c>
      <c r="I2607" s="46">
        <f>STDEV(I2604:I2605)</f>
        <v>4.8481086628971763E-2</v>
      </c>
      <c r="T2607" s="53">
        <f>STDEV(T2604:T2605)</f>
        <v>329.86531342352441</v>
      </c>
      <c r="AY2607" s="41" t="s">
        <v>557</v>
      </c>
    </row>
    <row r="2608" spans="1:51" x14ac:dyDescent="0.2">
      <c r="A2608" s="86" t="s">
        <v>691</v>
      </c>
      <c r="B2608" s="81" t="s">
        <v>249</v>
      </c>
      <c r="G2608" s="41">
        <f>COUNT(G2604:G2605)</f>
        <v>2</v>
      </c>
      <c r="I2608" s="41">
        <f>COUNT(I2604:I2605)</f>
        <v>2</v>
      </c>
      <c r="T2608" s="41">
        <f>COUNT(T2604:T2605)</f>
        <v>2</v>
      </c>
      <c r="AY2608" s="41" t="s">
        <v>557</v>
      </c>
    </row>
    <row r="2609" spans="1:51" x14ac:dyDescent="0.2">
      <c r="A2609" s="82"/>
      <c r="B2609" s="82"/>
      <c r="C2609" s="82"/>
      <c r="D2609" s="82"/>
      <c r="E2609" s="82"/>
      <c r="F2609" s="82"/>
      <c r="G2609" s="82"/>
      <c r="H2609" s="82"/>
      <c r="I2609" s="82"/>
      <c r="J2609" s="82"/>
      <c r="K2609" s="82"/>
      <c r="L2609" s="82"/>
      <c r="M2609" s="82"/>
      <c r="N2609" s="82"/>
      <c r="O2609" s="82"/>
      <c r="P2609" s="82"/>
      <c r="Q2609" s="82"/>
      <c r="R2609" s="82"/>
      <c r="S2609" s="82"/>
      <c r="T2609" s="82"/>
      <c r="U2609" s="82"/>
      <c r="V2609" s="82"/>
      <c r="W2609" s="82"/>
      <c r="X2609" s="82"/>
      <c r="Y2609" s="82"/>
      <c r="Z2609" s="82"/>
      <c r="AA2609" s="82"/>
      <c r="AB2609" s="82"/>
      <c r="AC2609" s="82"/>
      <c r="AD2609" s="82"/>
      <c r="AE2609" s="82"/>
      <c r="AF2609" s="82"/>
      <c r="AG2609" s="82"/>
      <c r="AH2609" s="82"/>
      <c r="AI2609" s="82"/>
      <c r="AJ2609" s="82"/>
      <c r="AK2609" s="82"/>
      <c r="AL2609" s="82"/>
      <c r="AM2609" s="82"/>
      <c r="AN2609" s="82"/>
      <c r="AO2609" s="82"/>
      <c r="AP2609" s="82"/>
      <c r="AQ2609" s="82"/>
      <c r="AR2609" s="82"/>
      <c r="AS2609" s="82"/>
      <c r="AT2609" s="82"/>
      <c r="AU2609" s="82"/>
      <c r="AV2609" s="82"/>
      <c r="AW2609" s="82"/>
      <c r="AX2609" s="82"/>
      <c r="AY2609" s="41" t="s">
        <v>557</v>
      </c>
    </row>
    <row r="2610" spans="1:51" x14ac:dyDescent="0.2">
      <c r="A2610" s="86" t="s">
        <v>693</v>
      </c>
      <c r="B2610" s="58" t="s">
        <v>694</v>
      </c>
      <c r="C2610" s="41" t="s">
        <v>87</v>
      </c>
      <c r="D2610" s="41" t="s">
        <v>113</v>
      </c>
      <c r="E2610" s="41">
        <v>100</v>
      </c>
      <c r="F2610" s="41" t="s">
        <v>390</v>
      </c>
      <c r="G2610" s="53"/>
      <c r="I2610" s="46"/>
      <c r="T2610" s="53"/>
      <c r="AM2610" s="53"/>
      <c r="AO2610" s="53">
        <f t="shared" ref="AO2610:AW2626" si="446">$G2610*H2610</f>
        <v>0</v>
      </c>
      <c r="AP2610" s="53">
        <f t="shared" si="446"/>
        <v>0</v>
      </c>
      <c r="AQ2610" s="53">
        <f t="shared" si="446"/>
        <v>0</v>
      </c>
      <c r="AR2610" s="53">
        <f t="shared" si="446"/>
        <v>0</v>
      </c>
      <c r="AS2610" s="53">
        <f t="shared" si="446"/>
        <v>0</v>
      </c>
      <c r="AT2610" s="53">
        <f t="shared" si="446"/>
        <v>0</v>
      </c>
      <c r="AU2610" s="53">
        <f t="shared" si="446"/>
        <v>0</v>
      </c>
      <c r="AV2610" s="53">
        <f t="shared" si="446"/>
        <v>0</v>
      </c>
      <c r="AW2610" s="53">
        <f t="shared" si="446"/>
        <v>0</v>
      </c>
      <c r="AX2610" s="53">
        <f t="shared" si="444"/>
        <v>0</v>
      </c>
      <c r="AY2610" s="41" t="s">
        <v>557</v>
      </c>
    </row>
    <row r="2611" spans="1:51" x14ac:dyDescent="0.2">
      <c r="A2611" s="86" t="s">
        <v>693</v>
      </c>
      <c r="B2611" s="41">
        <v>1997</v>
      </c>
      <c r="C2611" s="41" t="s">
        <v>87</v>
      </c>
      <c r="D2611" s="41" t="s">
        <v>113</v>
      </c>
      <c r="E2611" s="41">
        <v>100</v>
      </c>
      <c r="F2611" s="41" t="s">
        <v>390</v>
      </c>
      <c r="G2611" s="53"/>
      <c r="I2611" s="46"/>
      <c r="T2611" s="53"/>
      <c r="AM2611" s="53"/>
      <c r="AO2611" s="53">
        <f t="shared" si="446"/>
        <v>0</v>
      </c>
      <c r="AP2611" s="53">
        <f t="shared" si="446"/>
        <v>0</v>
      </c>
      <c r="AQ2611" s="53">
        <f t="shared" si="446"/>
        <v>0</v>
      </c>
      <c r="AR2611" s="53">
        <f t="shared" si="446"/>
        <v>0</v>
      </c>
      <c r="AS2611" s="53">
        <f t="shared" si="446"/>
        <v>0</v>
      </c>
      <c r="AT2611" s="53">
        <f t="shared" si="446"/>
        <v>0</v>
      </c>
      <c r="AU2611" s="53">
        <f t="shared" si="446"/>
        <v>0</v>
      </c>
      <c r="AV2611" s="53">
        <f t="shared" si="446"/>
        <v>0</v>
      </c>
      <c r="AW2611" s="53">
        <f t="shared" si="446"/>
        <v>0</v>
      </c>
      <c r="AX2611" s="53">
        <f t="shared" si="444"/>
        <v>0</v>
      </c>
      <c r="AY2611" s="41" t="s">
        <v>557</v>
      </c>
    </row>
    <row r="2612" spans="1:51" x14ac:dyDescent="0.2">
      <c r="A2612" s="86" t="s">
        <v>693</v>
      </c>
      <c r="B2612" s="41">
        <v>1998</v>
      </c>
      <c r="C2612" s="41" t="s">
        <v>87</v>
      </c>
      <c r="D2612" s="41" t="s">
        <v>113</v>
      </c>
      <c r="E2612" s="41">
        <v>100</v>
      </c>
      <c r="F2612" s="41" t="s">
        <v>390</v>
      </c>
      <c r="G2612" s="53"/>
      <c r="I2612" s="46"/>
      <c r="T2612" s="53"/>
      <c r="AM2612" s="53"/>
      <c r="AO2612" s="53">
        <f t="shared" si="446"/>
        <v>0</v>
      </c>
      <c r="AP2612" s="53">
        <f t="shared" si="446"/>
        <v>0</v>
      </c>
      <c r="AQ2612" s="53">
        <f t="shared" si="446"/>
        <v>0</v>
      </c>
      <c r="AR2612" s="53">
        <f t="shared" si="446"/>
        <v>0</v>
      </c>
      <c r="AS2612" s="53">
        <f t="shared" si="446"/>
        <v>0</v>
      </c>
      <c r="AT2612" s="53">
        <f t="shared" si="446"/>
        <v>0</v>
      </c>
      <c r="AU2612" s="53">
        <f t="shared" si="446"/>
        <v>0</v>
      </c>
      <c r="AV2612" s="53">
        <f t="shared" si="446"/>
        <v>0</v>
      </c>
      <c r="AW2612" s="53">
        <f t="shared" si="446"/>
        <v>0</v>
      </c>
      <c r="AX2612" s="53">
        <f t="shared" si="444"/>
        <v>0</v>
      </c>
      <c r="AY2612" s="41" t="s">
        <v>557</v>
      </c>
    </row>
    <row r="2613" spans="1:51" x14ac:dyDescent="0.2">
      <c r="A2613" s="86" t="s">
        <v>693</v>
      </c>
      <c r="B2613" s="41">
        <v>1999</v>
      </c>
      <c r="C2613" s="41" t="s">
        <v>87</v>
      </c>
      <c r="D2613" s="41" t="s">
        <v>113</v>
      </c>
      <c r="E2613" s="41">
        <v>100</v>
      </c>
      <c r="F2613" s="41" t="s">
        <v>390</v>
      </c>
      <c r="G2613" s="53"/>
      <c r="I2613" s="46"/>
      <c r="T2613" s="53"/>
      <c r="AM2613" s="53"/>
      <c r="AO2613" s="53">
        <f t="shared" si="446"/>
        <v>0</v>
      </c>
      <c r="AP2613" s="53">
        <f t="shared" si="446"/>
        <v>0</v>
      </c>
      <c r="AQ2613" s="53">
        <f t="shared" si="446"/>
        <v>0</v>
      </c>
      <c r="AR2613" s="53">
        <f t="shared" si="446"/>
        <v>0</v>
      </c>
      <c r="AS2613" s="53">
        <f t="shared" si="446"/>
        <v>0</v>
      </c>
      <c r="AT2613" s="53">
        <f t="shared" si="446"/>
        <v>0</v>
      </c>
      <c r="AU2613" s="53">
        <f t="shared" si="446"/>
        <v>0</v>
      </c>
      <c r="AV2613" s="53">
        <f t="shared" si="446"/>
        <v>0</v>
      </c>
      <c r="AW2613" s="53">
        <f t="shared" si="446"/>
        <v>0</v>
      </c>
      <c r="AX2613" s="53">
        <f t="shared" si="444"/>
        <v>0</v>
      </c>
      <c r="AY2613" s="41" t="s">
        <v>557</v>
      </c>
    </row>
    <row r="2614" spans="1:51" x14ac:dyDescent="0.2">
      <c r="A2614" s="86" t="s">
        <v>693</v>
      </c>
      <c r="B2614" s="41">
        <v>2000</v>
      </c>
      <c r="C2614" s="41" t="s">
        <v>87</v>
      </c>
      <c r="D2614" s="41" t="s">
        <v>113</v>
      </c>
      <c r="E2614" s="41">
        <v>100</v>
      </c>
      <c r="F2614" s="41" t="s">
        <v>390</v>
      </c>
      <c r="G2614" s="53"/>
      <c r="I2614" s="46"/>
      <c r="T2614" s="53"/>
      <c r="AM2614" s="53"/>
      <c r="AO2614" s="53">
        <f t="shared" si="446"/>
        <v>0</v>
      </c>
      <c r="AP2614" s="53">
        <f t="shared" si="446"/>
        <v>0</v>
      </c>
      <c r="AQ2614" s="53">
        <f t="shared" si="446"/>
        <v>0</v>
      </c>
      <c r="AR2614" s="53">
        <f t="shared" si="446"/>
        <v>0</v>
      </c>
      <c r="AS2614" s="53">
        <f t="shared" si="446"/>
        <v>0</v>
      </c>
      <c r="AT2614" s="53">
        <f t="shared" si="446"/>
        <v>0</v>
      </c>
      <c r="AU2614" s="53">
        <f t="shared" si="446"/>
        <v>0</v>
      </c>
      <c r="AV2614" s="53">
        <f t="shared" si="446"/>
        <v>0</v>
      </c>
      <c r="AW2614" s="53">
        <f t="shared" si="446"/>
        <v>0</v>
      </c>
      <c r="AX2614" s="53">
        <f t="shared" si="444"/>
        <v>0</v>
      </c>
      <c r="AY2614" s="41" t="s">
        <v>557</v>
      </c>
    </row>
    <row r="2615" spans="1:51" x14ac:dyDescent="0.2">
      <c r="A2615" s="86" t="s">
        <v>693</v>
      </c>
      <c r="B2615" s="41">
        <v>2001</v>
      </c>
      <c r="C2615" s="41" t="s">
        <v>87</v>
      </c>
      <c r="D2615" s="41" t="s">
        <v>113</v>
      </c>
      <c r="E2615" s="41">
        <v>100</v>
      </c>
      <c r="F2615" s="41" t="s">
        <v>390</v>
      </c>
      <c r="G2615" s="53"/>
      <c r="I2615" s="46"/>
      <c r="T2615" s="53"/>
      <c r="AM2615" s="53"/>
      <c r="AO2615" s="53">
        <f t="shared" si="446"/>
        <v>0</v>
      </c>
      <c r="AP2615" s="53">
        <f t="shared" si="446"/>
        <v>0</v>
      </c>
      <c r="AQ2615" s="53">
        <f t="shared" si="446"/>
        <v>0</v>
      </c>
      <c r="AR2615" s="53">
        <f t="shared" si="446"/>
        <v>0</v>
      </c>
      <c r="AS2615" s="53">
        <f t="shared" si="446"/>
        <v>0</v>
      </c>
      <c r="AT2615" s="53">
        <f t="shared" si="446"/>
        <v>0</v>
      </c>
      <c r="AU2615" s="53">
        <f t="shared" si="446"/>
        <v>0</v>
      </c>
      <c r="AV2615" s="53">
        <f t="shared" si="446"/>
        <v>0</v>
      </c>
      <c r="AW2615" s="53">
        <f t="shared" si="446"/>
        <v>0</v>
      </c>
      <c r="AX2615" s="53">
        <f t="shared" si="444"/>
        <v>0</v>
      </c>
      <c r="AY2615" s="41" t="s">
        <v>557</v>
      </c>
    </row>
    <row r="2616" spans="1:51" x14ac:dyDescent="0.2">
      <c r="A2616" s="86" t="s">
        <v>693</v>
      </c>
      <c r="B2616" s="41">
        <v>2002</v>
      </c>
      <c r="C2616" s="41" t="s">
        <v>87</v>
      </c>
      <c r="D2616" s="41" t="s">
        <v>113</v>
      </c>
      <c r="E2616" s="41">
        <v>100</v>
      </c>
      <c r="F2616" s="41" t="s">
        <v>390</v>
      </c>
      <c r="G2616" s="53"/>
      <c r="I2616" s="46"/>
      <c r="T2616" s="53"/>
      <c r="AM2616" s="53"/>
      <c r="AO2616" s="53">
        <f t="shared" si="446"/>
        <v>0</v>
      </c>
      <c r="AP2616" s="53">
        <f t="shared" si="446"/>
        <v>0</v>
      </c>
      <c r="AQ2616" s="53">
        <f t="shared" si="446"/>
        <v>0</v>
      </c>
      <c r="AR2616" s="53">
        <f t="shared" si="446"/>
        <v>0</v>
      </c>
      <c r="AS2616" s="53">
        <f t="shared" si="446"/>
        <v>0</v>
      </c>
      <c r="AT2616" s="53">
        <f t="shared" si="446"/>
        <v>0</v>
      </c>
      <c r="AU2616" s="53">
        <f t="shared" si="446"/>
        <v>0</v>
      </c>
      <c r="AV2616" s="53">
        <f t="shared" si="446"/>
        <v>0</v>
      </c>
      <c r="AW2616" s="53">
        <f t="shared" si="446"/>
        <v>0</v>
      </c>
      <c r="AX2616" s="53">
        <f t="shared" si="444"/>
        <v>0</v>
      </c>
      <c r="AY2616" s="41" t="s">
        <v>557</v>
      </c>
    </row>
    <row r="2617" spans="1:51" x14ac:dyDescent="0.2">
      <c r="A2617" s="86" t="s">
        <v>693</v>
      </c>
      <c r="B2617" s="41">
        <v>2007</v>
      </c>
      <c r="C2617" s="41" t="s">
        <v>87</v>
      </c>
      <c r="D2617" s="41" t="s">
        <v>113</v>
      </c>
      <c r="E2617" s="41">
        <v>100</v>
      </c>
      <c r="F2617" s="41" t="s">
        <v>390</v>
      </c>
      <c r="G2617" s="53">
        <f>3814000*0.9072</f>
        <v>3460060.8</v>
      </c>
      <c r="I2617" s="46">
        <f>0.059*31.1/0.9072</f>
        <v>2.0225970017636685</v>
      </c>
      <c r="T2617" s="53">
        <f>198000*31.1/1000</f>
        <v>6157.8</v>
      </c>
      <c r="AM2617" s="53">
        <f>(30900000-3814000)*0.9072</f>
        <v>24572419.199999999</v>
      </c>
      <c r="AO2617" s="53">
        <f t="shared" si="446"/>
        <v>0</v>
      </c>
      <c r="AP2617" s="53">
        <f t="shared" si="446"/>
        <v>6998308.5999999996</v>
      </c>
      <c r="AQ2617" s="53">
        <f t="shared" si="446"/>
        <v>0</v>
      </c>
      <c r="AR2617" s="53">
        <f t="shared" si="446"/>
        <v>0</v>
      </c>
      <c r="AS2617" s="53">
        <f t="shared" si="446"/>
        <v>0</v>
      </c>
      <c r="AT2617" s="53">
        <f t="shared" si="446"/>
        <v>0</v>
      </c>
      <c r="AU2617" s="53">
        <f t="shared" si="446"/>
        <v>0</v>
      </c>
      <c r="AV2617" s="53">
        <f t="shared" si="446"/>
        <v>0</v>
      </c>
      <c r="AW2617" s="53">
        <f t="shared" si="446"/>
        <v>0</v>
      </c>
      <c r="AX2617" s="53">
        <f t="shared" si="444"/>
        <v>346006080</v>
      </c>
      <c r="AY2617" s="41" t="s">
        <v>557</v>
      </c>
    </row>
    <row r="2618" spans="1:51" x14ac:dyDescent="0.2">
      <c r="A2618" s="86" t="s">
        <v>693</v>
      </c>
      <c r="B2618" s="41">
        <v>2008</v>
      </c>
      <c r="C2618" s="41" t="s">
        <v>87</v>
      </c>
      <c r="D2618" s="41" t="s">
        <v>113</v>
      </c>
      <c r="E2618" s="41">
        <v>100</v>
      </c>
      <c r="F2618" s="41" t="s">
        <v>390</v>
      </c>
      <c r="G2618" s="53">
        <f>3172000*0.9072</f>
        <v>2877638.4</v>
      </c>
      <c r="I2618" s="46">
        <f>0.042*31.1/0.9072</f>
        <v>1.4398148148148151</v>
      </c>
      <c r="T2618" s="53">
        <f>98000*31.1/1000</f>
        <v>3047.8</v>
      </c>
      <c r="AM2618" s="53">
        <f>(29704000-3172000)*0.9072</f>
        <v>24069830.399999999</v>
      </c>
      <c r="AO2618" s="53">
        <f t="shared" si="446"/>
        <v>0</v>
      </c>
      <c r="AP2618" s="53">
        <f t="shared" si="446"/>
        <v>4143266.4000000008</v>
      </c>
      <c r="AQ2618" s="53">
        <f t="shared" si="446"/>
        <v>0</v>
      </c>
      <c r="AR2618" s="53">
        <f t="shared" si="446"/>
        <v>0</v>
      </c>
      <c r="AS2618" s="53">
        <f t="shared" si="446"/>
        <v>0</v>
      </c>
      <c r="AT2618" s="53">
        <f t="shared" si="446"/>
        <v>0</v>
      </c>
      <c r="AU2618" s="53">
        <f t="shared" si="446"/>
        <v>0</v>
      </c>
      <c r="AV2618" s="53">
        <f t="shared" si="446"/>
        <v>0</v>
      </c>
      <c r="AW2618" s="53">
        <f t="shared" si="446"/>
        <v>0</v>
      </c>
      <c r="AX2618" s="53">
        <f t="shared" si="444"/>
        <v>287763840</v>
      </c>
      <c r="AY2618" s="41" t="s">
        <v>557</v>
      </c>
    </row>
    <row r="2619" spans="1:51" x14ac:dyDescent="0.2">
      <c r="A2619" s="86" t="s">
        <v>693</v>
      </c>
      <c r="B2619" s="41">
        <v>2009</v>
      </c>
      <c r="C2619" s="41" t="s">
        <v>87</v>
      </c>
      <c r="D2619" s="41" t="s">
        <v>113</v>
      </c>
      <c r="E2619" s="41">
        <v>100</v>
      </c>
      <c r="F2619" s="41" t="s">
        <v>390</v>
      </c>
      <c r="G2619" s="53">
        <f>3366000*0.9072</f>
        <v>3053635.2</v>
      </c>
      <c r="I2619" s="46">
        <f>0.038*31.1/0.9072</f>
        <v>1.3026895943562611</v>
      </c>
      <c r="T2619" s="53">
        <f>104000*31.1/1000</f>
        <v>3234.4</v>
      </c>
      <c r="AM2619" s="53">
        <f>(31910000-3366000)*0.9072</f>
        <v>25895116.800000001</v>
      </c>
      <c r="AO2619" s="53">
        <f t="shared" si="446"/>
        <v>0</v>
      </c>
      <c r="AP2619" s="53">
        <f t="shared" si="446"/>
        <v>3977938.8000000003</v>
      </c>
      <c r="AQ2619" s="53">
        <f t="shared" si="446"/>
        <v>0</v>
      </c>
      <c r="AR2619" s="53">
        <f t="shared" si="446"/>
        <v>0</v>
      </c>
      <c r="AS2619" s="53">
        <f t="shared" si="446"/>
        <v>0</v>
      </c>
      <c r="AT2619" s="53">
        <f t="shared" si="446"/>
        <v>0</v>
      </c>
      <c r="AU2619" s="53">
        <f t="shared" si="446"/>
        <v>0</v>
      </c>
      <c r="AV2619" s="53">
        <f t="shared" si="446"/>
        <v>0</v>
      </c>
      <c r="AW2619" s="53">
        <f t="shared" si="446"/>
        <v>0</v>
      </c>
      <c r="AX2619" s="53">
        <f t="shared" si="444"/>
        <v>305363520</v>
      </c>
      <c r="AY2619" s="41" t="s">
        <v>557</v>
      </c>
    </row>
    <row r="2620" spans="1:51" x14ac:dyDescent="0.2">
      <c r="A2620" s="86" t="s">
        <v>693</v>
      </c>
      <c r="B2620" s="41">
        <v>2010</v>
      </c>
      <c r="C2620" s="41" t="s">
        <v>87</v>
      </c>
      <c r="D2620" s="41" t="s">
        <v>113</v>
      </c>
      <c r="E2620" s="41">
        <v>100</v>
      </c>
      <c r="F2620" s="41" t="s">
        <v>390</v>
      </c>
      <c r="G2620" s="53">
        <f>3364000*0.9072</f>
        <v>3051820.8</v>
      </c>
      <c r="I2620" s="46">
        <f>0.038*31.1/0.9072</f>
        <v>1.3026895943562611</v>
      </c>
      <c r="T2620" s="53">
        <f>81000*31.1/1000</f>
        <v>2519.1</v>
      </c>
      <c r="AM2620" s="53">
        <f>(25909000-3364000)*0.9072</f>
        <v>20452824</v>
      </c>
      <c r="AO2620" s="53">
        <f t="shared" si="446"/>
        <v>0</v>
      </c>
      <c r="AP2620" s="53">
        <f t="shared" si="446"/>
        <v>3975575.1999999997</v>
      </c>
      <c r="AQ2620" s="53">
        <f t="shared" si="446"/>
        <v>0</v>
      </c>
      <c r="AR2620" s="53">
        <f t="shared" si="446"/>
        <v>0</v>
      </c>
      <c r="AS2620" s="53">
        <f t="shared" si="446"/>
        <v>0</v>
      </c>
      <c r="AT2620" s="53">
        <f t="shared" si="446"/>
        <v>0</v>
      </c>
      <c r="AU2620" s="53">
        <f t="shared" si="446"/>
        <v>0</v>
      </c>
      <c r="AV2620" s="53">
        <f t="shared" si="446"/>
        <v>0</v>
      </c>
      <c r="AW2620" s="53">
        <f t="shared" si="446"/>
        <v>0</v>
      </c>
      <c r="AX2620" s="53">
        <f t="shared" si="444"/>
        <v>305182080</v>
      </c>
      <c r="AY2620" s="41" t="s">
        <v>557</v>
      </c>
    </row>
    <row r="2621" spans="1:51" x14ac:dyDescent="0.2">
      <c r="A2621" s="86" t="s">
        <v>693</v>
      </c>
      <c r="B2621" s="41">
        <v>2011</v>
      </c>
      <c r="C2621" s="41" t="s">
        <v>87</v>
      </c>
      <c r="D2621" s="41" t="s">
        <v>113</v>
      </c>
      <c r="E2621" s="41">
        <v>100</v>
      </c>
      <c r="F2621" s="41" t="s">
        <v>390</v>
      </c>
      <c r="G2621" s="53">
        <f>1080000*0.9072</f>
        <v>979776</v>
      </c>
      <c r="I2621" s="46">
        <f>0.129*31.1/0.9072</f>
        <v>4.4222883597883609</v>
      </c>
      <c r="T2621" s="53">
        <f>127000*31.1/1000</f>
        <v>3949.7</v>
      </c>
      <c r="AM2621" s="53">
        <f>(24704000-1080000)*0.9072</f>
        <v>21431692.800000001</v>
      </c>
      <c r="AO2621" s="53">
        <f t="shared" si="446"/>
        <v>0</v>
      </c>
      <c r="AP2621" s="53">
        <f t="shared" si="446"/>
        <v>4332852.0000000009</v>
      </c>
      <c r="AQ2621" s="53">
        <f t="shared" si="446"/>
        <v>0</v>
      </c>
      <c r="AR2621" s="53">
        <f t="shared" si="446"/>
        <v>0</v>
      </c>
      <c r="AS2621" s="53">
        <f t="shared" si="446"/>
        <v>0</v>
      </c>
      <c r="AT2621" s="53">
        <f t="shared" si="446"/>
        <v>0</v>
      </c>
      <c r="AU2621" s="53">
        <f t="shared" si="446"/>
        <v>0</v>
      </c>
      <c r="AV2621" s="53">
        <f t="shared" si="446"/>
        <v>0</v>
      </c>
      <c r="AW2621" s="53">
        <f t="shared" si="446"/>
        <v>0</v>
      </c>
      <c r="AX2621" s="53">
        <f t="shared" si="444"/>
        <v>97977600</v>
      </c>
      <c r="AY2621" s="41" t="s">
        <v>557</v>
      </c>
    </row>
    <row r="2622" spans="1:51" x14ac:dyDescent="0.2">
      <c r="A2622" s="86" t="s">
        <v>693</v>
      </c>
      <c r="B2622" s="41">
        <v>2012</v>
      </c>
      <c r="C2622" s="41" t="s">
        <v>87</v>
      </c>
      <c r="D2622" s="41" t="s">
        <v>113</v>
      </c>
      <c r="E2622" s="41">
        <v>100</v>
      </c>
      <c r="F2622" s="41" t="s">
        <v>390</v>
      </c>
      <c r="G2622" s="53">
        <f>2836000*0.9072</f>
        <v>2572819.2000000002</v>
      </c>
      <c r="I2622" s="46">
        <f>0.02*31.1/0.9072</f>
        <v>0.68562610229276899</v>
      </c>
      <c r="T2622" s="53">
        <f>41000*31.1/1000</f>
        <v>1275.0999999999999</v>
      </c>
      <c r="AM2622" s="53">
        <f>(20577000-2836000)*0.9072</f>
        <v>16094635.199999999</v>
      </c>
      <c r="AO2622" s="53">
        <f t="shared" si="446"/>
        <v>0</v>
      </c>
      <c r="AP2622" s="53">
        <f t="shared" si="446"/>
        <v>1763992.0000000002</v>
      </c>
      <c r="AQ2622" s="53">
        <f t="shared" si="446"/>
        <v>0</v>
      </c>
      <c r="AR2622" s="53">
        <f t="shared" si="446"/>
        <v>0</v>
      </c>
      <c r="AS2622" s="53">
        <f t="shared" si="446"/>
        <v>0</v>
      </c>
      <c r="AT2622" s="53">
        <f t="shared" si="446"/>
        <v>0</v>
      </c>
      <c r="AU2622" s="53">
        <f t="shared" si="446"/>
        <v>0</v>
      </c>
      <c r="AV2622" s="53">
        <f t="shared" si="446"/>
        <v>0</v>
      </c>
      <c r="AW2622" s="53">
        <f t="shared" si="446"/>
        <v>0</v>
      </c>
      <c r="AX2622" s="53">
        <f t="shared" si="444"/>
        <v>257281920.00000003</v>
      </c>
      <c r="AY2622" s="41" t="s">
        <v>557</v>
      </c>
    </row>
    <row r="2623" spans="1:51" x14ac:dyDescent="0.2">
      <c r="A2623" s="86" t="s">
        <v>693</v>
      </c>
      <c r="B2623" s="41">
        <v>2013</v>
      </c>
      <c r="C2623" s="41" t="s">
        <v>87</v>
      </c>
      <c r="D2623" s="41" t="s">
        <v>113</v>
      </c>
      <c r="E2623" s="41">
        <v>100</v>
      </c>
      <c r="F2623" s="41" t="s">
        <v>390</v>
      </c>
      <c r="G2623" s="53">
        <v>2019000</v>
      </c>
      <c r="I2623" s="41">
        <v>1.83</v>
      </c>
      <c r="T2623" s="53">
        <f>91000*31.1/1000</f>
        <v>2830.1</v>
      </c>
      <c r="AM2623" s="53">
        <f>12803000-2019000</f>
        <v>10784000</v>
      </c>
      <c r="AO2623" s="53">
        <f t="shared" si="446"/>
        <v>0</v>
      </c>
      <c r="AP2623" s="53">
        <f t="shared" si="446"/>
        <v>3694770</v>
      </c>
      <c r="AQ2623" s="53">
        <f t="shared" si="446"/>
        <v>0</v>
      </c>
      <c r="AR2623" s="53">
        <f t="shared" si="446"/>
        <v>0</v>
      </c>
      <c r="AS2623" s="53">
        <f t="shared" si="446"/>
        <v>0</v>
      </c>
      <c r="AT2623" s="53">
        <f t="shared" si="446"/>
        <v>0</v>
      </c>
      <c r="AU2623" s="53">
        <f t="shared" si="446"/>
        <v>0</v>
      </c>
      <c r="AV2623" s="53">
        <f t="shared" si="446"/>
        <v>0</v>
      </c>
      <c r="AW2623" s="53">
        <f t="shared" si="446"/>
        <v>0</v>
      </c>
      <c r="AX2623" s="53">
        <f t="shared" si="444"/>
        <v>201900000</v>
      </c>
      <c r="AY2623" s="41" t="s">
        <v>557</v>
      </c>
    </row>
    <row r="2624" spans="1:51" x14ac:dyDescent="0.2">
      <c r="A2624" s="86" t="s">
        <v>693</v>
      </c>
      <c r="B2624" s="41">
        <v>2014</v>
      </c>
      <c r="C2624" s="41" t="s">
        <v>87</v>
      </c>
      <c r="D2624" s="41" t="s">
        <v>113</v>
      </c>
      <c r="E2624" s="41">
        <v>100</v>
      </c>
      <c r="F2624" s="41" t="s">
        <v>390</v>
      </c>
      <c r="G2624" s="53">
        <v>106000</v>
      </c>
      <c r="I2624" s="41">
        <v>2.58</v>
      </c>
      <c r="T2624" s="53">
        <f>33000*31/1000</f>
        <v>1023</v>
      </c>
      <c r="AO2624" s="53">
        <f t="shared" si="446"/>
        <v>0</v>
      </c>
      <c r="AP2624" s="53">
        <f t="shared" si="446"/>
        <v>273480</v>
      </c>
      <c r="AQ2624" s="53">
        <f t="shared" si="446"/>
        <v>0</v>
      </c>
      <c r="AR2624" s="53">
        <f t="shared" si="446"/>
        <v>0</v>
      </c>
      <c r="AS2624" s="53">
        <f t="shared" si="446"/>
        <v>0</v>
      </c>
      <c r="AT2624" s="53">
        <f t="shared" si="446"/>
        <v>0</v>
      </c>
      <c r="AU2624" s="53">
        <f t="shared" si="446"/>
        <v>0</v>
      </c>
      <c r="AV2624" s="53">
        <f t="shared" si="446"/>
        <v>0</v>
      </c>
      <c r="AW2624" s="53">
        <f t="shared" si="446"/>
        <v>0</v>
      </c>
      <c r="AX2624" s="53">
        <f t="shared" si="444"/>
        <v>10600000</v>
      </c>
      <c r="AY2624" s="41" t="s">
        <v>557</v>
      </c>
    </row>
    <row r="2625" spans="1:51" x14ac:dyDescent="0.2">
      <c r="A2625" s="86" t="s">
        <v>693</v>
      </c>
      <c r="B2625" s="41">
        <v>2015</v>
      </c>
      <c r="C2625" s="41" t="s">
        <v>87</v>
      </c>
      <c r="D2625" s="41" t="s">
        <v>113</v>
      </c>
      <c r="E2625" s="41">
        <v>100</v>
      </c>
      <c r="F2625" s="41" t="s">
        <v>390</v>
      </c>
      <c r="G2625" s="53"/>
      <c r="T2625" s="53">
        <f>10000*31/1000</f>
        <v>310</v>
      </c>
      <c r="AO2625" s="53">
        <f t="shared" si="446"/>
        <v>0</v>
      </c>
      <c r="AP2625" s="53">
        <f t="shared" si="446"/>
        <v>0</v>
      </c>
      <c r="AQ2625" s="53">
        <f t="shared" si="446"/>
        <v>0</v>
      </c>
      <c r="AR2625" s="53">
        <f t="shared" si="446"/>
        <v>0</v>
      </c>
      <c r="AS2625" s="53">
        <f t="shared" si="446"/>
        <v>0</v>
      </c>
      <c r="AT2625" s="53">
        <f t="shared" si="446"/>
        <v>0</v>
      </c>
      <c r="AU2625" s="53">
        <f t="shared" si="446"/>
        <v>0</v>
      </c>
      <c r="AV2625" s="53">
        <f t="shared" si="446"/>
        <v>0</v>
      </c>
      <c r="AW2625" s="53">
        <f t="shared" si="446"/>
        <v>0</v>
      </c>
      <c r="AX2625" s="53">
        <f t="shared" si="444"/>
        <v>0</v>
      </c>
      <c r="AY2625" s="41" t="s">
        <v>557</v>
      </c>
    </row>
    <row r="2626" spans="1:51" x14ac:dyDescent="0.2">
      <c r="A2626" s="86" t="s">
        <v>693</v>
      </c>
      <c r="B2626" s="41">
        <v>2016</v>
      </c>
      <c r="C2626" s="41" t="s">
        <v>87</v>
      </c>
      <c r="D2626" s="41" t="s">
        <v>113</v>
      </c>
      <c r="E2626" s="41">
        <v>100</v>
      </c>
      <c r="F2626" s="41" t="s">
        <v>390</v>
      </c>
      <c r="AO2626" s="53">
        <f t="shared" si="446"/>
        <v>0</v>
      </c>
      <c r="AP2626" s="53">
        <f t="shared" si="446"/>
        <v>0</v>
      </c>
      <c r="AQ2626" s="53">
        <f t="shared" si="446"/>
        <v>0</v>
      </c>
      <c r="AR2626" s="53">
        <f t="shared" si="446"/>
        <v>0</v>
      </c>
      <c r="AS2626" s="53">
        <f t="shared" si="446"/>
        <v>0</v>
      </c>
      <c r="AT2626" s="53">
        <f t="shared" si="446"/>
        <v>0</v>
      </c>
      <c r="AU2626" s="53">
        <f t="shared" si="446"/>
        <v>0</v>
      </c>
      <c r="AV2626" s="53">
        <f t="shared" si="446"/>
        <v>0</v>
      </c>
      <c r="AW2626" s="53">
        <f t="shared" si="446"/>
        <v>0</v>
      </c>
      <c r="AX2626" s="53">
        <f t="shared" si="444"/>
        <v>0</v>
      </c>
      <c r="AY2626" s="41" t="s">
        <v>557</v>
      </c>
    </row>
    <row r="2627" spans="1:51" x14ac:dyDescent="0.2">
      <c r="A2627" s="86" t="s">
        <v>693</v>
      </c>
      <c r="B2627" s="60" t="s">
        <v>248</v>
      </c>
      <c r="C2627" s="60" t="s">
        <v>87</v>
      </c>
      <c r="D2627" s="60" t="s">
        <v>113</v>
      </c>
      <c r="E2627" s="60">
        <v>100</v>
      </c>
      <c r="F2627" s="60" t="s">
        <v>390</v>
      </c>
      <c r="G2627" s="79">
        <f>SUM(G2610:G2625)</f>
        <v>18120750.399999999</v>
      </c>
      <c r="I2627" s="80">
        <f>AP2627/SUM($G2610:$G2624)</f>
        <v>1.6092149804127318</v>
      </c>
      <c r="T2627" s="79">
        <f>AVERAGE(T2610:T2625)</f>
        <v>2705.2222222222217</v>
      </c>
      <c r="AM2627" s="79">
        <f>AVERAGE(AM2610:AM2625)</f>
        <v>20471502.628571425</v>
      </c>
      <c r="AO2627" s="79">
        <f t="shared" ref="AO2627:AX2627" si="447">SUM(AO2610:AO2626)</f>
        <v>0</v>
      </c>
      <c r="AP2627" s="79">
        <f t="shared" si="447"/>
        <v>29160183</v>
      </c>
      <c r="AQ2627" s="79">
        <f t="shared" si="447"/>
        <v>0</v>
      </c>
      <c r="AR2627" s="79">
        <f t="shared" si="447"/>
        <v>0</v>
      </c>
      <c r="AS2627" s="79">
        <f t="shared" si="447"/>
        <v>0</v>
      </c>
      <c r="AT2627" s="79">
        <f t="shared" si="447"/>
        <v>0</v>
      </c>
      <c r="AU2627" s="79">
        <f t="shared" si="447"/>
        <v>0</v>
      </c>
      <c r="AV2627" s="79">
        <f t="shared" si="447"/>
        <v>0</v>
      </c>
      <c r="AW2627" s="79">
        <f t="shared" si="447"/>
        <v>0</v>
      </c>
      <c r="AX2627" s="79">
        <f t="shared" si="447"/>
        <v>1812075040</v>
      </c>
      <c r="AY2627" s="41" t="s">
        <v>557</v>
      </c>
    </row>
    <row r="2628" spans="1:51" x14ac:dyDescent="0.2">
      <c r="A2628" s="86" t="s">
        <v>693</v>
      </c>
      <c r="B2628" s="43" t="s">
        <v>560</v>
      </c>
      <c r="G2628" s="53">
        <f>STDEV(G2610:G2625)</f>
        <v>1165754.1332618743</v>
      </c>
      <c r="I2628" s="46">
        <f>STDEV(I2610:I2624)</f>
        <v>1.1480235385713604</v>
      </c>
      <c r="T2628" s="53">
        <f>STDEV(T2610:T2625)</f>
        <v>1751.0301794784832</v>
      </c>
      <c r="AM2628" s="53">
        <f>STDEV(AM2610:AM2625)</f>
        <v>5371344.646661493</v>
      </c>
      <c r="AY2628" s="41" t="s">
        <v>557</v>
      </c>
    </row>
    <row r="2629" spans="1:51" x14ac:dyDescent="0.2">
      <c r="A2629" s="86" t="s">
        <v>693</v>
      </c>
      <c r="B2629" s="81" t="s">
        <v>249</v>
      </c>
      <c r="G2629" s="41">
        <f>COUNT(G2610:G2625)</f>
        <v>8</v>
      </c>
      <c r="I2629" s="41">
        <f>COUNT(I2610:I2624)</f>
        <v>8</v>
      </c>
      <c r="T2629" s="41">
        <f>COUNT(T2610:T2625)</f>
        <v>9</v>
      </c>
      <c r="AM2629" s="41">
        <f>COUNT(AM2610:AM2625)</f>
        <v>7</v>
      </c>
      <c r="AY2629" s="41" t="s">
        <v>557</v>
      </c>
    </row>
    <row r="2630" spans="1:51" x14ac:dyDescent="0.2">
      <c r="A2630" s="82"/>
      <c r="B2630" s="82"/>
      <c r="C2630" s="82"/>
      <c r="D2630" s="82"/>
      <c r="E2630" s="82"/>
      <c r="F2630" s="82"/>
      <c r="G2630" s="82"/>
      <c r="H2630" s="82"/>
      <c r="I2630" s="82"/>
      <c r="J2630" s="82"/>
      <c r="K2630" s="82"/>
      <c r="L2630" s="82"/>
      <c r="M2630" s="82"/>
      <c r="N2630" s="82"/>
      <c r="O2630" s="82"/>
      <c r="P2630" s="82"/>
      <c r="Q2630" s="82"/>
      <c r="R2630" s="82"/>
      <c r="S2630" s="82"/>
      <c r="T2630" s="82"/>
      <c r="U2630" s="82"/>
      <c r="V2630" s="82"/>
      <c r="W2630" s="82"/>
      <c r="X2630" s="82"/>
      <c r="Y2630" s="82"/>
      <c r="Z2630" s="82"/>
      <c r="AA2630" s="82"/>
      <c r="AB2630" s="82"/>
      <c r="AC2630" s="82"/>
      <c r="AD2630" s="82"/>
      <c r="AE2630" s="82"/>
      <c r="AF2630" s="82"/>
      <c r="AG2630" s="82"/>
      <c r="AH2630" s="82"/>
      <c r="AI2630" s="82"/>
      <c r="AJ2630" s="82"/>
      <c r="AK2630" s="82"/>
      <c r="AL2630" s="82"/>
      <c r="AM2630" s="82"/>
      <c r="AN2630" s="82"/>
      <c r="AO2630" s="82"/>
      <c r="AP2630" s="82"/>
      <c r="AQ2630" s="82"/>
      <c r="AR2630" s="82"/>
      <c r="AS2630" s="82"/>
      <c r="AT2630" s="82"/>
      <c r="AU2630" s="82"/>
      <c r="AV2630" s="82"/>
      <c r="AW2630" s="82"/>
      <c r="AX2630" s="82"/>
      <c r="AY2630" s="41" t="s">
        <v>557</v>
      </c>
    </row>
    <row r="2631" spans="1:51" x14ac:dyDescent="0.2">
      <c r="A2631" s="41" t="s">
        <v>119</v>
      </c>
      <c r="B2631" s="41">
        <v>2012</v>
      </c>
      <c r="C2631" s="41" t="s">
        <v>87</v>
      </c>
      <c r="D2631" s="41" t="s">
        <v>88</v>
      </c>
      <c r="E2631" s="41">
        <v>100</v>
      </c>
      <c r="F2631" s="41" t="s">
        <v>556</v>
      </c>
      <c r="G2631" s="53">
        <f>150916+203127+253326+266886+344750+293956+359185</f>
        <v>1872146</v>
      </c>
      <c r="H2631" s="46">
        <f>(0.74*150916+0.96*203127+1*253326+1.33*266886+1.22*344750+1.3*293956+1.09*359185)/G2631</f>
        <v>1.1266287939081676</v>
      </c>
      <c r="I2631" s="46">
        <f>(0.45*150916+0.58*203127+0.58*253326+0.76*266886+0.95*344750+0.98*293956+0.66*359185)/G2631</f>
        <v>0.74146983194686744</v>
      </c>
      <c r="J2631" s="46">
        <f>(2.7*150916+4.19*203127+3.86*253326+4.68*266886+4.5*344750+4.82*293956+3.7*359185)/G2631</f>
        <v>4.1570836836443315</v>
      </c>
      <c r="R2631" s="53">
        <f>(0.647*0.74*150916/0.421+0.518*0.96*203127/0.499+0.653*1*253326/0.404+0.625*1.33*266886/0.412+0.66*1.22*344750/0.398+0.698*1.3*293956/0.41+0.69*1.09*359185/0.388)/100</f>
        <v>33662.7262324373</v>
      </c>
      <c r="S2631" s="53">
        <f>(0.647*0.74*150916+0.518*0.96*203127+0.653*1*253326+0.625*1.33*266886+0.66*1.22*344750+0.698*1.3*293956+0.69*1.09*359185)/100</f>
        <v>13750.088354400003</v>
      </c>
      <c r="T2631" s="53">
        <f>(0.544*0.45*150916+0.609*0.58*203127+0.502*0.58*253326+0.499*0.76*266886+0.472*0.95*344750+0.512*0.98*293956+0.545*0.66*359185)/1000</f>
        <v>714.94510760000003</v>
      </c>
      <c r="U2631" s="53">
        <f>(0.399*2.7*150916+0.396*4.19*203127+0.344*3.86*253326+0.379*4.68*266886+0.311*4.5*344750+0.378*4.82*293956+0.376*3.7*359185)/1000</f>
        <v>2827.1275528000006</v>
      </c>
      <c r="AH2631" s="93">
        <f>G2631-R2631</f>
        <v>1838483.2737675626</v>
      </c>
      <c r="AO2631" s="53">
        <f t="shared" ref="AO2631:AW2635" si="448">$G2631*H2631</f>
        <v>2109213.5900000003</v>
      </c>
      <c r="AP2631" s="53">
        <f t="shared" si="448"/>
        <v>1388139.78</v>
      </c>
      <c r="AQ2631" s="53">
        <f t="shared" si="448"/>
        <v>7782667.5900000008</v>
      </c>
      <c r="AR2631" s="53">
        <f t="shared" si="448"/>
        <v>0</v>
      </c>
      <c r="AS2631" s="53">
        <f t="shared" si="448"/>
        <v>0</v>
      </c>
      <c r="AT2631" s="53">
        <f t="shared" si="448"/>
        <v>0</v>
      </c>
      <c r="AU2631" s="53">
        <f t="shared" si="448"/>
        <v>0</v>
      </c>
      <c r="AV2631" s="53">
        <f t="shared" si="448"/>
        <v>0</v>
      </c>
      <c r="AW2631" s="53">
        <f t="shared" si="448"/>
        <v>0</v>
      </c>
      <c r="AX2631" s="53">
        <f>$G2631*E2631</f>
        <v>187214600</v>
      </c>
      <c r="AY2631" s="41" t="s">
        <v>557</v>
      </c>
    </row>
    <row r="2632" spans="1:51" x14ac:dyDescent="0.2">
      <c r="A2632" s="41" t="s">
        <v>119</v>
      </c>
      <c r="B2632" s="41">
        <v>2013</v>
      </c>
      <c r="C2632" s="41" t="s">
        <v>87</v>
      </c>
      <c r="D2632" s="41" t="s">
        <v>88</v>
      </c>
      <c r="E2632" s="41">
        <v>100</v>
      </c>
      <c r="F2632" s="41" t="s">
        <v>556</v>
      </c>
      <c r="G2632" s="76">
        <f>S2632/(H2632/100)/0.809</f>
        <v>10571856.092641989</v>
      </c>
      <c r="H2632" s="58">
        <v>0.76</v>
      </c>
      <c r="I2632" s="56">
        <f>1000*T2632/G2632/0.652</f>
        <v>0.52789483435582818</v>
      </c>
      <c r="J2632" s="58">
        <v>4</v>
      </c>
      <c r="R2632" s="76">
        <f>S2632/0.394</f>
        <v>164974.6192893401</v>
      </c>
      <c r="S2632" s="53">
        <v>65000</v>
      </c>
      <c r="T2632" s="53">
        <f>117000*31.1/1000</f>
        <v>3638.7</v>
      </c>
      <c r="U2632" s="76">
        <f>0.446*G2632*J2632/1000</f>
        <v>18860.191269273306</v>
      </c>
      <c r="AH2632" s="93">
        <f>G2632-R2632</f>
        <v>10406881.473352648</v>
      </c>
      <c r="AO2632" s="53">
        <f t="shared" si="448"/>
        <v>8034610.6304079117</v>
      </c>
      <c r="AP2632" s="53">
        <f t="shared" si="448"/>
        <v>5580828.2208588952</v>
      </c>
      <c r="AQ2632" s="53">
        <f t="shared" si="448"/>
        <v>42287424.370567955</v>
      </c>
      <c r="AR2632" s="53">
        <f t="shared" si="448"/>
        <v>0</v>
      </c>
      <c r="AS2632" s="53">
        <f t="shared" si="448"/>
        <v>0</v>
      </c>
      <c r="AT2632" s="53">
        <f t="shared" si="448"/>
        <v>0</v>
      </c>
      <c r="AU2632" s="53">
        <f t="shared" si="448"/>
        <v>0</v>
      </c>
      <c r="AV2632" s="53">
        <f t="shared" si="448"/>
        <v>0</v>
      </c>
      <c r="AW2632" s="53">
        <f t="shared" si="448"/>
        <v>0</v>
      </c>
      <c r="AX2632" s="53">
        <f>$G2632*E2632</f>
        <v>1057185609.2641989</v>
      </c>
      <c r="AY2632" s="41" t="s">
        <v>557</v>
      </c>
    </row>
    <row r="2633" spans="1:51" x14ac:dyDescent="0.2">
      <c r="A2633" s="41" t="s">
        <v>119</v>
      </c>
      <c r="B2633" s="41">
        <v>2014</v>
      </c>
      <c r="C2633" s="41" t="s">
        <v>87</v>
      </c>
      <c r="D2633" s="41" t="s">
        <v>88</v>
      </c>
      <c r="E2633" s="41">
        <v>100</v>
      </c>
      <c r="F2633" s="41" t="s">
        <v>556</v>
      </c>
      <c r="G2633" s="53">
        <v>18644000</v>
      </c>
      <c r="H2633" s="41">
        <v>0.84</v>
      </c>
      <c r="I2633" s="56">
        <f>1000*T2633/G2633/0.642</f>
        <v>0.41572510277834029</v>
      </c>
      <c r="J2633" s="58">
        <v>4</v>
      </c>
      <c r="R2633" s="76">
        <f>S2633/0.385</f>
        <v>254545.45454545453</v>
      </c>
      <c r="S2633" s="53">
        <v>98000</v>
      </c>
      <c r="T2633" s="53">
        <f>160000*31.1/1000</f>
        <v>4976</v>
      </c>
      <c r="U2633" s="76">
        <f>0.37*G2633*J2633/1000</f>
        <v>27593.119999999999</v>
      </c>
      <c r="AH2633" s="93">
        <f>G2633-R2633</f>
        <v>18389454.545454547</v>
      </c>
      <c r="AO2633" s="53">
        <f t="shared" si="448"/>
        <v>15660960</v>
      </c>
      <c r="AP2633" s="53">
        <f t="shared" si="448"/>
        <v>7750778.8161993762</v>
      </c>
      <c r="AQ2633" s="53">
        <f t="shared" si="448"/>
        <v>74576000</v>
      </c>
      <c r="AR2633" s="53">
        <f t="shared" si="448"/>
        <v>0</v>
      </c>
      <c r="AS2633" s="53">
        <f t="shared" si="448"/>
        <v>0</v>
      </c>
      <c r="AT2633" s="53">
        <f t="shared" si="448"/>
        <v>0</v>
      </c>
      <c r="AU2633" s="53">
        <f t="shared" si="448"/>
        <v>0</v>
      </c>
      <c r="AV2633" s="53">
        <f t="shared" si="448"/>
        <v>0</v>
      </c>
      <c r="AW2633" s="53">
        <f t="shared" si="448"/>
        <v>0</v>
      </c>
      <c r="AX2633" s="53">
        <f>$G2633*E2633</f>
        <v>1864400000</v>
      </c>
      <c r="AY2633" s="41" t="s">
        <v>557</v>
      </c>
    </row>
    <row r="2634" spans="1:51" x14ac:dyDescent="0.2">
      <c r="A2634" s="41" t="s">
        <v>119</v>
      </c>
      <c r="B2634" s="41">
        <v>2015</v>
      </c>
      <c r="C2634" s="41" t="s">
        <v>87</v>
      </c>
      <c r="D2634" s="41" t="s">
        <v>88</v>
      </c>
      <c r="E2634" s="62">
        <v>100</v>
      </c>
      <c r="F2634" s="41" t="s">
        <v>556</v>
      </c>
      <c r="G2634" s="53">
        <v>44296000</v>
      </c>
      <c r="H2634" s="41">
        <v>0.62</v>
      </c>
      <c r="I2634" s="56">
        <f>1000*T2634/G2634/0.673</f>
        <v>0.26210990175238791</v>
      </c>
      <c r="J2634" s="58">
        <v>4</v>
      </c>
      <c r="R2634" s="76">
        <f>S2634/0.386</f>
        <v>401554.40414507769</v>
      </c>
      <c r="S2634" s="53">
        <v>155000</v>
      </c>
      <c r="T2634" s="53">
        <f>2*(27185+27805+32954+37680)*31.1/1000</f>
        <v>7813.8128000000006</v>
      </c>
      <c r="U2634" s="76">
        <f>0.413*G2634*J2634/1000</f>
        <v>73176.991999999998</v>
      </c>
      <c r="AH2634" s="93">
        <f>G2634-R2634</f>
        <v>43894445.595854923</v>
      </c>
      <c r="AO2634" s="53">
        <f t="shared" si="448"/>
        <v>27463520</v>
      </c>
      <c r="AP2634" s="53">
        <f t="shared" si="448"/>
        <v>11610420.208023775</v>
      </c>
      <c r="AQ2634" s="53">
        <f t="shared" si="448"/>
        <v>177184000</v>
      </c>
      <c r="AR2634" s="53">
        <f t="shared" si="448"/>
        <v>0</v>
      </c>
      <c r="AS2634" s="53">
        <f t="shared" si="448"/>
        <v>0</v>
      </c>
      <c r="AT2634" s="53">
        <f t="shared" si="448"/>
        <v>0</v>
      </c>
      <c r="AU2634" s="53">
        <f t="shared" si="448"/>
        <v>0</v>
      </c>
      <c r="AV2634" s="53">
        <f t="shared" si="448"/>
        <v>0</v>
      </c>
      <c r="AW2634" s="53">
        <f t="shared" si="448"/>
        <v>0</v>
      </c>
      <c r="AX2634" s="53">
        <f>$G2634*E2634</f>
        <v>4429600000</v>
      </c>
      <c r="AY2634" s="41" t="s">
        <v>557</v>
      </c>
    </row>
    <row r="2635" spans="1:51" x14ac:dyDescent="0.2">
      <c r="A2635" s="41" t="s">
        <v>119</v>
      </c>
      <c r="B2635" s="41">
        <v>2016</v>
      </c>
      <c r="C2635" s="41" t="s">
        <v>87</v>
      </c>
      <c r="D2635" s="41" t="s">
        <v>88</v>
      </c>
      <c r="E2635" s="62">
        <v>100</v>
      </c>
      <c r="F2635" s="41" t="s">
        <v>556</v>
      </c>
      <c r="G2635" s="53">
        <v>57279000</v>
      </c>
      <c r="H2635" s="41">
        <v>0.62</v>
      </c>
      <c r="I2635" s="58">
        <v>0.4</v>
      </c>
      <c r="J2635" s="58">
        <v>4</v>
      </c>
      <c r="R2635" s="76">
        <f>S2635/0.386</f>
        <v>455958.54922279791</v>
      </c>
      <c r="S2635" s="53">
        <v>176000</v>
      </c>
      <c r="T2635" s="53">
        <f>317000*31.1/1000</f>
        <v>9858.7000000000007</v>
      </c>
      <c r="U2635" s="76">
        <f>0.413*G2635*J2635/1000</f>
        <v>94624.907999999996</v>
      </c>
      <c r="AH2635" s="93">
        <f>G2635-R2635</f>
        <v>56823041.450777203</v>
      </c>
      <c r="AO2635" s="53">
        <f t="shared" si="448"/>
        <v>35512980</v>
      </c>
      <c r="AP2635" s="53">
        <f t="shared" si="448"/>
        <v>22911600</v>
      </c>
      <c r="AQ2635" s="53">
        <f t="shared" si="448"/>
        <v>229116000</v>
      </c>
      <c r="AR2635" s="53">
        <f t="shared" si="448"/>
        <v>0</v>
      </c>
      <c r="AS2635" s="53">
        <f t="shared" si="448"/>
        <v>0</v>
      </c>
      <c r="AT2635" s="53">
        <f t="shared" si="448"/>
        <v>0</v>
      </c>
      <c r="AU2635" s="53">
        <f t="shared" si="448"/>
        <v>0</v>
      </c>
      <c r="AV2635" s="53">
        <f t="shared" si="448"/>
        <v>0</v>
      </c>
      <c r="AW2635" s="53">
        <f t="shared" si="448"/>
        <v>0</v>
      </c>
      <c r="AX2635" s="53">
        <f>$G2635*E2635</f>
        <v>5727900000</v>
      </c>
      <c r="AY2635" s="41" t="s">
        <v>557</v>
      </c>
    </row>
    <row r="2636" spans="1:51" x14ac:dyDescent="0.2">
      <c r="A2636" s="41" t="s">
        <v>119</v>
      </c>
      <c r="B2636" s="60" t="s">
        <v>559</v>
      </c>
      <c r="C2636" s="60" t="s">
        <v>87</v>
      </c>
      <c r="D2636" s="60" t="s">
        <v>88</v>
      </c>
      <c r="E2636" s="60">
        <v>100</v>
      </c>
      <c r="F2636" s="60" t="s">
        <v>556</v>
      </c>
      <c r="G2636" s="79">
        <f>SUM(G2631:G2635)</f>
        <v>132663002.09264198</v>
      </c>
      <c r="H2636" s="80">
        <f>AO2636/G2636</f>
        <v>0.66922414554141973</v>
      </c>
      <c r="I2636" s="80">
        <f>AP2636/G2636</f>
        <v>0.37117935104992772</v>
      </c>
      <c r="J2636" s="98">
        <f>AQ2636/G2636</f>
        <v>4.0022167717099801</v>
      </c>
      <c r="R2636" s="79">
        <f>SUM(R2631:R2635)</f>
        <v>1310695.7534351074</v>
      </c>
      <c r="S2636" s="79">
        <f>SUM(S2631:S2635)</f>
        <v>507750.08835440001</v>
      </c>
      <c r="T2636" s="79">
        <f>SUM(T2631:T2635)</f>
        <v>27002.157907600002</v>
      </c>
      <c r="U2636" s="79">
        <f>SUM(U2631:U2635)</f>
        <v>217082.3388220733</v>
      </c>
      <c r="AH2636" s="79">
        <f>SUM(AH2631:AH2635)</f>
        <v>131352306.33920687</v>
      </c>
      <c r="AO2636" s="79">
        <f t="shared" ref="AO2636:AX2636" si="449">SUM(AO2631:AO2635)</f>
        <v>88781284.220407903</v>
      </c>
      <c r="AP2636" s="79">
        <f t="shared" si="449"/>
        <v>49241767.025082052</v>
      </c>
      <c r="AQ2636" s="79">
        <f t="shared" si="449"/>
        <v>530946091.96056795</v>
      </c>
      <c r="AR2636" s="79">
        <f t="shared" si="449"/>
        <v>0</v>
      </c>
      <c r="AS2636" s="79">
        <f t="shared" si="449"/>
        <v>0</v>
      </c>
      <c r="AT2636" s="79">
        <f t="shared" si="449"/>
        <v>0</v>
      </c>
      <c r="AU2636" s="79">
        <f t="shared" si="449"/>
        <v>0</v>
      </c>
      <c r="AV2636" s="79">
        <f t="shared" si="449"/>
        <v>0</v>
      </c>
      <c r="AW2636" s="79">
        <f t="shared" si="449"/>
        <v>0</v>
      </c>
      <c r="AX2636" s="79">
        <f t="shared" si="449"/>
        <v>13266300209.264198</v>
      </c>
      <c r="AY2636" s="41" t="s">
        <v>557</v>
      </c>
    </row>
    <row r="2637" spans="1:51" x14ac:dyDescent="0.2">
      <c r="A2637" s="41" t="s">
        <v>119</v>
      </c>
      <c r="B2637" s="43" t="s">
        <v>560</v>
      </c>
      <c r="G2637" s="53">
        <f>STDEV(G2631:G2635)</f>
        <v>23377301.17037883</v>
      </c>
      <c r="H2637" s="46">
        <f>STDEV(H2631:H2635)</f>
        <v>0.20884422515998532</v>
      </c>
      <c r="I2637" s="46">
        <f>STDEV(I2631:I2635)</f>
        <v>0.17896240565512975</v>
      </c>
      <c r="J2637" s="46">
        <f>STDEV(J2631:J2635)</f>
        <v>7.0249958956959402E-2</v>
      </c>
      <c r="R2637" s="53">
        <f>STDEV(R2631:R2635)</f>
        <v>172266.2612497852</v>
      </c>
      <c r="S2637" s="53">
        <f>STDEV(S2631:S2635)</f>
        <v>66062.535685843934</v>
      </c>
      <c r="T2637" s="53">
        <f>STDEV(T2631:T2635)</f>
        <v>3568.5497764124016</v>
      </c>
      <c r="U2637" s="53">
        <f>STDEV(U2631:U2635)</f>
        <v>38758.472437429773</v>
      </c>
      <c r="AH2637" s="53">
        <f>STDEV(AH2631:AH2635)</f>
        <v>23209642.171876084</v>
      </c>
      <c r="AY2637" s="41" t="s">
        <v>557</v>
      </c>
    </row>
    <row r="2638" spans="1:51" x14ac:dyDescent="0.2">
      <c r="A2638" s="41" t="s">
        <v>119</v>
      </c>
      <c r="B2638" s="81" t="s">
        <v>249</v>
      </c>
      <c r="G2638" s="41">
        <f>COUNT(G2631:G2635)</f>
        <v>5</v>
      </c>
      <c r="H2638" s="41">
        <f>COUNT(H2631:H2635)</f>
        <v>5</v>
      </c>
      <c r="I2638" s="41">
        <f>COUNT(I2631:I2635)</f>
        <v>5</v>
      </c>
      <c r="J2638" s="41">
        <f>COUNT(J2631:J2635)</f>
        <v>5</v>
      </c>
      <c r="R2638" s="41">
        <f>COUNT(R2631:R2635)</f>
        <v>5</v>
      </c>
      <c r="S2638" s="41">
        <f>COUNT(S2631:S2635)</f>
        <v>5</v>
      </c>
      <c r="T2638" s="41">
        <f>COUNT(T2631:T2635)</f>
        <v>5</v>
      </c>
      <c r="U2638" s="41">
        <f>COUNT(U2631:U2635)</f>
        <v>5</v>
      </c>
      <c r="AH2638" s="41">
        <f>COUNT(AH2631:AH2635)</f>
        <v>5</v>
      </c>
      <c r="AY2638" s="41" t="s">
        <v>557</v>
      </c>
    </row>
    <row r="2639" spans="1:51" x14ac:dyDescent="0.2">
      <c r="A2639" s="82"/>
      <c r="B2639" s="82"/>
      <c r="C2639" s="82"/>
      <c r="D2639" s="82"/>
      <c r="E2639" s="82"/>
      <c r="F2639" s="82"/>
      <c r="G2639" s="82"/>
      <c r="H2639" s="82"/>
      <c r="I2639" s="82"/>
      <c r="J2639" s="82"/>
      <c r="K2639" s="82"/>
      <c r="L2639" s="82"/>
      <c r="M2639" s="82"/>
      <c r="N2639" s="82"/>
      <c r="O2639" s="82"/>
      <c r="P2639" s="82"/>
      <c r="Q2639" s="82"/>
      <c r="R2639" s="82"/>
      <c r="S2639" s="82"/>
      <c r="T2639" s="82"/>
      <c r="U2639" s="82"/>
      <c r="V2639" s="82"/>
      <c r="W2639" s="82"/>
      <c r="X2639" s="82"/>
      <c r="Y2639" s="82"/>
      <c r="Z2639" s="82"/>
      <c r="AA2639" s="82"/>
      <c r="AB2639" s="82"/>
      <c r="AC2639" s="82"/>
      <c r="AD2639" s="82"/>
      <c r="AE2639" s="82"/>
      <c r="AF2639" s="82"/>
      <c r="AG2639" s="82"/>
      <c r="AH2639" s="82"/>
      <c r="AI2639" s="82"/>
      <c r="AJ2639" s="82"/>
      <c r="AK2639" s="82"/>
      <c r="AL2639" s="82"/>
      <c r="AM2639" s="82"/>
      <c r="AN2639" s="82"/>
      <c r="AO2639" s="82"/>
      <c r="AP2639" s="82"/>
      <c r="AQ2639" s="82"/>
      <c r="AR2639" s="82"/>
      <c r="AS2639" s="82"/>
      <c r="AT2639" s="82"/>
      <c r="AU2639" s="82"/>
      <c r="AV2639" s="82"/>
      <c r="AW2639" s="82"/>
      <c r="AX2639" s="82"/>
      <c r="AY2639" s="41" t="s">
        <v>557</v>
      </c>
    </row>
    <row r="2640" spans="1:51" x14ac:dyDescent="0.2">
      <c r="A2640" s="86" t="s">
        <v>695</v>
      </c>
      <c r="B2640" s="58" t="s">
        <v>696</v>
      </c>
      <c r="C2640" s="41" t="s">
        <v>87</v>
      </c>
      <c r="D2640" s="41" t="s">
        <v>110</v>
      </c>
      <c r="E2640" s="41">
        <v>100</v>
      </c>
      <c r="F2640" s="41" t="s">
        <v>390</v>
      </c>
      <c r="G2640" s="53"/>
      <c r="I2640" s="46"/>
      <c r="T2640" s="53"/>
      <c r="AM2640" s="53"/>
      <c r="AO2640" s="53">
        <f t="shared" ref="AO2640:AW2655" si="450">$G2640*H2640</f>
        <v>0</v>
      </c>
      <c r="AP2640" s="53">
        <f t="shared" si="450"/>
        <v>0</v>
      </c>
      <c r="AQ2640" s="53">
        <f t="shared" si="450"/>
        <v>0</v>
      </c>
      <c r="AR2640" s="53">
        <f t="shared" si="450"/>
        <v>0</v>
      </c>
      <c r="AS2640" s="53">
        <f t="shared" si="450"/>
        <v>0</v>
      </c>
      <c r="AT2640" s="53">
        <f t="shared" si="450"/>
        <v>0</v>
      </c>
      <c r="AU2640" s="53">
        <f t="shared" si="450"/>
        <v>0</v>
      </c>
      <c r="AV2640" s="53">
        <f t="shared" si="450"/>
        <v>0</v>
      </c>
      <c r="AW2640" s="53">
        <f t="shared" si="450"/>
        <v>0</v>
      </c>
      <c r="AX2640" s="53">
        <f>$G2640*E2640</f>
        <v>0</v>
      </c>
      <c r="AY2640" s="41" t="s">
        <v>557</v>
      </c>
    </row>
    <row r="2641" spans="1:51" x14ac:dyDescent="0.2">
      <c r="A2641" s="86" t="s">
        <v>695</v>
      </c>
      <c r="B2641" s="41">
        <v>2002</v>
      </c>
      <c r="C2641" s="41" t="s">
        <v>87</v>
      </c>
      <c r="D2641" s="41" t="s">
        <v>110</v>
      </c>
      <c r="E2641" s="41">
        <v>100</v>
      </c>
      <c r="F2641" s="41" t="s">
        <v>643</v>
      </c>
      <c r="G2641" s="53">
        <v>16424276.324989513</v>
      </c>
      <c r="H2641" s="41">
        <v>0.62</v>
      </c>
      <c r="I2641" s="41">
        <v>0.14000000000000001</v>
      </c>
      <c r="J2641" s="41">
        <v>5</v>
      </c>
      <c r="K2641" s="42">
        <v>1.0212525046118916E-2</v>
      </c>
      <c r="S2641" s="53">
        <v>72819</v>
      </c>
      <c r="T2641" s="53">
        <v>1149.699342749266</v>
      </c>
      <c r="U2641" s="53">
        <v>41060.690812473782</v>
      </c>
      <c r="W2641" s="53">
        <v>1258</v>
      </c>
      <c r="AM2641" s="53">
        <v>19709131.589987416</v>
      </c>
      <c r="AO2641" s="53">
        <f t="shared" si="450"/>
        <v>10183051.321493497</v>
      </c>
      <c r="AP2641" s="53">
        <f t="shared" si="450"/>
        <v>2299398.6854985319</v>
      </c>
      <c r="AQ2641" s="53">
        <f t="shared" si="450"/>
        <v>82121381.624947563</v>
      </c>
      <c r="AR2641" s="53">
        <f t="shared" si="450"/>
        <v>167733.33333333334</v>
      </c>
      <c r="AS2641" s="53">
        <f t="shared" si="450"/>
        <v>0</v>
      </c>
      <c r="AT2641" s="53">
        <f t="shared" si="450"/>
        <v>0</v>
      </c>
      <c r="AU2641" s="53">
        <f t="shared" si="450"/>
        <v>0</v>
      </c>
      <c r="AV2641" s="53">
        <f t="shared" si="450"/>
        <v>0</v>
      </c>
      <c r="AW2641" s="53">
        <f t="shared" si="450"/>
        <v>0</v>
      </c>
      <c r="AX2641" s="53">
        <f t="shared" si="444"/>
        <v>1642427632.4989512</v>
      </c>
      <c r="AY2641" s="41" t="s">
        <v>557</v>
      </c>
    </row>
    <row r="2642" spans="1:51" x14ac:dyDescent="0.2">
      <c r="A2642" s="86" t="s">
        <v>695</v>
      </c>
      <c r="B2642" s="41">
        <v>2003</v>
      </c>
      <c r="C2642" s="41" t="s">
        <v>87</v>
      </c>
      <c r="D2642" s="41" t="s">
        <v>110</v>
      </c>
      <c r="E2642" s="41">
        <v>100</v>
      </c>
      <c r="F2642" s="41" t="s">
        <v>643</v>
      </c>
      <c r="G2642" s="53">
        <v>16234680.869605752</v>
      </c>
      <c r="H2642" s="41">
        <v>0.69</v>
      </c>
      <c r="I2642" s="41">
        <v>0.14000000000000001</v>
      </c>
      <c r="J2642" s="41">
        <v>5</v>
      </c>
      <c r="K2642" s="42">
        <v>9.6254843517882775E-3</v>
      </c>
      <c r="S2642" s="53">
        <v>80105</v>
      </c>
      <c r="T2642" s="53">
        <v>1136.4276608724028</v>
      </c>
      <c r="U2642" s="53">
        <v>40586.702174014383</v>
      </c>
      <c r="W2642" s="53">
        <v>1172</v>
      </c>
      <c r="AM2642" s="53">
        <v>19481617.043526903</v>
      </c>
      <c r="AO2642" s="53">
        <f t="shared" si="450"/>
        <v>11201929.800027968</v>
      </c>
      <c r="AP2642" s="53">
        <f t="shared" si="450"/>
        <v>2272855.3217448057</v>
      </c>
      <c r="AQ2642" s="53">
        <f t="shared" si="450"/>
        <v>81173404.348028764</v>
      </c>
      <c r="AR2642" s="53">
        <f t="shared" si="450"/>
        <v>156266.66666666666</v>
      </c>
      <c r="AS2642" s="53">
        <f t="shared" si="450"/>
        <v>0</v>
      </c>
      <c r="AT2642" s="53">
        <f t="shared" si="450"/>
        <v>0</v>
      </c>
      <c r="AU2642" s="53">
        <f t="shared" si="450"/>
        <v>0</v>
      </c>
      <c r="AV2642" s="53">
        <f t="shared" si="450"/>
        <v>0</v>
      </c>
      <c r="AW2642" s="53">
        <f t="shared" si="450"/>
        <v>0</v>
      </c>
      <c r="AX2642" s="53">
        <f t="shared" si="444"/>
        <v>1623468086.9605751</v>
      </c>
      <c r="AY2642" s="41" t="s">
        <v>557</v>
      </c>
    </row>
    <row r="2643" spans="1:51" x14ac:dyDescent="0.2">
      <c r="A2643" s="86" t="s">
        <v>695</v>
      </c>
      <c r="B2643" s="41">
        <v>2004</v>
      </c>
      <c r="C2643" s="41" t="s">
        <v>87</v>
      </c>
      <c r="D2643" s="41" t="s">
        <v>110</v>
      </c>
      <c r="E2643" s="41">
        <v>100</v>
      </c>
      <c r="F2643" s="41" t="s">
        <v>643</v>
      </c>
      <c r="G2643" s="53">
        <v>16300000</v>
      </c>
      <c r="H2643" s="46">
        <v>0.64693251533742313</v>
      </c>
      <c r="I2643" s="41">
        <v>0.14000000000000001</v>
      </c>
      <c r="J2643" s="41">
        <v>5</v>
      </c>
      <c r="K2643" s="42">
        <v>9.4396728016359916E-3</v>
      </c>
      <c r="S2643" s="53">
        <v>74874</v>
      </c>
      <c r="T2643" s="53">
        <v>1141</v>
      </c>
      <c r="U2643" s="53">
        <v>40750</v>
      </c>
      <c r="W2643" s="53">
        <v>1154</v>
      </c>
      <c r="AM2643" s="53">
        <v>19560000</v>
      </c>
      <c r="AO2643" s="53">
        <f t="shared" si="450"/>
        <v>10544999.999999996</v>
      </c>
      <c r="AP2643" s="53">
        <f t="shared" si="450"/>
        <v>2282000</v>
      </c>
      <c r="AQ2643" s="53">
        <f t="shared" si="450"/>
        <v>81500000</v>
      </c>
      <c r="AR2643" s="53">
        <f t="shared" si="450"/>
        <v>153866.66666666666</v>
      </c>
      <c r="AS2643" s="53">
        <f t="shared" si="450"/>
        <v>0</v>
      </c>
      <c r="AT2643" s="53">
        <f t="shared" si="450"/>
        <v>0</v>
      </c>
      <c r="AU2643" s="53">
        <f t="shared" si="450"/>
        <v>0</v>
      </c>
      <c r="AV2643" s="53">
        <f t="shared" si="450"/>
        <v>0</v>
      </c>
      <c r="AW2643" s="53">
        <f t="shared" si="450"/>
        <v>0</v>
      </c>
      <c r="AX2643" s="53">
        <f t="shared" si="444"/>
        <v>1630000000</v>
      </c>
      <c r="AY2643" s="41" t="s">
        <v>557</v>
      </c>
    </row>
    <row r="2644" spans="1:51" x14ac:dyDescent="0.2">
      <c r="A2644" s="86" t="s">
        <v>695</v>
      </c>
      <c r="B2644" s="41">
        <v>2005</v>
      </c>
      <c r="C2644" s="41" t="s">
        <v>87</v>
      </c>
      <c r="D2644" s="41" t="s">
        <v>110</v>
      </c>
      <c r="E2644" s="41">
        <v>100</v>
      </c>
      <c r="F2644" s="41" t="s">
        <v>643</v>
      </c>
      <c r="G2644" s="53">
        <v>18200000</v>
      </c>
      <c r="H2644" s="46">
        <v>0.59071428571428586</v>
      </c>
      <c r="I2644" s="41">
        <v>0.14000000000000001</v>
      </c>
      <c r="J2644" s="41">
        <v>5</v>
      </c>
      <c r="K2644" s="42">
        <v>9.1428571428571418E-3</v>
      </c>
      <c r="S2644" s="53">
        <v>77520</v>
      </c>
      <c r="T2644" s="53">
        <v>1274.0000000000002</v>
      </c>
      <c r="U2644" s="53">
        <v>45500</v>
      </c>
      <c r="W2644" s="53">
        <v>1248</v>
      </c>
      <c r="AM2644" s="53">
        <v>21603000</v>
      </c>
      <c r="AO2644" s="53">
        <f t="shared" si="450"/>
        <v>10751000.000000002</v>
      </c>
      <c r="AP2644" s="53">
        <f t="shared" si="450"/>
        <v>2548000.0000000005</v>
      </c>
      <c r="AQ2644" s="53">
        <f t="shared" si="450"/>
        <v>91000000</v>
      </c>
      <c r="AR2644" s="53">
        <f t="shared" si="450"/>
        <v>166399.99999999997</v>
      </c>
      <c r="AS2644" s="53">
        <f t="shared" si="450"/>
        <v>0</v>
      </c>
      <c r="AT2644" s="53">
        <f t="shared" si="450"/>
        <v>0</v>
      </c>
      <c r="AU2644" s="53">
        <f t="shared" si="450"/>
        <v>0</v>
      </c>
      <c r="AV2644" s="53">
        <f t="shared" si="450"/>
        <v>0</v>
      </c>
      <c r="AW2644" s="53">
        <f t="shared" si="450"/>
        <v>0</v>
      </c>
      <c r="AX2644" s="53">
        <f t="shared" si="444"/>
        <v>1820000000</v>
      </c>
      <c r="AY2644" s="41" t="s">
        <v>557</v>
      </c>
    </row>
    <row r="2645" spans="1:51" x14ac:dyDescent="0.2">
      <c r="A2645" s="86" t="s">
        <v>695</v>
      </c>
      <c r="B2645" s="41">
        <v>2006</v>
      </c>
      <c r="C2645" s="41" t="s">
        <v>87</v>
      </c>
      <c r="D2645" s="41" t="s">
        <v>110</v>
      </c>
      <c r="E2645" s="41">
        <v>100</v>
      </c>
      <c r="F2645" s="41" t="s">
        <v>643</v>
      </c>
      <c r="G2645" s="53">
        <v>18860000</v>
      </c>
      <c r="H2645" s="46">
        <v>0.58913043478260874</v>
      </c>
      <c r="I2645" s="41">
        <v>0.14000000000000001</v>
      </c>
      <c r="J2645" s="41">
        <v>5</v>
      </c>
      <c r="K2645" s="42">
        <v>9.6571226581831041E-3</v>
      </c>
      <c r="S2645" s="53">
        <v>80615</v>
      </c>
      <c r="T2645" s="53">
        <v>1320.2000000000003</v>
      </c>
      <c r="U2645" s="53">
        <v>47150</v>
      </c>
      <c r="W2645" s="53">
        <v>1366</v>
      </c>
      <c r="AM2645" s="53">
        <v>21874000</v>
      </c>
      <c r="AO2645" s="53">
        <f t="shared" si="450"/>
        <v>11111000</v>
      </c>
      <c r="AP2645" s="53">
        <f t="shared" si="450"/>
        <v>2640400.0000000005</v>
      </c>
      <c r="AQ2645" s="53">
        <f t="shared" si="450"/>
        <v>94300000</v>
      </c>
      <c r="AR2645" s="53">
        <f t="shared" si="450"/>
        <v>182133.33333333334</v>
      </c>
      <c r="AS2645" s="53">
        <f t="shared" si="450"/>
        <v>0</v>
      </c>
      <c r="AT2645" s="53">
        <f t="shared" si="450"/>
        <v>0</v>
      </c>
      <c r="AU2645" s="53">
        <f t="shared" si="450"/>
        <v>0</v>
      </c>
      <c r="AV2645" s="53">
        <f t="shared" si="450"/>
        <v>0</v>
      </c>
      <c r="AW2645" s="53">
        <f t="shared" si="450"/>
        <v>0</v>
      </c>
      <c r="AX2645" s="53">
        <f t="shared" si="444"/>
        <v>1886000000</v>
      </c>
      <c r="AY2645" s="41" t="s">
        <v>557</v>
      </c>
    </row>
    <row r="2646" spans="1:51" x14ac:dyDescent="0.2">
      <c r="A2646" s="86" t="s">
        <v>695</v>
      </c>
      <c r="B2646" s="41">
        <v>2007</v>
      </c>
      <c r="C2646" s="41" t="s">
        <v>87</v>
      </c>
      <c r="D2646" s="41" t="s">
        <v>110</v>
      </c>
      <c r="E2646" s="41">
        <v>100</v>
      </c>
      <c r="F2646" s="41" t="s">
        <v>643</v>
      </c>
      <c r="G2646" s="53">
        <v>15970000</v>
      </c>
      <c r="H2646" s="42">
        <v>0.57741577958672508</v>
      </c>
      <c r="I2646" s="41">
        <v>0.14000000000000001</v>
      </c>
      <c r="J2646" s="41">
        <v>5</v>
      </c>
      <c r="K2646" s="42">
        <v>1.0135671049885201E-2</v>
      </c>
      <c r="S2646" s="53">
        <v>63885</v>
      </c>
      <c r="T2646" s="53">
        <v>1117.9000000000001</v>
      </c>
      <c r="U2646" s="53">
        <v>39925</v>
      </c>
      <c r="W2646" s="53">
        <v>1214</v>
      </c>
      <c r="AM2646" s="53">
        <v>28975000</v>
      </c>
      <c r="AO2646" s="53">
        <f t="shared" si="450"/>
        <v>9221330</v>
      </c>
      <c r="AP2646" s="53">
        <f t="shared" si="450"/>
        <v>2235800</v>
      </c>
      <c r="AQ2646" s="53">
        <f t="shared" si="450"/>
        <v>79850000</v>
      </c>
      <c r="AR2646" s="53">
        <f t="shared" si="450"/>
        <v>161866.66666666666</v>
      </c>
      <c r="AS2646" s="53">
        <f t="shared" si="450"/>
        <v>0</v>
      </c>
      <c r="AT2646" s="53">
        <f t="shared" si="450"/>
        <v>0</v>
      </c>
      <c r="AU2646" s="53">
        <f t="shared" si="450"/>
        <v>0</v>
      </c>
      <c r="AV2646" s="53">
        <f t="shared" si="450"/>
        <v>0</v>
      </c>
      <c r="AW2646" s="53">
        <f t="shared" si="450"/>
        <v>0</v>
      </c>
      <c r="AX2646" s="53">
        <f t="shared" si="444"/>
        <v>1597000000</v>
      </c>
      <c r="AY2646" s="41" t="s">
        <v>557</v>
      </c>
    </row>
    <row r="2647" spans="1:51" x14ac:dyDescent="0.2">
      <c r="A2647" s="86" t="s">
        <v>695</v>
      </c>
      <c r="B2647" s="41">
        <v>2008</v>
      </c>
      <c r="C2647" s="41" t="s">
        <v>87</v>
      </c>
      <c r="D2647" s="41" t="s">
        <v>110</v>
      </c>
      <c r="E2647" s="41">
        <v>100</v>
      </c>
      <c r="F2647" s="41" t="s">
        <v>643</v>
      </c>
      <c r="G2647" s="53">
        <v>12630000</v>
      </c>
      <c r="H2647" s="46">
        <v>0.61875692794932702</v>
      </c>
      <c r="I2647" s="41">
        <v>0.14000000000000001</v>
      </c>
      <c r="J2647" s="41">
        <v>5</v>
      </c>
      <c r="K2647" s="42">
        <v>9.2055951438374233E-3</v>
      </c>
      <c r="S2647" s="53">
        <v>42682</v>
      </c>
      <c r="T2647" s="53">
        <v>884.10000000000014</v>
      </c>
      <c r="U2647" s="53">
        <v>31575</v>
      </c>
      <c r="W2647" s="41">
        <v>872</v>
      </c>
      <c r="AM2647" s="53">
        <v>23833000</v>
      </c>
      <c r="AO2647" s="53">
        <f t="shared" si="450"/>
        <v>7814900</v>
      </c>
      <c r="AP2647" s="53">
        <f t="shared" si="450"/>
        <v>1768200.0000000002</v>
      </c>
      <c r="AQ2647" s="53">
        <f t="shared" si="450"/>
        <v>63150000</v>
      </c>
      <c r="AR2647" s="53">
        <f t="shared" si="450"/>
        <v>116266.66666666666</v>
      </c>
      <c r="AS2647" s="53">
        <f t="shared" si="450"/>
        <v>0</v>
      </c>
      <c r="AT2647" s="53">
        <f t="shared" si="450"/>
        <v>0</v>
      </c>
      <c r="AU2647" s="53">
        <f t="shared" si="450"/>
        <v>0</v>
      </c>
      <c r="AV2647" s="53">
        <f t="shared" si="450"/>
        <v>0</v>
      </c>
      <c r="AW2647" s="53">
        <f t="shared" si="450"/>
        <v>0</v>
      </c>
      <c r="AX2647" s="53">
        <f t="shared" si="444"/>
        <v>1263000000</v>
      </c>
      <c r="AY2647" s="41" t="s">
        <v>557</v>
      </c>
    </row>
    <row r="2648" spans="1:51" x14ac:dyDescent="0.2">
      <c r="A2648" s="86" t="s">
        <v>695</v>
      </c>
      <c r="B2648" s="41">
        <v>2009</v>
      </c>
      <c r="C2648" s="41" t="s">
        <v>87</v>
      </c>
      <c r="D2648" s="41" t="s">
        <v>110</v>
      </c>
      <c r="E2648" s="41">
        <v>100</v>
      </c>
      <c r="F2648" s="41" t="s">
        <v>643</v>
      </c>
      <c r="G2648" s="53">
        <v>16480000</v>
      </c>
      <c r="H2648" s="46">
        <v>0.55182038834951452</v>
      </c>
      <c r="I2648" s="41">
        <v>0.14000000000000001</v>
      </c>
      <c r="J2648" s="41">
        <v>5</v>
      </c>
      <c r="K2648" s="42">
        <v>9.2799352750809073E-3</v>
      </c>
      <c r="S2648" s="53">
        <v>65462</v>
      </c>
      <c r="T2648" s="53">
        <v>1153.5999999999999</v>
      </c>
      <c r="U2648" s="53">
        <v>41200</v>
      </c>
      <c r="W2648" s="53">
        <v>1147</v>
      </c>
      <c r="AM2648" s="53">
        <v>24656000</v>
      </c>
      <c r="AO2648" s="53">
        <f t="shared" si="450"/>
        <v>9094000</v>
      </c>
      <c r="AP2648" s="53">
        <f t="shared" si="450"/>
        <v>2307200</v>
      </c>
      <c r="AQ2648" s="53">
        <f t="shared" si="450"/>
        <v>82400000</v>
      </c>
      <c r="AR2648" s="53">
        <f t="shared" si="450"/>
        <v>152933.33333333334</v>
      </c>
      <c r="AS2648" s="53">
        <f t="shared" si="450"/>
        <v>0</v>
      </c>
      <c r="AT2648" s="53">
        <f t="shared" si="450"/>
        <v>0</v>
      </c>
      <c r="AU2648" s="53">
        <f t="shared" si="450"/>
        <v>0</v>
      </c>
      <c r="AV2648" s="53">
        <f t="shared" si="450"/>
        <v>0</v>
      </c>
      <c r="AW2648" s="53">
        <f t="shared" si="450"/>
        <v>0</v>
      </c>
      <c r="AX2648" s="53">
        <f t="shared" si="444"/>
        <v>1648000000</v>
      </c>
      <c r="AY2648" s="41" t="s">
        <v>557</v>
      </c>
    </row>
    <row r="2649" spans="1:51" x14ac:dyDescent="0.2">
      <c r="A2649" s="86" t="s">
        <v>695</v>
      </c>
      <c r="B2649" s="41">
        <v>2010</v>
      </c>
      <c r="C2649" s="41" t="s">
        <v>87</v>
      </c>
      <c r="D2649" s="41" t="s">
        <v>110</v>
      </c>
      <c r="E2649" s="41">
        <v>100</v>
      </c>
      <c r="F2649" s="41" t="s">
        <v>643</v>
      </c>
      <c r="G2649" s="53">
        <v>16500000</v>
      </c>
      <c r="H2649" s="46">
        <v>0.60909090909090913</v>
      </c>
      <c r="I2649" s="46">
        <v>0.14933333333333335</v>
      </c>
      <c r="J2649" s="47">
        <v>4.9516363636363634</v>
      </c>
      <c r="K2649" s="42">
        <v>8.4363636363636359E-3</v>
      </c>
      <c r="S2649" s="53">
        <v>76184</v>
      </c>
      <c r="T2649" s="53">
        <v>1232</v>
      </c>
      <c r="U2649" s="53">
        <v>40851</v>
      </c>
      <c r="W2649" s="53">
        <v>1044</v>
      </c>
      <c r="AM2649" s="53">
        <v>31718000</v>
      </c>
      <c r="AO2649" s="53">
        <f t="shared" si="450"/>
        <v>10050000</v>
      </c>
      <c r="AP2649" s="53">
        <f t="shared" si="450"/>
        <v>2464000</v>
      </c>
      <c r="AQ2649" s="53">
        <f t="shared" si="450"/>
        <v>81702000</v>
      </c>
      <c r="AR2649" s="53">
        <f t="shared" si="450"/>
        <v>139200</v>
      </c>
      <c r="AS2649" s="53">
        <f t="shared" si="450"/>
        <v>0</v>
      </c>
      <c r="AT2649" s="53">
        <f t="shared" si="450"/>
        <v>0</v>
      </c>
      <c r="AU2649" s="53">
        <f t="shared" si="450"/>
        <v>0</v>
      </c>
      <c r="AV2649" s="53">
        <f t="shared" si="450"/>
        <v>0</v>
      </c>
      <c r="AW2649" s="53">
        <f t="shared" si="450"/>
        <v>0</v>
      </c>
      <c r="AX2649" s="53">
        <f t="shared" si="444"/>
        <v>1650000000</v>
      </c>
      <c r="AY2649" s="41" t="s">
        <v>557</v>
      </c>
    </row>
    <row r="2650" spans="1:51" x14ac:dyDescent="0.2">
      <c r="A2650" s="86" t="s">
        <v>695</v>
      </c>
      <c r="B2650" s="41">
        <v>2011</v>
      </c>
      <c r="C2650" s="41" t="s">
        <v>87</v>
      </c>
      <c r="D2650" s="41" t="s">
        <v>110</v>
      </c>
      <c r="E2650" s="41">
        <v>100</v>
      </c>
      <c r="F2650" s="41" t="s">
        <v>643</v>
      </c>
      <c r="G2650" s="53">
        <v>15400000</v>
      </c>
      <c r="H2650" s="46">
        <v>0.58461038961038958</v>
      </c>
      <c r="I2650" s="46">
        <v>0.1351948051948052</v>
      </c>
      <c r="J2650" s="47">
        <v>5.4109090909090911</v>
      </c>
      <c r="K2650" s="42">
        <v>8.8658008658008668E-3</v>
      </c>
      <c r="S2650" s="53">
        <v>69046</v>
      </c>
      <c r="T2650" s="53">
        <v>1041</v>
      </c>
      <c r="U2650" s="53">
        <v>41664</v>
      </c>
      <c r="W2650" s="53">
        <v>1024</v>
      </c>
      <c r="AH2650" s="53">
        <v>10305570</v>
      </c>
      <c r="AI2650" s="53">
        <v>5079000</v>
      </c>
      <c r="AM2650" s="53">
        <v>44736000</v>
      </c>
      <c r="AO2650" s="53">
        <f t="shared" si="450"/>
        <v>9003000</v>
      </c>
      <c r="AP2650" s="53">
        <f t="shared" si="450"/>
        <v>2082000</v>
      </c>
      <c r="AQ2650" s="53">
        <f t="shared" si="450"/>
        <v>83328000</v>
      </c>
      <c r="AR2650" s="53">
        <f t="shared" si="450"/>
        <v>136533.33333333334</v>
      </c>
      <c r="AS2650" s="53">
        <f t="shared" si="450"/>
        <v>0</v>
      </c>
      <c r="AT2650" s="53">
        <f t="shared" si="450"/>
        <v>0</v>
      </c>
      <c r="AU2650" s="53">
        <f t="shared" si="450"/>
        <v>0</v>
      </c>
      <c r="AV2650" s="53">
        <f t="shared" si="450"/>
        <v>0</v>
      </c>
      <c r="AW2650" s="53">
        <f t="shared" si="450"/>
        <v>0</v>
      </c>
      <c r="AX2650" s="53">
        <f t="shared" si="444"/>
        <v>1540000000</v>
      </c>
      <c r="AY2650" s="41" t="s">
        <v>557</v>
      </c>
    </row>
    <row r="2651" spans="1:51" x14ac:dyDescent="0.2">
      <c r="A2651" s="86" t="s">
        <v>695</v>
      </c>
      <c r="B2651" s="41">
        <v>2012</v>
      </c>
      <c r="C2651" s="41" t="s">
        <v>87</v>
      </c>
      <c r="D2651" s="41" t="s">
        <v>110</v>
      </c>
      <c r="E2651" s="41">
        <v>100</v>
      </c>
      <c r="F2651" s="41" t="s">
        <v>643</v>
      </c>
      <c r="G2651" s="53">
        <v>17543840.022374496</v>
      </c>
      <c r="H2651" s="46">
        <v>0.5</v>
      </c>
      <c r="I2651" s="41">
        <v>0.14000000000000001</v>
      </c>
      <c r="J2651" s="41">
        <v>5</v>
      </c>
      <c r="K2651" s="41">
        <v>8.9999999999999993E-3</v>
      </c>
      <c r="S2651" s="53">
        <v>62728</v>
      </c>
      <c r="T2651" s="53">
        <v>1228.0688015662147</v>
      </c>
      <c r="U2651" s="53">
        <v>43859.600055936236</v>
      </c>
      <c r="W2651" s="53">
        <v>1184.2092015102785</v>
      </c>
      <c r="AH2651" s="53">
        <v>10242000</v>
      </c>
      <c r="AI2651" s="53">
        <v>5431000</v>
      </c>
      <c r="AM2651" s="53">
        <v>44829000</v>
      </c>
      <c r="AO2651" s="53">
        <f t="shared" si="450"/>
        <v>8771920.0111872479</v>
      </c>
      <c r="AP2651" s="53">
        <f t="shared" si="450"/>
        <v>2456137.6031324295</v>
      </c>
      <c r="AQ2651" s="53">
        <f t="shared" si="450"/>
        <v>87719200.111872479</v>
      </c>
      <c r="AR2651" s="53">
        <f t="shared" si="450"/>
        <v>157894.56020137045</v>
      </c>
      <c r="AS2651" s="53">
        <f t="shared" si="450"/>
        <v>0</v>
      </c>
      <c r="AT2651" s="53">
        <f t="shared" si="450"/>
        <v>0</v>
      </c>
      <c r="AU2651" s="53">
        <f t="shared" si="450"/>
        <v>0</v>
      </c>
      <c r="AV2651" s="53">
        <f t="shared" si="450"/>
        <v>0</v>
      </c>
      <c r="AW2651" s="53">
        <f t="shared" si="450"/>
        <v>0</v>
      </c>
      <c r="AX2651" s="53">
        <f t="shared" si="444"/>
        <v>1754384002.2374496</v>
      </c>
      <c r="AY2651" s="41" t="s">
        <v>557</v>
      </c>
    </row>
    <row r="2652" spans="1:51" x14ac:dyDescent="0.2">
      <c r="A2652" s="86" t="s">
        <v>695</v>
      </c>
      <c r="B2652" s="41">
        <v>2013</v>
      </c>
      <c r="C2652" s="41" t="s">
        <v>87</v>
      </c>
      <c r="D2652" s="41" t="s">
        <v>110</v>
      </c>
      <c r="E2652" s="41">
        <v>100</v>
      </c>
      <c r="F2652" s="41" t="s">
        <v>643</v>
      </c>
      <c r="G2652" s="53">
        <v>13200000</v>
      </c>
      <c r="H2652" s="47">
        <v>0.52651515151515149</v>
      </c>
      <c r="I2652" s="46">
        <v>0.13772727272727273</v>
      </c>
      <c r="J2652" s="47">
        <v>4.1321212121212119</v>
      </c>
      <c r="K2652" s="42">
        <v>9.0707070707070712E-3</v>
      </c>
      <c r="S2652" s="53">
        <v>54242</v>
      </c>
      <c r="T2652" s="41">
        <v>909</v>
      </c>
      <c r="U2652" s="53">
        <v>27272</v>
      </c>
      <c r="W2652" s="41">
        <v>898</v>
      </c>
      <c r="AH2652" s="53">
        <v>8886000</v>
      </c>
      <c r="AI2652" s="53">
        <v>4965000</v>
      </c>
      <c r="AM2652" s="53">
        <v>32709000</v>
      </c>
      <c r="AO2652" s="53">
        <f t="shared" si="450"/>
        <v>6950000</v>
      </c>
      <c r="AP2652" s="53">
        <f t="shared" si="450"/>
        <v>1818000</v>
      </c>
      <c r="AQ2652" s="53">
        <f t="shared" si="450"/>
        <v>54544000</v>
      </c>
      <c r="AR2652" s="53">
        <f t="shared" si="450"/>
        <v>119733.33333333334</v>
      </c>
      <c r="AS2652" s="53">
        <f t="shared" si="450"/>
        <v>0</v>
      </c>
      <c r="AT2652" s="53">
        <f t="shared" si="450"/>
        <v>0</v>
      </c>
      <c r="AU2652" s="53">
        <f t="shared" si="450"/>
        <v>0</v>
      </c>
      <c r="AV2652" s="53">
        <f t="shared" si="450"/>
        <v>0</v>
      </c>
      <c r="AW2652" s="53">
        <f t="shared" si="450"/>
        <v>0</v>
      </c>
      <c r="AX2652" s="53">
        <f t="shared" si="444"/>
        <v>1320000000</v>
      </c>
      <c r="AY2652" s="41" t="s">
        <v>557</v>
      </c>
    </row>
    <row r="2653" spans="1:51" x14ac:dyDescent="0.2">
      <c r="A2653" s="86" t="s">
        <v>695</v>
      </c>
      <c r="B2653" s="41">
        <v>2014</v>
      </c>
      <c r="C2653" s="41" t="s">
        <v>87</v>
      </c>
      <c r="D2653" s="41" t="s">
        <v>110</v>
      </c>
      <c r="E2653" s="41">
        <v>100</v>
      </c>
      <c r="F2653" s="41" t="s">
        <v>643</v>
      </c>
      <c r="G2653" s="53">
        <v>12802523.766973447</v>
      </c>
      <c r="H2653" s="41">
        <v>0.59</v>
      </c>
      <c r="I2653" s="46">
        <v>0.17137246061279274</v>
      </c>
      <c r="J2653" s="47">
        <v>6.8639591380172176</v>
      </c>
      <c r="K2653" s="42">
        <v>7.6026676540467157E-3</v>
      </c>
      <c r="S2653" s="53">
        <v>54015</v>
      </c>
      <c r="T2653" s="53">
        <v>1097</v>
      </c>
      <c r="U2653" s="53">
        <v>43938</v>
      </c>
      <c r="W2653" s="41">
        <v>730</v>
      </c>
      <c r="AH2653" s="53">
        <v>9253000</v>
      </c>
      <c r="AI2653" s="53">
        <v>991000</v>
      </c>
      <c r="AM2653" s="53">
        <v>22473000</v>
      </c>
      <c r="AO2653" s="53">
        <f t="shared" si="450"/>
        <v>7553489.022514333</v>
      </c>
      <c r="AP2653" s="53">
        <f t="shared" si="450"/>
        <v>2194000</v>
      </c>
      <c r="AQ2653" s="53">
        <f t="shared" si="450"/>
        <v>87876000</v>
      </c>
      <c r="AR2653" s="53">
        <f t="shared" si="450"/>
        <v>97333.333333333343</v>
      </c>
      <c r="AS2653" s="53">
        <f t="shared" si="450"/>
        <v>0</v>
      </c>
      <c r="AT2653" s="53">
        <f t="shared" si="450"/>
        <v>0</v>
      </c>
      <c r="AU2653" s="53">
        <f t="shared" si="450"/>
        <v>0</v>
      </c>
      <c r="AV2653" s="53">
        <f t="shared" si="450"/>
        <v>0</v>
      </c>
      <c r="AW2653" s="53">
        <f t="shared" si="450"/>
        <v>0</v>
      </c>
      <c r="AX2653" s="53">
        <f t="shared" si="444"/>
        <v>1280252376.6973448</v>
      </c>
      <c r="AY2653" s="41" t="s">
        <v>557</v>
      </c>
    </row>
    <row r="2654" spans="1:51" x14ac:dyDescent="0.2">
      <c r="A2654" s="86" t="s">
        <v>695</v>
      </c>
      <c r="B2654" s="41">
        <v>2015</v>
      </c>
      <c r="C2654" s="41" t="s">
        <v>87</v>
      </c>
      <c r="D2654" s="41" t="s">
        <v>110</v>
      </c>
      <c r="E2654" s="41">
        <v>100</v>
      </c>
      <c r="F2654" s="41" t="s">
        <v>643</v>
      </c>
      <c r="G2654" s="53">
        <v>11918833.582347704</v>
      </c>
      <c r="H2654" s="41">
        <v>0.56999999999999995</v>
      </c>
      <c r="I2654" s="46">
        <v>0.10000978634061997</v>
      </c>
      <c r="J2654" s="47">
        <v>6.375959482524391</v>
      </c>
      <c r="K2654" s="42">
        <v>9.2626513523527219E-3</v>
      </c>
      <c r="S2654" s="53">
        <v>48582</v>
      </c>
      <c r="T2654" s="41">
        <v>596</v>
      </c>
      <c r="U2654" s="53">
        <v>37997</v>
      </c>
      <c r="W2654" s="41">
        <v>828</v>
      </c>
      <c r="AH2654" s="53">
        <v>8164000</v>
      </c>
      <c r="AI2654" s="53">
        <v>17000</v>
      </c>
      <c r="AM2654" s="53">
        <v>22385000</v>
      </c>
      <c r="AO2654" s="53">
        <f t="shared" si="450"/>
        <v>6793735.1419381909</v>
      </c>
      <c r="AP2654" s="53">
        <f t="shared" si="450"/>
        <v>1192000</v>
      </c>
      <c r="AQ2654" s="53">
        <f t="shared" si="450"/>
        <v>75994000</v>
      </c>
      <c r="AR2654" s="53">
        <f t="shared" si="450"/>
        <v>110400</v>
      </c>
      <c r="AS2654" s="53">
        <f t="shared" si="450"/>
        <v>0</v>
      </c>
      <c r="AT2654" s="53">
        <f t="shared" si="450"/>
        <v>0</v>
      </c>
      <c r="AU2654" s="53">
        <f t="shared" si="450"/>
        <v>0</v>
      </c>
      <c r="AV2654" s="53">
        <f t="shared" si="450"/>
        <v>0</v>
      </c>
      <c r="AW2654" s="53">
        <f t="shared" si="450"/>
        <v>0</v>
      </c>
      <c r="AX2654" s="53">
        <f t="shared" si="444"/>
        <v>1191883358.2347703</v>
      </c>
      <c r="AY2654" s="41" t="s">
        <v>557</v>
      </c>
    </row>
    <row r="2655" spans="1:51" x14ac:dyDescent="0.2">
      <c r="A2655" s="86" t="s">
        <v>695</v>
      </c>
      <c r="B2655" s="41">
        <v>2016</v>
      </c>
      <c r="C2655" s="41" t="s">
        <v>87</v>
      </c>
      <c r="D2655" s="41" t="s">
        <v>110</v>
      </c>
      <c r="E2655" s="41">
        <v>100</v>
      </c>
      <c r="F2655" s="41" t="s">
        <v>643</v>
      </c>
      <c r="G2655" s="53">
        <v>15203468.046427071</v>
      </c>
      <c r="H2655" s="41">
        <v>0.55000000000000004</v>
      </c>
      <c r="I2655" s="41">
        <v>0.14000000000000001</v>
      </c>
      <c r="J2655" s="41">
        <v>5</v>
      </c>
      <c r="K2655" s="42">
        <v>7.9104758400784913E-3</v>
      </c>
      <c r="S2655" s="53">
        <v>59796</v>
      </c>
      <c r="T2655" s="53">
        <v>1064.242763249895</v>
      </c>
      <c r="U2655" s="53">
        <v>38008.670116067675</v>
      </c>
      <c r="W2655" s="41">
        <v>902</v>
      </c>
      <c r="AH2655" s="53">
        <v>10140000</v>
      </c>
      <c r="AI2655" s="53">
        <v>2754000</v>
      </c>
      <c r="AM2655" s="53">
        <v>17561000</v>
      </c>
      <c r="AO2655" s="53">
        <f t="shared" si="450"/>
        <v>8361907.42553489</v>
      </c>
      <c r="AP2655" s="53">
        <f t="shared" si="450"/>
        <v>2128485.5264997901</v>
      </c>
      <c r="AQ2655" s="53">
        <f t="shared" si="450"/>
        <v>76017340.232135355</v>
      </c>
      <c r="AR2655" s="53">
        <f t="shared" si="450"/>
        <v>120266.66666666669</v>
      </c>
      <c r="AS2655" s="53">
        <f t="shared" si="450"/>
        <v>0</v>
      </c>
      <c r="AT2655" s="53">
        <f t="shared" si="450"/>
        <v>0</v>
      </c>
      <c r="AU2655" s="53">
        <f t="shared" si="450"/>
        <v>0</v>
      </c>
      <c r="AV2655" s="53">
        <f t="shared" si="450"/>
        <v>0</v>
      </c>
      <c r="AW2655" s="53">
        <f t="shared" si="450"/>
        <v>0</v>
      </c>
      <c r="AX2655" s="53">
        <f t="shared" si="444"/>
        <v>1520346804.6427071</v>
      </c>
      <c r="AY2655" s="41" t="s">
        <v>557</v>
      </c>
    </row>
    <row r="2656" spans="1:51" x14ac:dyDescent="0.2">
      <c r="A2656" s="86" t="s">
        <v>695</v>
      </c>
      <c r="B2656" s="60" t="s">
        <v>248</v>
      </c>
      <c r="C2656" s="60" t="s">
        <v>87</v>
      </c>
      <c r="D2656" s="60" t="s">
        <v>110</v>
      </c>
      <c r="E2656" s="60">
        <v>100</v>
      </c>
      <c r="F2656" s="60" t="s">
        <v>643</v>
      </c>
      <c r="G2656" s="79">
        <f>AVERAGE(G2641:G2655)</f>
        <v>15577841.507514533</v>
      </c>
      <c r="H2656" s="80">
        <f>AO2656/SUM($G2641:$G2655)</f>
        <v>0.58804151463651455</v>
      </c>
      <c r="I2656" s="80">
        <f>AP2656/SUM($G2641:$G2655)</f>
        <v>0.13989305309556566</v>
      </c>
      <c r="J2656" s="78">
        <f>AQ2656/SUM($G2641:$G2655)</f>
        <v>5.1469489562544357</v>
      </c>
      <c r="K2656" s="89">
        <f>AR2656/SUM($G2641:$G2655)</f>
        <v>9.1532916268832355E-3</v>
      </c>
      <c r="S2656" s="79">
        <f>AVERAGE(S2641:S2655)</f>
        <v>65503.666666666664</v>
      </c>
      <c r="T2656" s="79">
        <f>AVERAGE(T2641:T2655)</f>
        <v>1089.6159045625186</v>
      </c>
      <c r="U2656" s="79">
        <f>AVERAGE(U2641:U2655)</f>
        <v>40089.177543899474</v>
      </c>
      <c r="W2656" s="79">
        <f>AVERAGE(W2641:W2655)</f>
        <v>1069.4139467673519</v>
      </c>
      <c r="AH2656" s="79">
        <f>AVERAGE(AH2641:AH2655)</f>
        <v>9498428.333333334</v>
      </c>
      <c r="AI2656" s="79">
        <f>AVERAGE(AI2641:AI2655)</f>
        <v>3206166.6666666665</v>
      </c>
      <c r="AM2656" s="79">
        <f>AVERAGE(AM2641:AM2655)</f>
        <v>26406849.908900954</v>
      </c>
      <c r="AO2656" s="79">
        <f>SUM(AO2641:AO2655)</f>
        <v>137406262.72269616</v>
      </c>
      <c r="AP2656" s="79">
        <f t="shared" ref="AP2656:AX2656" si="451">SUM(AP2641:AP2655)</f>
        <v>32688477.136875555</v>
      </c>
      <c r="AQ2656" s="79">
        <f t="shared" si="451"/>
        <v>1202675326.3169842</v>
      </c>
      <c r="AR2656" s="79">
        <f t="shared" si="451"/>
        <v>2138827.8935347032</v>
      </c>
      <c r="AS2656" s="79">
        <f t="shared" si="451"/>
        <v>0</v>
      </c>
      <c r="AT2656" s="79">
        <f t="shared" si="451"/>
        <v>0</v>
      </c>
      <c r="AU2656" s="79">
        <f t="shared" si="451"/>
        <v>0</v>
      </c>
      <c r="AV2656" s="79">
        <f t="shared" si="451"/>
        <v>0</v>
      </c>
      <c r="AW2656" s="79">
        <f t="shared" si="451"/>
        <v>0</v>
      </c>
      <c r="AX2656" s="79">
        <f t="shared" si="451"/>
        <v>23366762261.271801</v>
      </c>
      <c r="AY2656" s="41" t="s">
        <v>557</v>
      </c>
    </row>
    <row r="2657" spans="1:51" x14ac:dyDescent="0.2">
      <c r="A2657" s="86" t="s">
        <v>695</v>
      </c>
      <c r="B2657" s="43" t="s">
        <v>560</v>
      </c>
      <c r="G2657" s="53">
        <f>STDEV(G2641:G2655)</f>
        <v>2080647.1756906381</v>
      </c>
      <c r="H2657" s="46">
        <f>STDEV(H2641:H2655)</f>
        <v>4.7077210318544893E-2</v>
      </c>
      <c r="I2657" s="46">
        <f>STDEV(I2641:I2655)</f>
        <v>1.3877309704032186E-2</v>
      </c>
      <c r="J2657" s="47">
        <f>STDEV(J2641:J2655)</f>
        <v>0.6432882397888906</v>
      </c>
      <c r="K2657" s="42">
        <f>STDEV(K2641:K2655)</f>
        <v>7.1908093235969063E-4</v>
      </c>
      <c r="S2657" s="53">
        <f>STDEV(S2641:S2655)</f>
        <v>11840.511461362927</v>
      </c>
      <c r="T2657" s="53">
        <f>STDEV(T2641:T2655)</f>
        <v>181.56501698331769</v>
      </c>
      <c r="U2657" s="53">
        <f>STDEV(U2641:U2655)</f>
        <v>5068.0236090331591</v>
      </c>
      <c r="W2657" s="53">
        <f>STDEV(W2641:W2655)</f>
        <v>186.27468002038279</v>
      </c>
      <c r="AH2657" s="53">
        <f>STDEV(AH2641:AH2655)</f>
        <v>875441.96884583205</v>
      </c>
      <c r="AI2657" s="53">
        <f>STDEV(AI2641:AI2655)</f>
        <v>2316595.9869313999</v>
      </c>
      <c r="AM2657" s="53">
        <f>STDEV(AM2641:AM2655)</f>
        <v>8671649.9953821022</v>
      </c>
      <c r="AY2657" s="41" t="s">
        <v>557</v>
      </c>
    </row>
    <row r="2658" spans="1:51" x14ac:dyDescent="0.2">
      <c r="A2658" s="86" t="s">
        <v>695</v>
      </c>
      <c r="B2658" s="81" t="s">
        <v>249</v>
      </c>
      <c r="G2658" s="41">
        <f>COUNT(G2641:G2655)</f>
        <v>15</v>
      </c>
      <c r="H2658" s="41">
        <f>COUNT(H2641:H2655)</f>
        <v>15</v>
      </c>
      <c r="I2658" s="41">
        <f>COUNT(I2641:I2655)</f>
        <v>15</v>
      </c>
      <c r="J2658" s="41">
        <f>COUNT(J2641:J2655)</f>
        <v>15</v>
      </c>
      <c r="K2658" s="41">
        <f>COUNT(K2641:K2655)</f>
        <v>15</v>
      </c>
      <c r="S2658" s="41">
        <f>COUNT(S2641:S2655)</f>
        <v>15</v>
      </c>
      <c r="T2658" s="41">
        <f>COUNT(T2641:T2655)</f>
        <v>15</v>
      </c>
      <c r="U2658" s="41">
        <f>COUNT(U2641:U2655)</f>
        <v>15</v>
      </c>
      <c r="W2658" s="41">
        <f>COUNT(W2641:W2655)</f>
        <v>15</v>
      </c>
      <c r="AH2658" s="41">
        <f>COUNT(AH2641:AH2655)</f>
        <v>6</v>
      </c>
      <c r="AI2658" s="41">
        <f>COUNT(AI2641:AI2655)</f>
        <v>6</v>
      </c>
      <c r="AM2658" s="41">
        <f>COUNT(AM2641:AM2655)</f>
        <v>15</v>
      </c>
      <c r="AY2658" s="41" t="s">
        <v>557</v>
      </c>
    </row>
    <row r="2659" spans="1:51" x14ac:dyDescent="0.2">
      <c r="A2659" s="82"/>
      <c r="B2659" s="82"/>
      <c r="C2659" s="82"/>
      <c r="D2659" s="82"/>
      <c r="E2659" s="82"/>
      <c r="F2659" s="82"/>
      <c r="G2659" s="82"/>
      <c r="H2659" s="82"/>
      <c r="I2659" s="82"/>
      <c r="J2659" s="82"/>
      <c r="K2659" s="82"/>
      <c r="L2659" s="82"/>
      <c r="M2659" s="82"/>
      <c r="N2659" s="82"/>
      <c r="O2659" s="82"/>
      <c r="P2659" s="82"/>
      <c r="Q2659" s="82"/>
      <c r="R2659" s="82"/>
      <c r="S2659" s="82"/>
      <c r="T2659" s="82"/>
      <c r="U2659" s="82"/>
      <c r="V2659" s="82"/>
      <c r="W2659" s="82"/>
      <c r="X2659" s="82"/>
      <c r="Y2659" s="82"/>
      <c r="Z2659" s="82"/>
      <c r="AA2659" s="82"/>
      <c r="AB2659" s="82"/>
      <c r="AC2659" s="82"/>
      <c r="AD2659" s="82"/>
      <c r="AE2659" s="82"/>
      <c r="AF2659" s="82"/>
      <c r="AG2659" s="82"/>
      <c r="AH2659" s="82"/>
      <c r="AI2659" s="82"/>
      <c r="AJ2659" s="82"/>
      <c r="AK2659" s="82"/>
      <c r="AL2659" s="82"/>
      <c r="AM2659" s="82"/>
      <c r="AN2659" s="82"/>
      <c r="AO2659" s="82"/>
      <c r="AP2659" s="82"/>
      <c r="AQ2659" s="82"/>
      <c r="AR2659" s="82"/>
      <c r="AS2659" s="82"/>
      <c r="AT2659" s="82"/>
      <c r="AU2659" s="82"/>
      <c r="AV2659" s="82"/>
      <c r="AW2659" s="82"/>
      <c r="AX2659" s="82"/>
      <c r="AY2659" s="41" t="s">
        <v>557</v>
      </c>
    </row>
    <row r="2660" spans="1:51" x14ac:dyDescent="0.2">
      <c r="A2660" s="41" t="s">
        <v>189</v>
      </c>
      <c r="B2660" s="41">
        <v>2004</v>
      </c>
      <c r="C2660" s="41" t="s">
        <v>87</v>
      </c>
      <c r="D2660" s="41" t="s">
        <v>175</v>
      </c>
      <c r="E2660" s="41">
        <v>100</v>
      </c>
      <c r="F2660" s="41" t="s">
        <v>9</v>
      </c>
      <c r="AM2660" s="53">
        <v>558394</v>
      </c>
      <c r="AO2660" s="53">
        <f t="shared" ref="AO2660:AW2672" si="452">$G2660*H2660</f>
        <v>0</v>
      </c>
      <c r="AP2660" s="53">
        <f t="shared" si="452"/>
        <v>0</v>
      </c>
      <c r="AQ2660" s="53">
        <f t="shared" si="452"/>
        <v>0</v>
      </c>
      <c r="AR2660" s="53">
        <f t="shared" si="452"/>
        <v>0</v>
      </c>
      <c r="AS2660" s="53">
        <f t="shared" si="452"/>
        <v>0</v>
      </c>
      <c r="AT2660" s="53">
        <f t="shared" si="452"/>
        <v>0</v>
      </c>
      <c r="AU2660" s="53">
        <f t="shared" si="452"/>
        <v>0</v>
      </c>
      <c r="AV2660" s="53">
        <f t="shared" si="452"/>
        <v>0</v>
      </c>
      <c r="AW2660" s="53">
        <f t="shared" si="452"/>
        <v>0</v>
      </c>
      <c r="AX2660" s="53">
        <f>$G2660*E2660</f>
        <v>0</v>
      </c>
      <c r="AY2660" s="41" t="s">
        <v>557</v>
      </c>
    </row>
    <row r="2661" spans="1:51" x14ac:dyDescent="0.2">
      <c r="A2661" s="41" t="s">
        <v>189</v>
      </c>
      <c r="B2661" s="41">
        <v>2005</v>
      </c>
      <c r="C2661" s="41" t="s">
        <v>87</v>
      </c>
      <c r="D2661" s="41" t="s">
        <v>175</v>
      </c>
      <c r="E2661" s="41">
        <v>100</v>
      </c>
      <c r="F2661" s="41" t="s">
        <v>9</v>
      </c>
      <c r="G2661" s="53">
        <v>643771</v>
      </c>
      <c r="H2661" s="59">
        <v>5.8</v>
      </c>
      <c r="S2661" s="53">
        <v>30480</v>
      </c>
      <c r="AM2661" s="53">
        <v>2269472.5</v>
      </c>
      <c r="AO2661" s="53">
        <f t="shared" si="452"/>
        <v>3733871.8</v>
      </c>
      <c r="AP2661" s="53">
        <f t="shared" si="452"/>
        <v>0</v>
      </c>
      <c r="AQ2661" s="53">
        <f t="shared" si="452"/>
        <v>0</v>
      </c>
      <c r="AR2661" s="53">
        <f t="shared" si="452"/>
        <v>0</v>
      </c>
      <c r="AS2661" s="53">
        <f t="shared" si="452"/>
        <v>0</v>
      </c>
      <c r="AT2661" s="53">
        <f t="shared" si="452"/>
        <v>0</v>
      </c>
      <c r="AU2661" s="53">
        <f t="shared" si="452"/>
        <v>0</v>
      </c>
      <c r="AV2661" s="53">
        <f t="shared" si="452"/>
        <v>0</v>
      </c>
      <c r="AW2661" s="53">
        <f t="shared" si="452"/>
        <v>0</v>
      </c>
      <c r="AX2661" s="53">
        <f t="shared" si="444"/>
        <v>64377100</v>
      </c>
      <c r="AY2661" s="41" t="s">
        <v>557</v>
      </c>
    </row>
    <row r="2662" spans="1:51" x14ac:dyDescent="0.2">
      <c r="A2662" s="41" t="s">
        <v>189</v>
      </c>
      <c r="B2662" s="41">
        <v>2006</v>
      </c>
      <c r="C2662" s="41" t="s">
        <v>87</v>
      </c>
      <c r="D2662" s="41" t="s">
        <v>175</v>
      </c>
      <c r="E2662" s="41">
        <v>100</v>
      </c>
      <c r="F2662" s="41" t="s">
        <v>9</v>
      </c>
      <c r="G2662" s="53">
        <v>1230619</v>
      </c>
      <c r="H2662" s="59">
        <v>5.56</v>
      </c>
      <c r="S2662" s="53">
        <v>60803</v>
      </c>
      <c r="AM2662" s="53">
        <v>3322671.3000000003</v>
      </c>
      <c r="AO2662" s="53">
        <f t="shared" si="452"/>
        <v>6842241.6399999997</v>
      </c>
      <c r="AP2662" s="53">
        <f t="shared" si="452"/>
        <v>0</v>
      </c>
      <c r="AQ2662" s="53">
        <f t="shared" si="452"/>
        <v>0</v>
      </c>
      <c r="AR2662" s="53">
        <f t="shared" si="452"/>
        <v>0</v>
      </c>
      <c r="AS2662" s="53">
        <f t="shared" si="452"/>
        <v>0</v>
      </c>
      <c r="AT2662" s="53">
        <f t="shared" si="452"/>
        <v>0</v>
      </c>
      <c r="AU2662" s="53">
        <f t="shared" si="452"/>
        <v>0</v>
      </c>
      <c r="AV2662" s="53">
        <f t="shared" si="452"/>
        <v>0</v>
      </c>
      <c r="AW2662" s="53">
        <f t="shared" si="452"/>
        <v>0</v>
      </c>
      <c r="AX2662" s="53">
        <f t="shared" si="444"/>
        <v>123061900</v>
      </c>
      <c r="AY2662" s="41" t="s">
        <v>557</v>
      </c>
    </row>
    <row r="2663" spans="1:51" x14ac:dyDescent="0.2">
      <c r="A2663" s="41" t="s">
        <v>189</v>
      </c>
      <c r="B2663" s="41">
        <v>2007</v>
      </c>
      <c r="C2663" s="41" t="s">
        <v>87</v>
      </c>
      <c r="D2663" s="41" t="s">
        <v>175</v>
      </c>
      <c r="E2663" s="41">
        <v>100</v>
      </c>
      <c r="F2663" s="41" t="s">
        <v>9</v>
      </c>
      <c r="G2663" s="53">
        <v>1225020</v>
      </c>
      <c r="H2663" s="59">
        <v>5.7</v>
      </c>
      <c r="S2663" s="53">
        <v>62541</v>
      </c>
      <c r="AM2663" s="53">
        <v>3185052</v>
      </c>
      <c r="AO2663" s="53">
        <f t="shared" si="452"/>
        <v>6982614</v>
      </c>
      <c r="AP2663" s="53">
        <f t="shared" si="452"/>
        <v>0</v>
      </c>
      <c r="AQ2663" s="53">
        <f t="shared" si="452"/>
        <v>0</v>
      </c>
      <c r="AR2663" s="53">
        <f t="shared" si="452"/>
        <v>0</v>
      </c>
      <c r="AS2663" s="53">
        <f t="shared" si="452"/>
        <v>0</v>
      </c>
      <c r="AT2663" s="53">
        <f t="shared" si="452"/>
        <v>0</v>
      </c>
      <c r="AU2663" s="53">
        <f t="shared" si="452"/>
        <v>0</v>
      </c>
      <c r="AV2663" s="53">
        <f t="shared" si="452"/>
        <v>0</v>
      </c>
      <c r="AW2663" s="53">
        <f t="shared" si="452"/>
        <v>0</v>
      </c>
      <c r="AX2663" s="53">
        <f t="shared" si="444"/>
        <v>122502000</v>
      </c>
      <c r="AY2663" s="41" t="s">
        <v>557</v>
      </c>
    </row>
    <row r="2664" spans="1:51" x14ac:dyDescent="0.2">
      <c r="A2664" s="41" t="s">
        <v>189</v>
      </c>
      <c r="B2664" s="41">
        <v>2008</v>
      </c>
      <c r="C2664" s="41" t="s">
        <v>87</v>
      </c>
      <c r="D2664" s="41" t="s">
        <v>175</v>
      </c>
      <c r="E2664" s="41">
        <v>100</v>
      </c>
      <c r="F2664" s="41" t="s">
        <v>9</v>
      </c>
      <c r="G2664" s="53">
        <v>1551067</v>
      </c>
      <c r="H2664" s="59">
        <v>5.3</v>
      </c>
      <c r="S2664" s="53">
        <v>64075</v>
      </c>
      <c r="AM2664" s="53">
        <v>6824694.8000000007</v>
      </c>
      <c r="AO2664" s="53">
        <f t="shared" si="452"/>
        <v>8220655.0999999996</v>
      </c>
      <c r="AP2664" s="53">
        <f t="shared" si="452"/>
        <v>0</v>
      </c>
      <c r="AQ2664" s="53">
        <f t="shared" si="452"/>
        <v>0</v>
      </c>
      <c r="AR2664" s="53">
        <f t="shared" si="452"/>
        <v>0</v>
      </c>
      <c r="AS2664" s="53">
        <f t="shared" si="452"/>
        <v>0</v>
      </c>
      <c r="AT2664" s="53">
        <f t="shared" si="452"/>
        <v>0</v>
      </c>
      <c r="AU2664" s="53">
        <f t="shared" si="452"/>
        <v>0</v>
      </c>
      <c r="AV2664" s="53">
        <f t="shared" si="452"/>
        <v>0</v>
      </c>
      <c r="AW2664" s="53">
        <f t="shared" si="452"/>
        <v>0</v>
      </c>
      <c r="AX2664" s="53">
        <f t="shared" si="444"/>
        <v>155106700</v>
      </c>
      <c r="AY2664" s="41" t="s">
        <v>557</v>
      </c>
    </row>
    <row r="2665" spans="1:51" x14ac:dyDescent="0.2">
      <c r="A2665" s="41" t="s">
        <v>189</v>
      </c>
      <c r="B2665" s="41">
        <v>2009</v>
      </c>
      <c r="C2665" s="41" t="s">
        <v>87</v>
      </c>
      <c r="D2665" s="41" t="s">
        <v>175</v>
      </c>
      <c r="E2665" s="41">
        <v>100</v>
      </c>
      <c r="F2665" s="41" t="s">
        <v>9</v>
      </c>
      <c r="G2665" s="53">
        <v>1405000</v>
      </c>
      <c r="H2665" s="59">
        <v>5.4</v>
      </c>
      <c r="S2665" s="53">
        <v>67561</v>
      </c>
      <c r="AM2665" s="53">
        <v>7787685</v>
      </c>
      <c r="AO2665" s="53">
        <f t="shared" si="452"/>
        <v>7587000.0000000009</v>
      </c>
      <c r="AP2665" s="53">
        <f t="shared" si="452"/>
        <v>0</v>
      </c>
      <c r="AQ2665" s="53">
        <f t="shared" si="452"/>
        <v>0</v>
      </c>
      <c r="AR2665" s="53">
        <f t="shared" si="452"/>
        <v>0</v>
      </c>
      <c r="AS2665" s="53">
        <f t="shared" si="452"/>
        <v>0</v>
      </c>
      <c r="AT2665" s="53">
        <f t="shared" si="452"/>
        <v>0</v>
      </c>
      <c r="AU2665" s="53">
        <f t="shared" si="452"/>
        <v>0</v>
      </c>
      <c r="AV2665" s="53">
        <f t="shared" si="452"/>
        <v>0</v>
      </c>
      <c r="AW2665" s="53">
        <f t="shared" si="452"/>
        <v>0</v>
      </c>
      <c r="AX2665" s="53">
        <f t="shared" si="444"/>
        <v>140500000</v>
      </c>
      <c r="AY2665" s="41" t="s">
        <v>557</v>
      </c>
    </row>
    <row r="2666" spans="1:51" x14ac:dyDescent="0.2">
      <c r="A2666" s="41" t="s">
        <v>189</v>
      </c>
      <c r="B2666" s="41">
        <v>2010</v>
      </c>
      <c r="C2666" s="41" t="s">
        <v>87</v>
      </c>
      <c r="D2666" s="41" t="s">
        <v>175</v>
      </c>
      <c r="E2666" s="41">
        <v>100</v>
      </c>
      <c r="F2666" s="41" t="s">
        <v>9</v>
      </c>
      <c r="G2666" s="53">
        <v>1337491</v>
      </c>
      <c r="H2666" s="59">
        <v>5.45</v>
      </c>
      <c r="S2666" s="53">
        <v>64241</v>
      </c>
      <c r="AM2666" s="91">
        <v>7356200.5</v>
      </c>
      <c r="AO2666" s="53">
        <f t="shared" si="452"/>
        <v>7289325.9500000002</v>
      </c>
      <c r="AP2666" s="53">
        <f t="shared" si="452"/>
        <v>0</v>
      </c>
      <c r="AQ2666" s="53">
        <f t="shared" si="452"/>
        <v>0</v>
      </c>
      <c r="AR2666" s="53">
        <f t="shared" si="452"/>
        <v>0</v>
      </c>
      <c r="AS2666" s="53">
        <f t="shared" si="452"/>
        <v>0</v>
      </c>
      <c r="AT2666" s="53">
        <f t="shared" si="452"/>
        <v>0</v>
      </c>
      <c r="AU2666" s="53">
        <f t="shared" si="452"/>
        <v>0</v>
      </c>
      <c r="AV2666" s="53">
        <f t="shared" si="452"/>
        <v>0</v>
      </c>
      <c r="AW2666" s="53">
        <f t="shared" si="452"/>
        <v>0</v>
      </c>
      <c r="AX2666" s="53">
        <f t="shared" si="444"/>
        <v>133749100</v>
      </c>
      <c r="AY2666" s="41" t="s">
        <v>557</v>
      </c>
    </row>
    <row r="2667" spans="1:51" x14ac:dyDescent="0.2">
      <c r="A2667" s="41" t="s">
        <v>189</v>
      </c>
      <c r="B2667" s="41">
        <v>2011</v>
      </c>
      <c r="C2667" s="41" t="s">
        <v>87</v>
      </c>
      <c r="D2667" s="41" t="s">
        <v>175</v>
      </c>
      <c r="E2667" s="41">
        <v>100</v>
      </c>
      <c r="F2667" s="41" t="s">
        <v>9</v>
      </c>
      <c r="G2667" s="53">
        <v>1734861</v>
      </c>
      <c r="H2667" s="59">
        <v>5.12</v>
      </c>
      <c r="S2667" s="53">
        <v>78859</v>
      </c>
      <c r="T2667" s="53"/>
      <c r="AO2667" s="53">
        <f t="shared" si="452"/>
        <v>8882488.3200000003</v>
      </c>
      <c r="AP2667" s="53">
        <f t="shared" si="452"/>
        <v>0</v>
      </c>
      <c r="AQ2667" s="53">
        <f t="shared" si="452"/>
        <v>0</v>
      </c>
      <c r="AR2667" s="53">
        <f t="shared" si="452"/>
        <v>0</v>
      </c>
      <c r="AS2667" s="53">
        <f t="shared" si="452"/>
        <v>0</v>
      </c>
      <c r="AT2667" s="53">
        <f t="shared" si="452"/>
        <v>0</v>
      </c>
      <c r="AU2667" s="53">
        <f t="shared" si="452"/>
        <v>0</v>
      </c>
      <c r="AV2667" s="53">
        <f t="shared" si="452"/>
        <v>0</v>
      </c>
      <c r="AW2667" s="53">
        <f t="shared" si="452"/>
        <v>0</v>
      </c>
      <c r="AX2667" s="53">
        <f t="shared" si="444"/>
        <v>173486100</v>
      </c>
      <c r="AY2667" s="41" t="s">
        <v>557</v>
      </c>
    </row>
    <row r="2668" spans="1:51" x14ac:dyDescent="0.2">
      <c r="A2668" s="41" t="s">
        <v>189</v>
      </c>
      <c r="B2668" s="41">
        <v>2012</v>
      </c>
      <c r="C2668" s="41" t="s">
        <v>87</v>
      </c>
      <c r="D2668" s="41" t="s">
        <v>175</v>
      </c>
      <c r="E2668" s="41">
        <v>100</v>
      </c>
      <c r="F2668" s="41" t="s">
        <v>9</v>
      </c>
      <c r="G2668" s="53">
        <v>1869452</v>
      </c>
      <c r="H2668" s="59">
        <v>5.2</v>
      </c>
      <c r="S2668" s="53">
        <v>86295</v>
      </c>
      <c r="T2668" s="53"/>
      <c r="AO2668" s="53">
        <f t="shared" si="452"/>
        <v>9721150.4000000004</v>
      </c>
      <c r="AP2668" s="53">
        <f t="shared" si="452"/>
        <v>0</v>
      </c>
      <c r="AQ2668" s="53">
        <f t="shared" si="452"/>
        <v>0</v>
      </c>
      <c r="AR2668" s="53">
        <f t="shared" si="452"/>
        <v>0</v>
      </c>
      <c r="AS2668" s="53">
        <f t="shared" si="452"/>
        <v>0</v>
      </c>
      <c r="AT2668" s="53">
        <f t="shared" si="452"/>
        <v>0</v>
      </c>
      <c r="AU2668" s="53">
        <f t="shared" si="452"/>
        <v>0</v>
      </c>
      <c r="AV2668" s="53">
        <f t="shared" si="452"/>
        <v>0</v>
      </c>
      <c r="AW2668" s="53">
        <f t="shared" si="452"/>
        <v>0</v>
      </c>
      <c r="AX2668" s="53">
        <f t="shared" si="444"/>
        <v>186945200</v>
      </c>
      <c r="AY2668" s="41" t="s">
        <v>557</v>
      </c>
    </row>
    <row r="2669" spans="1:51" x14ac:dyDescent="0.2">
      <c r="A2669" s="41" t="s">
        <v>189</v>
      </c>
      <c r="B2669" s="41">
        <v>2013</v>
      </c>
      <c r="C2669" s="41" t="s">
        <v>87</v>
      </c>
      <c r="D2669" s="41" t="s">
        <v>175</v>
      </c>
      <c r="E2669" s="41">
        <v>100</v>
      </c>
      <c r="F2669" s="41" t="s">
        <v>9</v>
      </c>
      <c r="G2669" s="53">
        <v>1867221</v>
      </c>
      <c r="H2669" s="59">
        <v>5.4</v>
      </c>
      <c r="S2669" s="53">
        <v>90030</v>
      </c>
      <c r="T2669" s="53"/>
      <c r="AO2669" s="53">
        <f t="shared" si="452"/>
        <v>10082993.4</v>
      </c>
      <c r="AP2669" s="53">
        <f t="shared" si="452"/>
        <v>0</v>
      </c>
      <c r="AQ2669" s="53">
        <f t="shared" si="452"/>
        <v>0</v>
      </c>
      <c r="AR2669" s="53">
        <f t="shared" si="452"/>
        <v>0</v>
      </c>
      <c r="AS2669" s="53">
        <f t="shared" si="452"/>
        <v>0</v>
      </c>
      <c r="AT2669" s="53">
        <f t="shared" si="452"/>
        <v>0</v>
      </c>
      <c r="AU2669" s="53">
        <f t="shared" si="452"/>
        <v>0</v>
      </c>
      <c r="AV2669" s="53">
        <f t="shared" si="452"/>
        <v>0</v>
      </c>
      <c r="AW2669" s="53">
        <f t="shared" si="452"/>
        <v>0</v>
      </c>
      <c r="AX2669" s="53">
        <f t="shared" si="444"/>
        <v>186722100</v>
      </c>
      <c r="AY2669" s="41" t="s">
        <v>557</v>
      </c>
    </row>
    <row r="2670" spans="1:51" x14ac:dyDescent="0.2">
      <c r="A2670" s="41" t="s">
        <v>189</v>
      </c>
      <c r="B2670" s="41">
        <v>2014</v>
      </c>
      <c r="C2670" s="41" t="s">
        <v>87</v>
      </c>
      <c r="D2670" s="41" t="s">
        <v>175</v>
      </c>
      <c r="E2670" s="41">
        <v>100</v>
      </c>
      <c r="F2670" s="41" t="s">
        <v>9</v>
      </c>
      <c r="G2670" s="53">
        <v>1909019</v>
      </c>
      <c r="H2670" s="59">
        <v>5.3</v>
      </c>
      <c r="S2670" s="53">
        <v>88541</v>
      </c>
      <c r="AO2670" s="53">
        <f t="shared" si="452"/>
        <v>10117800.699999999</v>
      </c>
      <c r="AP2670" s="53">
        <f t="shared" si="452"/>
        <v>0</v>
      </c>
      <c r="AQ2670" s="53">
        <f t="shared" si="452"/>
        <v>0</v>
      </c>
      <c r="AR2670" s="53">
        <f t="shared" si="452"/>
        <v>0</v>
      </c>
      <c r="AS2670" s="53">
        <f t="shared" si="452"/>
        <v>0</v>
      </c>
      <c r="AT2670" s="53">
        <f t="shared" si="452"/>
        <v>0</v>
      </c>
      <c r="AU2670" s="53">
        <f t="shared" si="452"/>
        <v>0</v>
      </c>
      <c r="AV2670" s="53">
        <f t="shared" si="452"/>
        <v>0</v>
      </c>
      <c r="AW2670" s="53">
        <f t="shared" si="452"/>
        <v>0</v>
      </c>
      <c r="AX2670" s="53">
        <f t="shared" si="444"/>
        <v>190901900</v>
      </c>
      <c r="AY2670" s="41" t="s">
        <v>557</v>
      </c>
    </row>
    <row r="2671" spans="1:51" x14ac:dyDescent="0.2">
      <c r="A2671" s="41" t="s">
        <v>189</v>
      </c>
      <c r="B2671" s="41">
        <v>2015</v>
      </c>
      <c r="C2671" s="41" t="s">
        <v>87</v>
      </c>
      <c r="D2671" s="41" t="s">
        <v>175</v>
      </c>
      <c r="E2671" s="41">
        <v>100</v>
      </c>
      <c r="F2671" s="41" t="s">
        <v>9</v>
      </c>
      <c r="G2671" s="53">
        <v>2116501</v>
      </c>
      <c r="H2671" s="59">
        <v>4.9000000000000004</v>
      </c>
      <c r="S2671" s="53">
        <v>89253</v>
      </c>
      <c r="AO2671" s="53">
        <f t="shared" si="452"/>
        <v>10370854.9</v>
      </c>
      <c r="AP2671" s="53">
        <f t="shared" si="452"/>
        <v>0</v>
      </c>
      <c r="AQ2671" s="53">
        <f t="shared" si="452"/>
        <v>0</v>
      </c>
      <c r="AR2671" s="53">
        <f t="shared" si="452"/>
        <v>0</v>
      </c>
      <c r="AS2671" s="53">
        <f t="shared" si="452"/>
        <v>0</v>
      </c>
      <c r="AT2671" s="53">
        <f t="shared" si="452"/>
        <v>0</v>
      </c>
      <c r="AU2671" s="53">
        <f t="shared" si="452"/>
        <v>0</v>
      </c>
      <c r="AV2671" s="53">
        <f t="shared" si="452"/>
        <v>0</v>
      </c>
      <c r="AW2671" s="53">
        <f t="shared" si="452"/>
        <v>0</v>
      </c>
      <c r="AX2671" s="53">
        <f t="shared" si="444"/>
        <v>211650100</v>
      </c>
      <c r="AY2671" s="41" t="s">
        <v>557</v>
      </c>
    </row>
    <row r="2672" spans="1:51" x14ac:dyDescent="0.2">
      <c r="A2672" s="41" t="s">
        <v>189</v>
      </c>
      <c r="B2672" s="41">
        <v>2016</v>
      </c>
      <c r="C2672" s="41" t="s">
        <v>87</v>
      </c>
      <c r="D2672" s="41" t="s">
        <v>175</v>
      </c>
      <c r="E2672" s="41">
        <v>100</v>
      </c>
      <c r="F2672" s="41" t="s">
        <v>9</v>
      </c>
      <c r="G2672" s="53">
        <v>2547564</v>
      </c>
      <c r="H2672" s="59">
        <v>3.7</v>
      </c>
      <c r="S2672" s="53">
        <v>78492</v>
      </c>
      <c r="AO2672" s="53">
        <f t="shared" si="452"/>
        <v>9425986.8000000007</v>
      </c>
      <c r="AP2672" s="53">
        <f t="shared" si="452"/>
        <v>0</v>
      </c>
      <c r="AQ2672" s="53">
        <f t="shared" si="452"/>
        <v>0</v>
      </c>
      <c r="AR2672" s="53">
        <f t="shared" si="452"/>
        <v>0</v>
      </c>
      <c r="AS2672" s="53">
        <f t="shared" si="452"/>
        <v>0</v>
      </c>
      <c r="AT2672" s="53">
        <f t="shared" si="452"/>
        <v>0</v>
      </c>
      <c r="AU2672" s="53">
        <f t="shared" si="452"/>
        <v>0</v>
      </c>
      <c r="AV2672" s="53">
        <f t="shared" si="452"/>
        <v>0</v>
      </c>
      <c r="AW2672" s="53">
        <f t="shared" si="452"/>
        <v>0</v>
      </c>
      <c r="AX2672" s="53">
        <f t="shared" si="444"/>
        <v>254756400</v>
      </c>
      <c r="AY2672" s="41" t="s">
        <v>557</v>
      </c>
    </row>
    <row r="2673" spans="1:51" x14ac:dyDescent="0.2">
      <c r="A2673" s="84"/>
      <c r="B2673" s="85" t="s">
        <v>697</v>
      </c>
      <c r="C2673" s="60" t="s">
        <v>87</v>
      </c>
      <c r="D2673" s="60" t="s">
        <v>175</v>
      </c>
      <c r="E2673" s="60">
        <v>100</v>
      </c>
      <c r="F2673" s="60" t="s">
        <v>9</v>
      </c>
      <c r="G2673" s="79">
        <f>SUM(G2661:G2663)</f>
        <v>3099410</v>
      </c>
      <c r="H2673" s="78">
        <f>AO2673/$G2673</f>
        <v>5.6651838382143689</v>
      </c>
      <c r="S2673" s="79">
        <f>SUM(S2661:S2663)</f>
        <v>153824</v>
      </c>
      <c r="AM2673" s="79">
        <f>SUM(AM2661:AM2663)</f>
        <v>8777195.8000000007</v>
      </c>
      <c r="AO2673" s="79">
        <f t="shared" ref="AO2673:AX2673" si="453">SUM(AO2661:AO2663)</f>
        <v>17558727.439999998</v>
      </c>
      <c r="AP2673" s="79">
        <f t="shared" si="453"/>
        <v>0</v>
      </c>
      <c r="AQ2673" s="79">
        <f t="shared" si="453"/>
        <v>0</v>
      </c>
      <c r="AR2673" s="79">
        <f t="shared" si="453"/>
        <v>0</v>
      </c>
      <c r="AS2673" s="79">
        <f t="shared" si="453"/>
        <v>0</v>
      </c>
      <c r="AT2673" s="79">
        <f t="shared" si="453"/>
        <v>0</v>
      </c>
      <c r="AU2673" s="79">
        <f t="shared" si="453"/>
        <v>0</v>
      </c>
      <c r="AV2673" s="79">
        <f t="shared" si="453"/>
        <v>0</v>
      </c>
      <c r="AW2673" s="79">
        <f t="shared" si="453"/>
        <v>0</v>
      </c>
      <c r="AX2673" s="79">
        <f t="shared" si="453"/>
        <v>309941000</v>
      </c>
      <c r="AY2673" s="41" t="s">
        <v>557</v>
      </c>
    </row>
    <row r="2674" spans="1:51" x14ac:dyDescent="0.2">
      <c r="A2674" s="41" t="s">
        <v>189</v>
      </c>
      <c r="B2674" s="43" t="s">
        <v>560</v>
      </c>
      <c r="G2674" s="53">
        <f>STDEV(G2661:G2663)</f>
        <v>337212.17947211402</v>
      </c>
      <c r="H2674" s="47">
        <f>STDEV(H2661:H2663)</f>
        <v>0.1205542754668343</v>
      </c>
      <c r="S2674" s="53">
        <f>STDEV(S2661:S2663)</f>
        <v>18029.663955086169</v>
      </c>
      <c r="AM2674" s="53">
        <f>STDEV(AM2661:AM2663)</f>
        <v>572487.64249751391</v>
      </c>
      <c r="AY2674" s="41" t="s">
        <v>557</v>
      </c>
    </row>
    <row r="2675" spans="1:51" x14ac:dyDescent="0.2">
      <c r="A2675" s="41" t="s">
        <v>189</v>
      </c>
      <c r="B2675" s="81" t="s">
        <v>249</v>
      </c>
      <c r="G2675" s="41">
        <f>COUNT(G2661:G2663)</f>
        <v>3</v>
      </c>
      <c r="H2675" s="41">
        <f>COUNT(H2661:H2663)</f>
        <v>3</v>
      </c>
      <c r="S2675" s="41">
        <f>COUNT(S2661:S2663)</f>
        <v>3</v>
      </c>
      <c r="AM2675" s="41">
        <f>COUNT(AM2661:AM2663)</f>
        <v>3</v>
      </c>
      <c r="AY2675" s="41" t="s">
        <v>557</v>
      </c>
    </row>
    <row r="2676" spans="1:51" x14ac:dyDescent="0.2">
      <c r="A2676" s="82"/>
      <c r="B2676" s="82"/>
      <c r="C2676" s="82"/>
      <c r="D2676" s="82"/>
      <c r="E2676" s="82"/>
      <c r="F2676" s="82"/>
      <c r="G2676" s="82"/>
      <c r="H2676" s="82"/>
      <c r="I2676" s="82"/>
      <c r="J2676" s="82"/>
      <c r="K2676" s="82"/>
      <c r="L2676" s="82"/>
      <c r="M2676" s="82"/>
      <c r="N2676" s="82"/>
      <c r="O2676" s="82"/>
      <c r="P2676" s="82"/>
      <c r="Q2676" s="82"/>
      <c r="R2676" s="82"/>
      <c r="S2676" s="82"/>
      <c r="T2676" s="82"/>
      <c r="U2676" s="82"/>
      <c r="V2676" s="82"/>
      <c r="W2676" s="82"/>
      <c r="X2676" s="82"/>
      <c r="Y2676" s="82"/>
      <c r="Z2676" s="82"/>
      <c r="AA2676" s="82"/>
      <c r="AB2676" s="82"/>
      <c r="AC2676" s="82"/>
      <c r="AD2676" s="82"/>
      <c r="AE2676" s="82"/>
      <c r="AF2676" s="82"/>
      <c r="AG2676" s="82"/>
      <c r="AH2676" s="82"/>
      <c r="AI2676" s="82"/>
      <c r="AJ2676" s="82"/>
      <c r="AK2676" s="82"/>
      <c r="AL2676" s="82"/>
      <c r="AM2676" s="82"/>
      <c r="AN2676" s="82"/>
      <c r="AO2676" s="82"/>
      <c r="AP2676" s="82"/>
      <c r="AQ2676" s="82"/>
      <c r="AR2676" s="82"/>
      <c r="AS2676" s="82"/>
      <c r="AT2676" s="82"/>
      <c r="AU2676" s="82"/>
      <c r="AV2676" s="82"/>
      <c r="AW2676" s="82"/>
      <c r="AX2676" s="82"/>
      <c r="AY2676" s="41" t="s">
        <v>557</v>
      </c>
    </row>
    <row r="2677" spans="1:51" x14ac:dyDescent="0.2">
      <c r="A2677" s="41" t="s">
        <v>260</v>
      </c>
      <c r="B2677" s="41">
        <v>2003</v>
      </c>
      <c r="C2677" s="41" t="s">
        <v>87</v>
      </c>
      <c r="D2677" s="41" t="s">
        <v>170</v>
      </c>
      <c r="E2677" s="41">
        <v>100</v>
      </c>
      <c r="F2677" s="41" t="s">
        <v>698</v>
      </c>
      <c r="G2677" s="53">
        <v>619000</v>
      </c>
      <c r="M2677" s="47">
        <v>12</v>
      </c>
      <c r="AA2677" s="53">
        <v>47400</v>
      </c>
      <c r="AO2677" s="53">
        <f t="shared" ref="AO2677:AW2689" si="454">$G2677*H2677</f>
        <v>0</v>
      </c>
      <c r="AP2677" s="53">
        <f t="shared" si="454"/>
        <v>0</v>
      </c>
      <c r="AQ2677" s="53">
        <f t="shared" si="454"/>
        <v>0</v>
      </c>
      <c r="AR2677" s="53">
        <f t="shared" si="454"/>
        <v>0</v>
      </c>
      <c r="AS2677" s="53">
        <f t="shared" si="454"/>
        <v>0</v>
      </c>
      <c r="AT2677" s="53">
        <f t="shared" si="454"/>
        <v>7428000</v>
      </c>
      <c r="AU2677" s="53">
        <f t="shared" si="454"/>
        <v>0</v>
      </c>
      <c r="AV2677" s="53">
        <f t="shared" si="454"/>
        <v>0</v>
      </c>
      <c r="AW2677" s="53">
        <f t="shared" si="454"/>
        <v>0</v>
      </c>
      <c r="AX2677" s="53">
        <f t="shared" ref="AX2677:AX2689" si="455">$G2677*E2677</f>
        <v>61900000</v>
      </c>
      <c r="AY2677" s="41" t="s">
        <v>557</v>
      </c>
    </row>
    <row r="2678" spans="1:51" x14ac:dyDescent="0.2">
      <c r="A2678" s="41" t="s">
        <v>260</v>
      </c>
      <c r="B2678" s="41">
        <v>2004</v>
      </c>
      <c r="C2678" s="41" t="s">
        <v>87</v>
      </c>
      <c r="D2678" s="41" t="s">
        <v>170</v>
      </c>
      <c r="E2678" s="41">
        <v>100</v>
      </c>
      <c r="F2678" s="41" t="s">
        <v>698</v>
      </c>
      <c r="G2678" s="53">
        <v>1187000</v>
      </c>
      <c r="M2678" s="59">
        <v>12.3</v>
      </c>
      <c r="AA2678" s="53">
        <v>119200</v>
      </c>
      <c r="AO2678" s="53">
        <f t="shared" si="454"/>
        <v>0</v>
      </c>
      <c r="AP2678" s="53">
        <f t="shared" si="454"/>
        <v>0</v>
      </c>
      <c r="AQ2678" s="53">
        <f t="shared" si="454"/>
        <v>0</v>
      </c>
      <c r="AR2678" s="53">
        <f t="shared" si="454"/>
        <v>0</v>
      </c>
      <c r="AS2678" s="53">
        <f t="shared" si="454"/>
        <v>0</v>
      </c>
      <c r="AT2678" s="53">
        <f t="shared" si="454"/>
        <v>14600100</v>
      </c>
      <c r="AU2678" s="53">
        <f t="shared" si="454"/>
        <v>0</v>
      </c>
      <c r="AV2678" s="53">
        <f t="shared" si="454"/>
        <v>0</v>
      </c>
      <c r="AW2678" s="53">
        <f t="shared" si="454"/>
        <v>0</v>
      </c>
      <c r="AX2678" s="53">
        <f t="shared" si="455"/>
        <v>118700000</v>
      </c>
      <c r="AY2678" s="41" t="s">
        <v>557</v>
      </c>
    </row>
    <row r="2679" spans="1:51" x14ac:dyDescent="0.2">
      <c r="A2679" s="41" t="s">
        <v>260</v>
      </c>
      <c r="B2679" s="41">
        <v>2005</v>
      </c>
      <c r="C2679" s="41" t="s">
        <v>87</v>
      </c>
      <c r="D2679" s="41" t="s">
        <v>170</v>
      </c>
      <c r="E2679" s="41">
        <v>100</v>
      </c>
      <c r="F2679" s="41" t="s">
        <v>698</v>
      </c>
      <c r="G2679" s="53">
        <v>1280000</v>
      </c>
      <c r="M2679" s="59">
        <v>12.4</v>
      </c>
      <c r="AA2679" s="53">
        <v>132800</v>
      </c>
      <c r="AO2679" s="53">
        <f t="shared" si="454"/>
        <v>0</v>
      </c>
      <c r="AP2679" s="53">
        <f t="shared" si="454"/>
        <v>0</v>
      </c>
      <c r="AQ2679" s="53">
        <f t="shared" si="454"/>
        <v>0</v>
      </c>
      <c r="AR2679" s="53">
        <f t="shared" si="454"/>
        <v>0</v>
      </c>
      <c r="AS2679" s="53">
        <f t="shared" si="454"/>
        <v>0</v>
      </c>
      <c r="AT2679" s="53">
        <f t="shared" si="454"/>
        <v>15872000</v>
      </c>
      <c r="AU2679" s="53">
        <f t="shared" si="454"/>
        <v>0</v>
      </c>
      <c r="AV2679" s="53">
        <f t="shared" si="454"/>
        <v>0</v>
      </c>
      <c r="AW2679" s="53">
        <f t="shared" si="454"/>
        <v>0</v>
      </c>
      <c r="AX2679" s="53">
        <f t="shared" si="455"/>
        <v>128000000</v>
      </c>
      <c r="AY2679" s="41" t="s">
        <v>557</v>
      </c>
    </row>
    <row r="2680" spans="1:51" x14ac:dyDescent="0.2">
      <c r="A2680" s="41" t="s">
        <v>260</v>
      </c>
      <c r="B2680" s="41">
        <v>2006</v>
      </c>
      <c r="C2680" s="41" t="s">
        <v>87</v>
      </c>
      <c r="D2680" s="41" t="s">
        <v>170</v>
      </c>
      <c r="E2680" s="41">
        <v>100</v>
      </c>
      <c r="F2680" s="41" t="s">
        <v>698</v>
      </c>
      <c r="G2680" s="53">
        <v>1311800</v>
      </c>
      <c r="M2680" s="59">
        <v>11.8</v>
      </c>
      <c r="AA2680" s="53">
        <v>129900</v>
      </c>
      <c r="AO2680" s="53">
        <f t="shared" si="454"/>
        <v>0</v>
      </c>
      <c r="AP2680" s="53">
        <f t="shared" si="454"/>
        <v>0</v>
      </c>
      <c r="AQ2680" s="53">
        <f t="shared" si="454"/>
        <v>0</v>
      </c>
      <c r="AR2680" s="53">
        <f t="shared" si="454"/>
        <v>0</v>
      </c>
      <c r="AS2680" s="53">
        <f t="shared" si="454"/>
        <v>0</v>
      </c>
      <c r="AT2680" s="53">
        <f t="shared" si="454"/>
        <v>15479240.000000002</v>
      </c>
      <c r="AU2680" s="53">
        <f t="shared" si="454"/>
        <v>0</v>
      </c>
      <c r="AV2680" s="53">
        <f t="shared" si="454"/>
        <v>0</v>
      </c>
      <c r="AW2680" s="53">
        <f t="shared" si="454"/>
        <v>0</v>
      </c>
      <c r="AX2680" s="53">
        <f t="shared" si="455"/>
        <v>131180000</v>
      </c>
      <c r="AY2680" s="41" t="s">
        <v>557</v>
      </c>
    </row>
    <row r="2681" spans="1:51" x14ac:dyDescent="0.2">
      <c r="A2681" s="41" t="s">
        <v>260</v>
      </c>
      <c r="B2681" s="41">
        <v>2007</v>
      </c>
      <c r="C2681" s="41" t="s">
        <v>87</v>
      </c>
      <c r="D2681" s="41" t="s">
        <v>170</v>
      </c>
      <c r="E2681" s="41">
        <v>100</v>
      </c>
      <c r="F2681" s="41" t="s">
        <v>698</v>
      </c>
      <c r="G2681" s="53">
        <v>1379600</v>
      </c>
      <c r="M2681" s="59">
        <v>11.7</v>
      </c>
      <c r="AA2681" s="53">
        <v>150100</v>
      </c>
      <c r="AO2681" s="53">
        <f t="shared" si="454"/>
        <v>0</v>
      </c>
      <c r="AP2681" s="53">
        <f t="shared" si="454"/>
        <v>0</v>
      </c>
      <c r="AQ2681" s="53">
        <f t="shared" si="454"/>
        <v>0</v>
      </c>
      <c r="AR2681" s="53">
        <f t="shared" si="454"/>
        <v>0</v>
      </c>
      <c r="AS2681" s="53">
        <f t="shared" si="454"/>
        <v>0</v>
      </c>
      <c r="AT2681" s="53">
        <f t="shared" si="454"/>
        <v>16141319.999999998</v>
      </c>
      <c r="AU2681" s="53">
        <f t="shared" si="454"/>
        <v>0</v>
      </c>
      <c r="AV2681" s="53">
        <f t="shared" si="454"/>
        <v>0</v>
      </c>
      <c r="AW2681" s="53">
        <f t="shared" si="454"/>
        <v>0</v>
      </c>
      <c r="AX2681" s="53">
        <f t="shared" si="455"/>
        <v>137960000</v>
      </c>
      <c r="AY2681" s="41" t="s">
        <v>557</v>
      </c>
    </row>
    <row r="2682" spans="1:51" x14ac:dyDescent="0.2">
      <c r="A2682" s="41" t="s">
        <v>260</v>
      </c>
      <c r="B2682" s="41">
        <v>2008</v>
      </c>
      <c r="C2682" s="41" t="s">
        <v>87</v>
      </c>
      <c r="D2682" s="41" t="s">
        <v>170</v>
      </c>
      <c r="E2682" s="41">
        <v>100</v>
      </c>
      <c r="F2682" s="41" t="s">
        <v>698</v>
      </c>
      <c r="G2682" s="53">
        <v>1333300</v>
      </c>
      <c r="M2682" s="59">
        <v>11.7</v>
      </c>
      <c r="AA2682" s="53">
        <v>145400</v>
      </c>
      <c r="AO2682" s="53">
        <f t="shared" si="454"/>
        <v>0</v>
      </c>
      <c r="AP2682" s="53">
        <f t="shared" si="454"/>
        <v>0</v>
      </c>
      <c r="AQ2682" s="53">
        <f t="shared" si="454"/>
        <v>0</v>
      </c>
      <c r="AR2682" s="53">
        <f t="shared" si="454"/>
        <v>0</v>
      </c>
      <c r="AS2682" s="53">
        <f t="shared" si="454"/>
        <v>0</v>
      </c>
      <c r="AT2682" s="53">
        <f t="shared" si="454"/>
        <v>15599609.999999998</v>
      </c>
      <c r="AU2682" s="53">
        <f t="shared" si="454"/>
        <v>0</v>
      </c>
      <c r="AV2682" s="53">
        <f t="shared" si="454"/>
        <v>0</v>
      </c>
      <c r="AW2682" s="53">
        <f t="shared" si="454"/>
        <v>0</v>
      </c>
      <c r="AX2682" s="53">
        <f t="shared" si="455"/>
        <v>133330000</v>
      </c>
      <c r="AY2682" s="41" t="s">
        <v>557</v>
      </c>
    </row>
    <row r="2683" spans="1:51" x14ac:dyDescent="0.2">
      <c r="A2683" s="41" t="s">
        <v>260</v>
      </c>
      <c r="B2683" s="41">
        <v>2009</v>
      </c>
      <c r="C2683" s="41" t="s">
        <v>87</v>
      </c>
      <c r="D2683" s="41" t="s">
        <v>170</v>
      </c>
      <c r="E2683" s="41">
        <v>100</v>
      </c>
      <c r="F2683" s="41" t="s">
        <v>698</v>
      </c>
      <c r="G2683" s="53">
        <v>1426800</v>
      </c>
      <c r="M2683" s="59">
        <v>11.5</v>
      </c>
      <c r="AA2683" s="53">
        <v>150400</v>
      </c>
      <c r="AO2683" s="53">
        <f t="shared" si="454"/>
        <v>0</v>
      </c>
      <c r="AP2683" s="53">
        <f t="shared" si="454"/>
        <v>0</v>
      </c>
      <c r="AQ2683" s="53">
        <f t="shared" si="454"/>
        <v>0</v>
      </c>
      <c r="AR2683" s="53">
        <f t="shared" si="454"/>
        <v>0</v>
      </c>
      <c r="AS2683" s="53">
        <f t="shared" si="454"/>
        <v>0</v>
      </c>
      <c r="AT2683" s="53">
        <f t="shared" si="454"/>
        <v>16408200</v>
      </c>
      <c r="AU2683" s="53">
        <f t="shared" si="454"/>
        <v>0</v>
      </c>
      <c r="AV2683" s="53">
        <f t="shared" si="454"/>
        <v>0</v>
      </c>
      <c r="AW2683" s="53">
        <f t="shared" si="454"/>
        <v>0</v>
      </c>
      <c r="AX2683" s="53">
        <f t="shared" si="455"/>
        <v>142680000</v>
      </c>
      <c r="AY2683" s="41" t="s">
        <v>557</v>
      </c>
    </row>
    <row r="2684" spans="1:51" x14ac:dyDescent="0.2">
      <c r="A2684" s="41" t="s">
        <v>260</v>
      </c>
      <c r="B2684" s="41">
        <v>2010</v>
      </c>
      <c r="C2684" s="41" t="s">
        <v>87</v>
      </c>
      <c r="D2684" s="41" t="s">
        <v>170</v>
      </c>
      <c r="E2684" s="41">
        <v>100</v>
      </c>
      <c r="F2684" s="41" t="s">
        <v>698</v>
      </c>
      <c r="G2684" s="53">
        <v>1358000</v>
      </c>
      <c r="M2684" s="47">
        <v>11.2</v>
      </c>
      <c r="AA2684" s="53">
        <v>138500</v>
      </c>
      <c r="AO2684" s="53">
        <f t="shared" si="454"/>
        <v>0</v>
      </c>
      <c r="AP2684" s="53">
        <f t="shared" si="454"/>
        <v>0</v>
      </c>
      <c r="AQ2684" s="53">
        <f t="shared" si="454"/>
        <v>0</v>
      </c>
      <c r="AR2684" s="53">
        <f t="shared" si="454"/>
        <v>0</v>
      </c>
      <c r="AS2684" s="53">
        <f t="shared" si="454"/>
        <v>0</v>
      </c>
      <c r="AT2684" s="53">
        <f t="shared" si="454"/>
        <v>15209599.999999998</v>
      </c>
      <c r="AU2684" s="53">
        <f t="shared" si="454"/>
        <v>0</v>
      </c>
      <c r="AV2684" s="53">
        <f t="shared" si="454"/>
        <v>0</v>
      </c>
      <c r="AW2684" s="53">
        <f t="shared" si="454"/>
        <v>0</v>
      </c>
      <c r="AX2684" s="53">
        <f t="shared" si="455"/>
        <v>135800000</v>
      </c>
      <c r="AY2684" s="41" t="s">
        <v>557</v>
      </c>
    </row>
    <row r="2685" spans="1:51" x14ac:dyDescent="0.2">
      <c r="A2685" s="41" t="s">
        <v>260</v>
      </c>
      <c r="B2685" s="41">
        <v>2011</v>
      </c>
      <c r="C2685" s="41" t="s">
        <v>87</v>
      </c>
      <c r="D2685" s="41" t="s">
        <v>170</v>
      </c>
      <c r="E2685" s="41">
        <v>100</v>
      </c>
      <c r="F2685" s="41" t="s">
        <v>698</v>
      </c>
      <c r="G2685" s="53">
        <v>1676001</v>
      </c>
      <c r="M2685" s="56">
        <v>9.6999999999999993</v>
      </c>
      <c r="AA2685" s="53">
        <v>144755</v>
      </c>
      <c r="AO2685" s="53">
        <f t="shared" si="454"/>
        <v>0</v>
      </c>
      <c r="AP2685" s="53">
        <f t="shared" si="454"/>
        <v>0</v>
      </c>
      <c r="AQ2685" s="53">
        <f t="shared" si="454"/>
        <v>0</v>
      </c>
      <c r="AR2685" s="53">
        <f t="shared" si="454"/>
        <v>0</v>
      </c>
      <c r="AS2685" s="53">
        <f t="shared" si="454"/>
        <v>0</v>
      </c>
      <c r="AT2685" s="53">
        <f t="shared" si="454"/>
        <v>16257209.699999999</v>
      </c>
      <c r="AU2685" s="53">
        <f t="shared" si="454"/>
        <v>0</v>
      </c>
      <c r="AV2685" s="53">
        <f t="shared" si="454"/>
        <v>0</v>
      </c>
      <c r="AW2685" s="53">
        <f t="shared" si="454"/>
        <v>0</v>
      </c>
      <c r="AX2685" s="53">
        <f t="shared" si="455"/>
        <v>167600100</v>
      </c>
      <c r="AY2685" s="41" t="s">
        <v>557</v>
      </c>
    </row>
    <row r="2686" spans="1:51" x14ac:dyDescent="0.2">
      <c r="A2686" s="41" t="s">
        <v>260</v>
      </c>
      <c r="B2686" s="41">
        <v>2012</v>
      </c>
      <c r="C2686" s="41" t="s">
        <v>87</v>
      </c>
      <c r="D2686" s="41" t="s">
        <v>170</v>
      </c>
      <c r="E2686" s="41">
        <v>100</v>
      </c>
      <c r="F2686" s="41" t="s">
        <v>698</v>
      </c>
      <c r="G2686" s="53">
        <v>1664282</v>
      </c>
      <c r="M2686" s="58">
        <v>9.26</v>
      </c>
      <c r="AA2686" s="53">
        <v>145342</v>
      </c>
      <c r="AO2686" s="53">
        <f t="shared" si="454"/>
        <v>0</v>
      </c>
      <c r="AP2686" s="53">
        <f t="shared" si="454"/>
        <v>0</v>
      </c>
      <c r="AQ2686" s="53">
        <f t="shared" si="454"/>
        <v>0</v>
      </c>
      <c r="AR2686" s="53">
        <f t="shared" si="454"/>
        <v>0</v>
      </c>
      <c r="AS2686" s="53">
        <f t="shared" si="454"/>
        <v>0</v>
      </c>
      <c r="AT2686" s="53">
        <f t="shared" si="454"/>
        <v>15411251.32</v>
      </c>
      <c r="AU2686" s="53">
        <f t="shared" si="454"/>
        <v>0</v>
      </c>
      <c r="AV2686" s="53">
        <f t="shared" si="454"/>
        <v>0</v>
      </c>
      <c r="AW2686" s="53">
        <f t="shared" si="454"/>
        <v>0</v>
      </c>
      <c r="AX2686" s="53">
        <f t="shared" si="455"/>
        <v>166428200</v>
      </c>
      <c r="AY2686" s="41" t="s">
        <v>557</v>
      </c>
    </row>
    <row r="2687" spans="1:51" x14ac:dyDescent="0.2">
      <c r="A2687" s="41" t="s">
        <v>260</v>
      </c>
      <c r="B2687" s="41">
        <v>2013</v>
      </c>
      <c r="C2687" s="41" t="s">
        <v>87</v>
      </c>
      <c r="D2687" s="41" t="s">
        <v>170</v>
      </c>
      <c r="E2687" s="41">
        <v>100</v>
      </c>
      <c r="F2687" s="41" t="s">
        <v>698</v>
      </c>
      <c r="G2687" s="53">
        <v>1252092</v>
      </c>
      <c r="M2687" s="58">
        <v>9.1300000000000008</v>
      </c>
      <c r="AA2687" s="53">
        <v>124924</v>
      </c>
      <c r="AO2687" s="53">
        <f t="shared" si="454"/>
        <v>0</v>
      </c>
      <c r="AP2687" s="53">
        <f t="shared" si="454"/>
        <v>0</v>
      </c>
      <c r="AQ2687" s="53">
        <f t="shared" si="454"/>
        <v>0</v>
      </c>
      <c r="AR2687" s="53">
        <f t="shared" si="454"/>
        <v>0</v>
      </c>
      <c r="AS2687" s="53">
        <f t="shared" si="454"/>
        <v>0</v>
      </c>
      <c r="AT2687" s="53">
        <f t="shared" si="454"/>
        <v>11431599.960000001</v>
      </c>
      <c r="AU2687" s="53">
        <f t="shared" si="454"/>
        <v>0</v>
      </c>
      <c r="AV2687" s="53">
        <f t="shared" si="454"/>
        <v>0</v>
      </c>
      <c r="AW2687" s="53">
        <f t="shared" si="454"/>
        <v>0</v>
      </c>
      <c r="AX2687" s="53">
        <f t="shared" si="455"/>
        <v>125209200</v>
      </c>
      <c r="AY2687" s="41" t="s">
        <v>557</v>
      </c>
    </row>
    <row r="2688" spans="1:51" x14ac:dyDescent="0.2">
      <c r="A2688" s="41" t="s">
        <v>260</v>
      </c>
      <c r="B2688" s="41">
        <v>2014</v>
      </c>
      <c r="C2688" s="41" t="s">
        <v>87</v>
      </c>
      <c r="D2688" s="41" t="s">
        <v>170</v>
      </c>
      <c r="E2688" s="41">
        <v>100</v>
      </c>
      <c r="F2688" s="41" t="s">
        <v>698</v>
      </c>
      <c r="G2688" s="53">
        <v>1344272</v>
      </c>
      <c r="M2688" s="58">
        <v>8.77</v>
      </c>
      <c r="AA2688" s="53">
        <v>102188</v>
      </c>
      <c r="AO2688" s="53">
        <f t="shared" si="454"/>
        <v>0</v>
      </c>
      <c r="AP2688" s="53">
        <f t="shared" si="454"/>
        <v>0</v>
      </c>
      <c r="AQ2688" s="53">
        <f t="shared" si="454"/>
        <v>0</v>
      </c>
      <c r="AR2688" s="53">
        <f t="shared" si="454"/>
        <v>0</v>
      </c>
      <c r="AS2688" s="53">
        <f t="shared" si="454"/>
        <v>0</v>
      </c>
      <c r="AT2688" s="53">
        <f t="shared" si="454"/>
        <v>11789265.439999999</v>
      </c>
      <c r="AU2688" s="53">
        <f t="shared" si="454"/>
        <v>0</v>
      </c>
      <c r="AV2688" s="53">
        <f t="shared" si="454"/>
        <v>0</v>
      </c>
      <c r="AW2688" s="53">
        <f t="shared" si="454"/>
        <v>0</v>
      </c>
      <c r="AX2688" s="53">
        <f t="shared" si="455"/>
        <v>134427200</v>
      </c>
      <c r="AY2688" s="41" t="s">
        <v>557</v>
      </c>
    </row>
    <row r="2689" spans="1:51" x14ac:dyDescent="0.2">
      <c r="A2689" s="41" t="s">
        <v>260</v>
      </c>
      <c r="B2689" s="41">
        <v>2015</v>
      </c>
      <c r="C2689" s="41" t="s">
        <v>87</v>
      </c>
      <c r="D2689" s="41" t="s">
        <v>170</v>
      </c>
      <c r="E2689" s="41">
        <v>100</v>
      </c>
      <c r="F2689" s="41" t="s">
        <v>698</v>
      </c>
      <c r="G2689" s="53">
        <v>1241327</v>
      </c>
      <c r="M2689" s="56">
        <v>9</v>
      </c>
      <c r="AA2689" s="53">
        <v>82029</v>
      </c>
      <c r="AO2689" s="53">
        <f t="shared" si="454"/>
        <v>0</v>
      </c>
      <c r="AP2689" s="53">
        <f t="shared" si="454"/>
        <v>0</v>
      </c>
      <c r="AQ2689" s="53">
        <f t="shared" si="454"/>
        <v>0</v>
      </c>
      <c r="AR2689" s="53">
        <f t="shared" si="454"/>
        <v>0</v>
      </c>
      <c r="AS2689" s="53">
        <f t="shared" si="454"/>
        <v>0</v>
      </c>
      <c r="AT2689" s="53">
        <f t="shared" si="454"/>
        <v>11171943</v>
      </c>
      <c r="AU2689" s="53">
        <f t="shared" si="454"/>
        <v>0</v>
      </c>
      <c r="AV2689" s="53">
        <f t="shared" si="454"/>
        <v>0</v>
      </c>
      <c r="AW2689" s="53">
        <f t="shared" si="454"/>
        <v>0</v>
      </c>
      <c r="AX2689" s="53">
        <f t="shared" si="455"/>
        <v>124132700</v>
      </c>
      <c r="AY2689" s="41" t="s">
        <v>557</v>
      </c>
    </row>
    <row r="2690" spans="1:51" x14ac:dyDescent="0.2">
      <c r="A2690" s="41" t="s">
        <v>260</v>
      </c>
      <c r="B2690" s="60" t="s">
        <v>559</v>
      </c>
      <c r="C2690" s="60" t="s">
        <v>91</v>
      </c>
      <c r="D2690" s="60" t="s">
        <v>170</v>
      </c>
      <c r="E2690" s="60">
        <v>0</v>
      </c>
      <c r="F2690" s="60" t="s">
        <v>698</v>
      </c>
      <c r="G2690" s="79">
        <f>SUM(G2677:G2689)</f>
        <v>17073474</v>
      </c>
      <c r="M2690" s="78">
        <f>AT2690/$G2690</f>
        <v>10.706628271434392</v>
      </c>
      <c r="AA2690" s="79">
        <f>SUM(AA2677:AA2689)</f>
        <v>1612938</v>
      </c>
      <c r="AO2690" s="79">
        <f t="shared" ref="AO2690:AX2690" si="456">SUM(AO2677:AO2689)</f>
        <v>0</v>
      </c>
      <c r="AP2690" s="79">
        <f t="shared" si="456"/>
        <v>0</v>
      </c>
      <c r="AQ2690" s="79">
        <f t="shared" si="456"/>
        <v>0</v>
      </c>
      <c r="AR2690" s="79">
        <f t="shared" si="456"/>
        <v>0</v>
      </c>
      <c r="AS2690" s="79">
        <f t="shared" si="456"/>
        <v>0</v>
      </c>
      <c r="AT2690" s="79">
        <f t="shared" si="456"/>
        <v>182799339.42000002</v>
      </c>
      <c r="AU2690" s="79">
        <f t="shared" si="456"/>
        <v>0</v>
      </c>
      <c r="AV2690" s="79">
        <f t="shared" si="456"/>
        <v>0</v>
      </c>
      <c r="AW2690" s="79">
        <f t="shared" si="456"/>
        <v>0</v>
      </c>
      <c r="AX2690" s="79">
        <f t="shared" si="456"/>
        <v>1707347400</v>
      </c>
      <c r="AY2690" s="41" t="s">
        <v>557</v>
      </c>
    </row>
    <row r="2691" spans="1:51" x14ac:dyDescent="0.2">
      <c r="A2691" s="41" t="s">
        <v>260</v>
      </c>
      <c r="B2691" s="43" t="s">
        <v>560</v>
      </c>
      <c r="G2691" s="53">
        <f>STDEV(G2677:G2689)</f>
        <v>255508.88783590475</v>
      </c>
      <c r="M2691" s="47">
        <f>STDEV(M2677:M2689)</f>
        <v>1.3919747087298555</v>
      </c>
      <c r="AA2691" s="53">
        <f>STDEV(AA2677:AA2689)</f>
        <v>30514.470979209633</v>
      </c>
      <c r="AY2691" s="41" t="s">
        <v>557</v>
      </c>
    </row>
    <row r="2692" spans="1:51" x14ac:dyDescent="0.2">
      <c r="A2692" s="41" t="s">
        <v>260</v>
      </c>
      <c r="B2692" s="81" t="s">
        <v>249</v>
      </c>
      <c r="G2692" s="41">
        <f>COUNT(G2677:G2689)</f>
        <v>13</v>
      </c>
      <c r="M2692" s="41">
        <f>COUNT(M2677:M2689)</f>
        <v>13</v>
      </c>
      <c r="AA2692" s="41">
        <f>COUNT(AA2677:AA2689)</f>
        <v>13</v>
      </c>
      <c r="AY2692" s="41" t="s">
        <v>557</v>
      </c>
    </row>
    <row r="2693" spans="1:51" x14ac:dyDescent="0.2">
      <c r="A2693" s="82"/>
      <c r="B2693" s="82"/>
      <c r="C2693" s="82"/>
      <c r="D2693" s="82"/>
      <c r="E2693" s="82"/>
      <c r="F2693" s="82"/>
      <c r="G2693" s="82"/>
      <c r="H2693" s="82"/>
      <c r="I2693" s="82"/>
      <c r="J2693" s="82"/>
      <c r="K2693" s="82"/>
      <c r="L2693" s="82"/>
      <c r="M2693" s="82"/>
      <c r="N2693" s="82"/>
      <c r="O2693" s="82"/>
      <c r="P2693" s="82"/>
      <c r="Q2693" s="82"/>
      <c r="R2693" s="82"/>
      <c r="S2693" s="82"/>
      <c r="T2693" s="82"/>
      <c r="U2693" s="82"/>
      <c r="V2693" s="82"/>
      <c r="W2693" s="82"/>
      <c r="X2693" s="82"/>
      <c r="Y2693" s="82"/>
      <c r="Z2693" s="82"/>
      <c r="AA2693" s="82"/>
      <c r="AB2693" s="82"/>
      <c r="AC2693" s="82"/>
      <c r="AD2693" s="82"/>
      <c r="AE2693" s="82"/>
      <c r="AF2693" s="82"/>
      <c r="AG2693" s="82"/>
      <c r="AH2693" s="82"/>
      <c r="AI2693" s="82"/>
      <c r="AJ2693" s="82"/>
      <c r="AK2693" s="82"/>
      <c r="AL2693" s="82"/>
      <c r="AM2693" s="82"/>
      <c r="AN2693" s="82"/>
      <c r="AO2693" s="82"/>
      <c r="AP2693" s="82"/>
      <c r="AQ2693" s="82"/>
      <c r="AR2693" s="82"/>
      <c r="AS2693" s="82"/>
      <c r="AT2693" s="82"/>
      <c r="AU2693" s="82"/>
      <c r="AV2693" s="82"/>
      <c r="AW2693" s="82"/>
      <c r="AX2693" s="82"/>
      <c r="AY2693" s="41" t="s">
        <v>557</v>
      </c>
    </row>
    <row r="2694" spans="1:51" x14ac:dyDescent="0.2">
      <c r="A2694" s="41" t="s">
        <v>121</v>
      </c>
      <c r="B2694" s="41">
        <v>2004</v>
      </c>
      <c r="C2694" s="41" t="s">
        <v>87</v>
      </c>
      <c r="D2694" s="41" t="s">
        <v>88</v>
      </c>
      <c r="E2694" s="41">
        <v>100</v>
      </c>
      <c r="F2694" s="41" t="s">
        <v>556</v>
      </c>
      <c r="G2694" s="76">
        <f>S2694/(H2694/100)/0.925</f>
        <v>7891891.8918918911</v>
      </c>
      <c r="H2694" s="56">
        <v>1</v>
      </c>
      <c r="I2694" s="58">
        <v>0.3</v>
      </c>
      <c r="R2694" s="76">
        <f t="shared" ref="R2694:R2705" si="457">S2694/0.4</f>
        <v>182500</v>
      </c>
      <c r="S2694" s="53">
        <v>73000</v>
      </c>
      <c r="T2694" s="53">
        <v>1775.6756756756754</v>
      </c>
      <c r="AH2694" s="93">
        <f t="shared" ref="AH2694:AH2702" si="458">G2694-R2694</f>
        <v>7709391.8918918911</v>
      </c>
      <c r="AO2694" s="53">
        <f t="shared" ref="AO2694:AW2706" si="459">$G2694*H2694</f>
        <v>7891891.8918918911</v>
      </c>
      <c r="AP2694" s="53">
        <f t="shared" si="459"/>
        <v>2367567.5675675673</v>
      </c>
      <c r="AQ2694" s="53">
        <f t="shared" si="459"/>
        <v>0</v>
      </c>
      <c r="AR2694" s="53">
        <f t="shared" si="459"/>
        <v>0</v>
      </c>
      <c r="AS2694" s="53">
        <f t="shared" si="459"/>
        <v>0</v>
      </c>
      <c r="AT2694" s="53">
        <f t="shared" si="459"/>
        <v>0</v>
      </c>
      <c r="AU2694" s="53">
        <f t="shared" si="459"/>
        <v>0</v>
      </c>
      <c r="AV2694" s="53">
        <f t="shared" si="459"/>
        <v>0</v>
      </c>
      <c r="AW2694" s="53">
        <f t="shared" si="459"/>
        <v>0</v>
      </c>
      <c r="AX2694" s="53">
        <f t="shared" ref="AX2694:AX2706" si="460">$G2694*E2694</f>
        <v>789189189.18918908</v>
      </c>
      <c r="AY2694" s="41" t="s">
        <v>557</v>
      </c>
    </row>
    <row r="2695" spans="1:51" x14ac:dyDescent="0.2">
      <c r="A2695" s="41" t="s">
        <v>121</v>
      </c>
      <c r="B2695" s="41">
        <v>2005</v>
      </c>
      <c r="C2695" s="41" t="s">
        <v>87</v>
      </c>
      <c r="D2695" s="41" t="s">
        <v>88</v>
      </c>
      <c r="E2695" s="41">
        <v>100</v>
      </c>
      <c r="F2695" s="41" t="s">
        <v>556</v>
      </c>
      <c r="G2695" s="76">
        <f t="shared" ref="G2695:G2703" si="461">S2695/(H2695/100)/0.925</f>
        <v>11567567.567567566</v>
      </c>
      <c r="H2695" s="56">
        <v>1</v>
      </c>
      <c r="I2695" s="58">
        <v>0.3</v>
      </c>
      <c r="R2695" s="76">
        <f t="shared" si="457"/>
        <v>267500</v>
      </c>
      <c r="S2695" s="53">
        <v>107000</v>
      </c>
      <c r="T2695" s="53">
        <v>2602.7027027027025</v>
      </c>
      <c r="AH2695" s="93">
        <f t="shared" si="458"/>
        <v>11300067.567567566</v>
      </c>
      <c r="AO2695" s="53">
        <f t="shared" si="459"/>
        <v>11567567.567567566</v>
      </c>
      <c r="AP2695" s="53">
        <f t="shared" si="459"/>
        <v>3470270.2702702698</v>
      </c>
      <c r="AQ2695" s="53">
        <f t="shared" si="459"/>
        <v>0</v>
      </c>
      <c r="AR2695" s="53">
        <f t="shared" si="459"/>
        <v>0</v>
      </c>
      <c r="AS2695" s="53">
        <f t="shared" si="459"/>
        <v>0</v>
      </c>
      <c r="AT2695" s="53">
        <f t="shared" si="459"/>
        <v>0</v>
      </c>
      <c r="AU2695" s="53">
        <f t="shared" si="459"/>
        <v>0</v>
      </c>
      <c r="AV2695" s="53">
        <f t="shared" si="459"/>
        <v>0</v>
      </c>
      <c r="AW2695" s="53">
        <f t="shared" si="459"/>
        <v>0</v>
      </c>
      <c r="AX2695" s="53">
        <f t="shared" si="460"/>
        <v>1156756756.7567565</v>
      </c>
      <c r="AY2695" s="41" t="s">
        <v>557</v>
      </c>
    </row>
    <row r="2696" spans="1:51" x14ac:dyDescent="0.2">
      <c r="A2696" s="41" t="s">
        <v>121</v>
      </c>
      <c r="B2696" s="41">
        <v>2006</v>
      </c>
      <c r="C2696" s="41" t="s">
        <v>87</v>
      </c>
      <c r="D2696" s="41" t="s">
        <v>88</v>
      </c>
      <c r="E2696" s="41">
        <v>100</v>
      </c>
      <c r="F2696" s="41" t="s">
        <v>556</v>
      </c>
      <c r="G2696" s="76">
        <f t="shared" si="461"/>
        <v>12906784.335355764</v>
      </c>
      <c r="H2696" s="58">
        <v>0.98</v>
      </c>
      <c r="I2696" s="58">
        <v>0.3</v>
      </c>
      <c r="R2696" s="76">
        <f t="shared" si="457"/>
        <v>292500</v>
      </c>
      <c r="S2696" s="53">
        <v>117000</v>
      </c>
      <c r="T2696" s="53">
        <v>2904.0264754550467</v>
      </c>
      <c r="AH2696" s="93">
        <f t="shared" si="458"/>
        <v>12614284.335355764</v>
      </c>
      <c r="AO2696" s="53">
        <f t="shared" si="459"/>
        <v>12648648.648648649</v>
      </c>
      <c r="AP2696" s="53">
        <f t="shared" si="459"/>
        <v>3872035.300606729</v>
      </c>
      <c r="AQ2696" s="53">
        <f t="shared" si="459"/>
        <v>0</v>
      </c>
      <c r="AR2696" s="53">
        <f t="shared" si="459"/>
        <v>0</v>
      </c>
      <c r="AS2696" s="53">
        <f t="shared" si="459"/>
        <v>0</v>
      </c>
      <c r="AT2696" s="53">
        <f t="shared" si="459"/>
        <v>0</v>
      </c>
      <c r="AU2696" s="53">
        <f t="shared" si="459"/>
        <v>0</v>
      </c>
      <c r="AV2696" s="53">
        <f t="shared" si="459"/>
        <v>0</v>
      </c>
      <c r="AW2696" s="53">
        <f t="shared" si="459"/>
        <v>0</v>
      </c>
      <c r="AX2696" s="53">
        <f t="shared" si="460"/>
        <v>1290678433.5355763</v>
      </c>
      <c r="AY2696" s="41" t="s">
        <v>557</v>
      </c>
    </row>
    <row r="2697" spans="1:51" x14ac:dyDescent="0.2">
      <c r="A2697" s="41" t="s">
        <v>121</v>
      </c>
      <c r="B2697" s="41">
        <v>2007</v>
      </c>
      <c r="C2697" s="41" t="s">
        <v>87</v>
      </c>
      <c r="D2697" s="41" t="s">
        <v>88</v>
      </c>
      <c r="E2697" s="41">
        <v>100</v>
      </c>
      <c r="F2697" s="41" t="s">
        <v>556</v>
      </c>
      <c r="G2697" s="76">
        <f t="shared" si="461"/>
        <v>13716942.749200812</v>
      </c>
      <c r="H2697" s="58">
        <v>0.93</v>
      </c>
      <c r="I2697" s="56">
        <v>0.3</v>
      </c>
      <c r="R2697" s="76">
        <f t="shared" si="457"/>
        <v>295000</v>
      </c>
      <c r="S2697" s="53">
        <v>118000</v>
      </c>
      <c r="T2697" s="53">
        <v>3086.3121185701825</v>
      </c>
      <c r="AH2697" s="93">
        <f t="shared" si="458"/>
        <v>13421942.749200812</v>
      </c>
      <c r="AO2697" s="53">
        <f t="shared" si="459"/>
        <v>12756756.756756755</v>
      </c>
      <c r="AP2697" s="53">
        <f t="shared" si="459"/>
        <v>4115082.8247602433</v>
      </c>
      <c r="AQ2697" s="53">
        <f t="shared" si="459"/>
        <v>0</v>
      </c>
      <c r="AR2697" s="53">
        <f t="shared" si="459"/>
        <v>0</v>
      </c>
      <c r="AS2697" s="53">
        <f t="shared" si="459"/>
        <v>0</v>
      </c>
      <c r="AT2697" s="53">
        <f t="shared" si="459"/>
        <v>0</v>
      </c>
      <c r="AU2697" s="53">
        <f t="shared" si="459"/>
        <v>0</v>
      </c>
      <c r="AV2697" s="53">
        <f t="shared" si="459"/>
        <v>0</v>
      </c>
      <c r="AW2697" s="53">
        <f t="shared" si="459"/>
        <v>0</v>
      </c>
      <c r="AX2697" s="53">
        <f t="shared" si="460"/>
        <v>1371694274.9200811</v>
      </c>
      <c r="AY2697" s="41" t="s">
        <v>557</v>
      </c>
    </row>
    <row r="2698" spans="1:51" x14ac:dyDescent="0.2">
      <c r="A2698" s="41" t="s">
        <v>121</v>
      </c>
      <c r="B2698" s="41">
        <v>2008</v>
      </c>
      <c r="C2698" s="41" t="s">
        <v>87</v>
      </c>
      <c r="D2698" s="41" t="s">
        <v>88</v>
      </c>
      <c r="E2698" s="41">
        <v>100</v>
      </c>
      <c r="F2698" s="41" t="s">
        <v>556</v>
      </c>
      <c r="G2698" s="76">
        <f t="shared" si="461"/>
        <v>13621621.621621622</v>
      </c>
      <c r="H2698" s="56">
        <v>1</v>
      </c>
      <c r="I2698" s="58">
        <v>0.28000000000000003</v>
      </c>
      <c r="R2698" s="76">
        <f t="shared" si="457"/>
        <v>315000</v>
      </c>
      <c r="S2698" s="53">
        <v>126000</v>
      </c>
      <c r="T2698" s="53">
        <v>2860.5405405405404</v>
      </c>
      <c r="AH2698" s="93">
        <f t="shared" si="458"/>
        <v>13306621.621621622</v>
      </c>
      <c r="AO2698" s="53">
        <f t="shared" si="459"/>
        <v>13621621.621621622</v>
      </c>
      <c r="AP2698" s="53">
        <f t="shared" si="459"/>
        <v>3814054.0540540544</v>
      </c>
      <c r="AQ2698" s="53">
        <f t="shared" si="459"/>
        <v>0</v>
      </c>
      <c r="AR2698" s="53">
        <f t="shared" si="459"/>
        <v>0</v>
      </c>
      <c r="AS2698" s="53">
        <f t="shared" si="459"/>
        <v>0</v>
      </c>
      <c r="AT2698" s="53">
        <f t="shared" si="459"/>
        <v>0</v>
      </c>
      <c r="AU2698" s="53">
        <f t="shared" si="459"/>
        <v>0</v>
      </c>
      <c r="AV2698" s="53">
        <f t="shared" si="459"/>
        <v>0</v>
      </c>
      <c r="AW2698" s="53">
        <f t="shared" si="459"/>
        <v>0</v>
      </c>
      <c r="AX2698" s="53">
        <f t="shared" si="460"/>
        <v>1362162162.1621621</v>
      </c>
      <c r="AY2698" s="41" t="s">
        <v>557</v>
      </c>
    </row>
    <row r="2699" spans="1:51" x14ac:dyDescent="0.2">
      <c r="A2699" s="41" t="s">
        <v>121</v>
      </c>
      <c r="B2699" s="41">
        <v>2009</v>
      </c>
      <c r="C2699" s="41" t="s">
        <v>87</v>
      </c>
      <c r="D2699" s="41" t="s">
        <v>88</v>
      </c>
      <c r="E2699" s="41">
        <v>100</v>
      </c>
      <c r="F2699" s="41" t="s">
        <v>556</v>
      </c>
      <c r="G2699" s="76">
        <f t="shared" si="461"/>
        <v>13899613.899613898</v>
      </c>
      <c r="H2699" s="58">
        <v>0.91</v>
      </c>
      <c r="I2699" s="58">
        <v>0.27</v>
      </c>
      <c r="R2699" s="76">
        <f t="shared" si="457"/>
        <v>292500</v>
      </c>
      <c r="S2699" s="53">
        <v>117000</v>
      </c>
      <c r="T2699" s="53">
        <v>2814.6718146718144</v>
      </c>
      <c r="AH2699" s="93">
        <f t="shared" si="458"/>
        <v>13607113.899613898</v>
      </c>
      <c r="AO2699" s="53">
        <f t="shared" si="459"/>
        <v>12648648.648648648</v>
      </c>
      <c r="AP2699" s="53">
        <f t="shared" si="459"/>
        <v>3752895.7528957529</v>
      </c>
      <c r="AQ2699" s="53">
        <f t="shared" si="459"/>
        <v>0</v>
      </c>
      <c r="AR2699" s="53">
        <f t="shared" si="459"/>
        <v>0</v>
      </c>
      <c r="AS2699" s="53">
        <f t="shared" si="459"/>
        <v>0</v>
      </c>
      <c r="AT2699" s="53">
        <f t="shared" si="459"/>
        <v>0</v>
      </c>
      <c r="AU2699" s="53">
        <f t="shared" si="459"/>
        <v>0</v>
      </c>
      <c r="AV2699" s="53">
        <f t="shared" si="459"/>
        <v>0</v>
      </c>
      <c r="AW2699" s="53">
        <f t="shared" si="459"/>
        <v>0</v>
      </c>
      <c r="AX2699" s="53">
        <f t="shared" si="460"/>
        <v>1389961389.9613898</v>
      </c>
      <c r="AY2699" s="41" t="s">
        <v>557</v>
      </c>
    </row>
    <row r="2700" spans="1:51" x14ac:dyDescent="0.2">
      <c r="A2700" s="41" t="s">
        <v>121</v>
      </c>
      <c r="B2700" s="41">
        <v>2010</v>
      </c>
      <c r="C2700" s="41" t="s">
        <v>87</v>
      </c>
      <c r="D2700" s="41" t="s">
        <v>88</v>
      </c>
      <c r="E2700" s="41">
        <v>100</v>
      </c>
      <c r="F2700" s="41" t="s">
        <v>556</v>
      </c>
      <c r="G2700" s="76">
        <f t="shared" si="461"/>
        <v>15057915.057915058</v>
      </c>
      <c r="H2700" s="58">
        <v>0.84</v>
      </c>
      <c r="I2700" s="58">
        <v>0.3</v>
      </c>
      <c r="R2700" s="76">
        <f t="shared" si="457"/>
        <v>292500</v>
      </c>
      <c r="S2700" s="53">
        <v>117000</v>
      </c>
      <c r="T2700" s="53">
        <v>3388.0308880308876</v>
      </c>
      <c r="AH2700" s="93">
        <f t="shared" si="458"/>
        <v>14765415.057915058</v>
      </c>
      <c r="AO2700" s="53">
        <f t="shared" si="459"/>
        <v>12648648.648648648</v>
      </c>
      <c r="AP2700" s="53">
        <f t="shared" si="459"/>
        <v>4517374.5173745174</v>
      </c>
      <c r="AQ2700" s="53">
        <f t="shared" si="459"/>
        <v>0</v>
      </c>
      <c r="AR2700" s="53">
        <f t="shared" si="459"/>
        <v>0</v>
      </c>
      <c r="AS2700" s="53">
        <f t="shared" si="459"/>
        <v>0</v>
      </c>
      <c r="AT2700" s="53">
        <f t="shared" si="459"/>
        <v>0</v>
      </c>
      <c r="AU2700" s="53">
        <f t="shared" si="459"/>
        <v>0</v>
      </c>
      <c r="AV2700" s="53">
        <f t="shared" si="459"/>
        <v>0</v>
      </c>
      <c r="AW2700" s="53">
        <f t="shared" si="459"/>
        <v>0</v>
      </c>
      <c r="AX2700" s="53">
        <f t="shared" si="460"/>
        <v>1505791505.7915058</v>
      </c>
      <c r="AY2700" s="41" t="s">
        <v>557</v>
      </c>
    </row>
    <row r="2701" spans="1:51" x14ac:dyDescent="0.2">
      <c r="A2701" s="41" t="s">
        <v>121</v>
      </c>
      <c r="B2701" s="41">
        <v>2011</v>
      </c>
      <c r="C2701" s="41" t="s">
        <v>87</v>
      </c>
      <c r="D2701" s="41" t="s">
        <v>88</v>
      </c>
      <c r="E2701" s="41">
        <v>100</v>
      </c>
      <c r="F2701" s="41" t="s">
        <v>556</v>
      </c>
      <c r="G2701" s="76">
        <f t="shared" si="461"/>
        <v>14197329.85998046</v>
      </c>
      <c r="H2701" s="58">
        <v>0.83</v>
      </c>
      <c r="I2701" s="58">
        <v>0.2</v>
      </c>
      <c r="R2701" s="76">
        <f t="shared" si="457"/>
        <v>272500</v>
      </c>
      <c r="S2701" s="53">
        <v>109000</v>
      </c>
      <c r="T2701" s="53">
        <v>2799</v>
      </c>
      <c r="AH2701" s="93">
        <f t="shared" si="458"/>
        <v>13924829.85998046</v>
      </c>
      <c r="AO2701" s="53">
        <f t="shared" si="459"/>
        <v>11783783.783783782</v>
      </c>
      <c r="AP2701" s="53">
        <f t="shared" si="459"/>
        <v>2839465.9719960922</v>
      </c>
      <c r="AQ2701" s="53">
        <f t="shared" si="459"/>
        <v>0</v>
      </c>
      <c r="AR2701" s="53">
        <f t="shared" si="459"/>
        <v>0</v>
      </c>
      <c r="AS2701" s="53">
        <f t="shared" si="459"/>
        <v>0</v>
      </c>
      <c r="AT2701" s="53">
        <f t="shared" si="459"/>
        <v>0</v>
      </c>
      <c r="AU2701" s="53">
        <f t="shared" si="459"/>
        <v>0</v>
      </c>
      <c r="AV2701" s="53">
        <f t="shared" si="459"/>
        <v>0</v>
      </c>
      <c r="AW2701" s="53">
        <f t="shared" si="459"/>
        <v>0</v>
      </c>
      <c r="AX2701" s="53">
        <f t="shared" si="460"/>
        <v>1419732985.9980459</v>
      </c>
      <c r="AY2701" s="41" t="s">
        <v>557</v>
      </c>
    </row>
    <row r="2702" spans="1:51" x14ac:dyDescent="0.2">
      <c r="A2702" s="41" t="s">
        <v>121</v>
      </c>
      <c r="B2702" s="41">
        <v>2012</v>
      </c>
      <c r="C2702" s="41" t="s">
        <v>87</v>
      </c>
      <c r="D2702" s="41" t="s">
        <v>88</v>
      </c>
      <c r="E2702" s="41">
        <v>100</v>
      </c>
      <c r="F2702" s="41" t="s">
        <v>556</v>
      </c>
      <c r="G2702" s="76">
        <f t="shared" si="461"/>
        <v>14681348.014681345</v>
      </c>
      <c r="H2702" s="58">
        <v>0.81</v>
      </c>
      <c r="I2702" s="58">
        <v>0.24</v>
      </c>
      <c r="R2702" s="76">
        <f t="shared" si="457"/>
        <v>275000</v>
      </c>
      <c r="S2702" s="53">
        <v>110000</v>
      </c>
      <c r="T2702" s="53">
        <v>2332.5</v>
      </c>
      <c r="AH2702" s="93">
        <f t="shared" si="458"/>
        <v>14406348.014681345</v>
      </c>
      <c r="AO2702" s="53">
        <f t="shared" si="459"/>
        <v>11891891.891891889</v>
      </c>
      <c r="AP2702" s="53">
        <f t="shared" si="459"/>
        <v>3523523.5235235225</v>
      </c>
      <c r="AQ2702" s="53">
        <f t="shared" si="459"/>
        <v>0</v>
      </c>
      <c r="AR2702" s="53">
        <f t="shared" si="459"/>
        <v>0</v>
      </c>
      <c r="AS2702" s="53">
        <f t="shared" si="459"/>
        <v>0</v>
      </c>
      <c r="AT2702" s="53">
        <f t="shared" si="459"/>
        <v>0</v>
      </c>
      <c r="AU2702" s="53">
        <f t="shared" si="459"/>
        <v>0</v>
      </c>
      <c r="AV2702" s="53">
        <f t="shared" si="459"/>
        <v>0</v>
      </c>
      <c r="AW2702" s="53">
        <f t="shared" si="459"/>
        <v>0</v>
      </c>
      <c r="AX2702" s="53">
        <f t="shared" si="460"/>
        <v>1468134801.4681344</v>
      </c>
      <c r="AY2702" s="41" t="s">
        <v>557</v>
      </c>
    </row>
    <row r="2703" spans="1:51" x14ac:dyDescent="0.2">
      <c r="A2703" s="41" t="s">
        <v>121</v>
      </c>
      <c r="B2703" s="41">
        <v>2013</v>
      </c>
      <c r="C2703" s="41" t="s">
        <v>87</v>
      </c>
      <c r="D2703" s="41" t="s">
        <v>88</v>
      </c>
      <c r="E2703" s="41">
        <v>100</v>
      </c>
      <c r="F2703" s="41" t="s">
        <v>556</v>
      </c>
      <c r="G2703" s="76">
        <f t="shared" si="461"/>
        <v>16493416.493416492</v>
      </c>
      <c r="H2703" s="58">
        <v>0.78</v>
      </c>
      <c r="I2703" s="58">
        <v>0.2</v>
      </c>
      <c r="R2703" s="76">
        <f t="shared" si="457"/>
        <v>297500</v>
      </c>
      <c r="S2703" s="53">
        <v>119000</v>
      </c>
      <c r="T2703" s="53">
        <v>2425.8000000000002</v>
      </c>
      <c r="AH2703" s="93">
        <f>G2703-R2703</f>
        <v>16195916.493416492</v>
      </c>
      <c r="AO2703" s="53">
        <f t="shared" si="459"/>
        <v>12864864.864864863</v>
      </c>
      <c r="AP2703" s="53">
        <f t="shared" si="459"/>
        <v>3298683.2986832988</v>
      </c>
      <c r="AQ2703" s="53">
        <f t="shared" si="459"/>
        <v>0</v>
      </c>
      <c r="AR2703" s="53">
        <f t="shared" si="459"/>
        <v>0</v>
      </c>
      <c r="AS2703" s="53">
        <f t="shared" si="459"/>
        <v>0</v>
      </c>
      <c r="AT2703" s="53">
        <f t="shared" si="459"/>
        <v>0</v>
      </c>
      <c r="AU2703" s="53">
        <f t="shared" si="459"/>
        <v>0</v>
      </c>
      <c r="AV2703" s="53">
        <f t="shared" si="459"/>
        <v>0</v>
      </c>
      <c r="AW2703" s="53">
        <f t="shared" si="459"/>
        <v>0</v>
      </c>
      <c r="AX2703" s="53">
        <f t="shared" si="460"/>
        <v>1649341649.3416493</v>
      </c>
      <c r="AY2703" s="41" t="s">
        <v>557</v>
      </c>
    </row>
    <row r="2704" spans="1:51" x14ac:dyDescent="0.2">
      <c r="A2704" s="41" t="s">
        <v>121</v>
      </c>
      <c r="B2704" s="41">
        <v>2014</v>
      </c>
      <c r="C2704" s="41" t="s">
        <v>87</v>
      </c>
      <c r="D2704" s="41" t="s">
        <v>88</v>
      </c>
      <c r="E2704" s="41">
        <v>100</v>
      </c>
      <c r="F2704" s="41" t="s">
        <v>556</v>
      </c>
      <c r="G2704" s="53">
        <v>15105000</v>
      </c>
      <c r="H2704" s="41">
        <v>0.86</v>
      </c>
      <c r="I2704" s="58">
        <v>0.2</v>
      </c>
      <c r="R2704" s="76">
        <f t="shared" si="457"/>
        <v>275000</v>
      </c>
      <c r="S2704" s="53">
        <v>110000</v>
      </c>
      <c r="T2704" s="53">
        <v>2425.8000000000002</v>
      </c>
      <c r="AH2704" s="93">
        <f>G2704-R2704</f>
        <v>14830000</v>
      </c>
      <c r="AO2704" s="53">
        <f t="shared" si="459"/>
        <v>12990300</v>
      </c>
      <c r="AP2704" s="53">
        <f t="shared" si="459"/>
        <v>3021000</v>
      </c>
      <c r="AQ2704" s="53">
        <f t="shared" si="459"/>
        <v>0</v>
      </c>
      <c r="AR2704" s="53">
        <f t="shared" si="459"/>
        <v>0</v>
      </c>
      <c r="AS2704" s="53">
        <f t="shared" si="459"/>
        <v>0</v>
      </c>
      <c r="AT2704" s="53">
        <f t="shared" si="459"/>
        <v>0</v>
      </c>
      <c r="AU2704" s="53">
        <f t="shared" si="459"/>
        <v>0</v>
      </c>
      <c r="AV2704" s="53">
        <f t="shared" si="459"/>
        <v>0</v>
      </c>
      <c r="AW2704" s="53">
        <f t="shared" si="459"/>
        <v>0</v>
      </c>
      <c r="AX2704" s="53">
        <f t="shared" si="460"/>
        <v>1510500000</v>
      </c>
      <c r="AY2704" s="41" t="s">
        <v>557</v>
      </c>
    </row>
    <row r="2705" spans="1:51" x14ac:dyDescent="0.2">
      <c r="A2705" s="41" t="s">
        <v>121</v>
      </c>
      <c r="B2705" s="41">
        <v>2015</v>
      </c>
      <c r="C2705" s="41" t="s">
        <v>87</v>
      </c>
      <c r="D2705" s="41" t="s">
        <v>88</v>
      </c>
      <c r="E2705" s="62">
        <v>100</v>
      </c>
      <c r="F2705" s="41" t="s">
        <v>556</v>
      </c>
      <c r="G2705" s="53">
        <v>12857000</v>
      </c>
      <c r="H2705" s="41">
        <v>0.93</v>
      </c>
      <c r="I2705" s="58">
        <v>0.2</v>
      </c>
      <c r="R2705" s="76">
        <f t="shared" si="457"/>
        <v>260000</v>
      </c>
      <c r="S2705" s="53">
        <v>104000</v>
      </c>
      <c r="T2705" s="53">
        <v>2488</v>
      </c>
      <c r="AH2705" s="93">
        <f>G2705-R2705</f>
        <v>12597000</v>
      </c>
      <c r="AO2705" s="53">
        <f t="shared" si="459"/>
        <v>11957010</v>
      </c>
      <c r="AP2705" s="53">
        <f t="shared" si="459"/>
        <v>2571400</v>
      </c>
      <c r="AQ2705" s="53">
        <f t="shared" si="459"/>
        <v>0</v>
      </c>
      <c r="AR2705" s="53">
        <f t="shared" si="459"/>
        <v>0</v>
      </c>
      <c r="AS2705" s="53">
        <f t="shared" si="459"/>
        <v>0</v>
      </c>
      <c r="AT2705" s="53">
        <f t="shared" si="459"/>
        <v>0</v>
      </c>
      <c r="AU2705" s="53">
        <f t="shared" si="459"/>
        <v>0</v>
      </c>
      <c r="AV2705" s="53">
        <f t="shared" si="459"/>
        <v>0</v>
      </c>
      <c r="AW2705" s="53">
        <f t="shared" si="459"/>
        <v>0</v>
      </c>
      <c r="AX2705" s="53">
        <f t="shared" si="460"/>
        <v>1285700000</v>
      </c>
      <c r="AY2705" s="41" t="s">
        <v>557</v>
      </c>
    </row>
    <row r="2706" spans="1:51" x14ac:dyDescent="0.2">
      <c r="A2706" s="41" t="s">
        <v>121</v>
      </c>
      <c r="B2706" s="41">
        <v>2016</v>
      </c>
      <c r="C2706" s="41" t="s">
        <v>87</v>
      </c>
      <c r="D2706" s="41" t="s">
        <v>88</v>
      </c>
      <c r="E2706" s="62">
        <v>100</v>
      </c>
      <c r="F2706" s="41" t="s">
        <v>556</v>
      </c>
      <c r="G2706" s="53">
        <v>12687000</v>
      </c>
      <c r="H2706" s="41">
        <v>0.82</v>
      </c>
      <c r="I2706" s="58">
        <v>0.2</v>
      </c>
      <c r="R2706" s="76">
        <f>S2706/0.4</f>
        <v>232500</v>
      </c>
      <c r="S2706" s="53">
        <v>93000</v>
      </c>
      <c r="T2706" s="53">
        <v>2083.6999999999998</v>
      </c>
      <c r="AH2706" s="93">
        <f>G2706-R2706</f>
        <v>12454500</v>
      </c>
      <c r="AO2706" s="53">
        <f t="shared" si="459"/>
        <v>10403340</v>
      </c>
      <c r="AP2706" s="53">
        <f t="shared" si="459"/>
        <v>2537400</v>
      </c>
      <c r="AQ2706" s="53">
        <f t="shared" si="459"/>
        <v>0</v>
      </c>
      <c r="AR2706" s="53">
        <f t="shared" si="459"/>
        <v>0</v>
      </c>
      <c r="AS2706" s="53">
        <f t="shared" si="459"/>
        <v>0</v>
      </c>
      <c r="AT2706" s="53">
        <f t="shared" si="459"/>
        <v>0</v>
      </c>
      <c r="AU2706" s="53">
        <f t="shared" si="459"/>
        <v>0</v>
      </c>
      <c r="AV2706" s="53">
        <f t="shared" si="459"/>
        <v>0</v>
      </c>
      <c r="AW2706" s="53">
        <f t="shared" si="459"/>
        <v>0</v>
      </c>
      <c r="AX2706" s="53">
        <f t="shared" si="460"/>
        <v>1268700000</v>
      </c>
      <c r="AY2706" s="41" t="s">
        <v>557</v>
      </c>
    </row>
    <row r="2707" spans="1:51" x14ac:dyDescent="0.2">
      <c r="A2707" s="41" t="s">
        <v>121</v>
      </c>
      <c r="B2707" s="60" t="s">
        <v>559</v>
      </c>
      <c r="C2707" s="60" t="s">
        <v>87</v>
      </c>
      <c r="D2707" s="60" t="s">
        <v>88</v>
      </c>
      <c r="E2707" s="60">
        <v>100</v>
      </c>
      <c r="F2707" s="60" t="s">
        <v>556</v>
      </c>
      <c r="G2707" s="79">
        <f>SUM(G2694:G2706)</f>
        <v>174683431.49124491</v>
      </c>
      <c r="H2707" s="80">
        <f>AO2707/G2707</f>
        <v>0.8911833995665851</v>
      </c>
      <c r="I2707" s="80">
        <f>AP2707/G2707</f>
        <v>0.25017113934999796</v>
      </c>
      <c r="R2707" s="79">
        <f>SUM(R2694:R2706)</f>
        <v>3550000</v>
      </c>
      <c r="S2707" s="79">
        <f>SUM(S2694:S2706)</f>
        <v>1420000</v>
      </c>
      <c r="T2707" s="79">
        <f>SUM(T2694:T2706)</f>
        <v>33986.760215646842</v>
      </c>
      <c r="AH2707" s="79">
        <f>SUM(AH2694:AH2706)</f>
        <v>171133431.49124491</v>
      </c>
      <c r="AO2707" s="79">
        <f t="shared" ref="AO2707:AX2707" si="462">SUM(AO2694:AO2706)</f>
        <v>155674974.32432431</v>
      </c>
      <c r="AP2707" s="79">
        <f t="shared" si="462"/>
        <v>43700753.08173205</v>
      </c>
      <c r="AQ2707" s="79">
        <f t="shared" si="462"/>
        <v>0</v>
      </c>
      <c r="AR2707" s="79">
        <f t="shared" si="462"/>
        <v>0</v>
      </c>
      <c r="AS2707" s="79">
        <f t="shared" si="462"/>
        <v>0</v>
      </c>
      <c r="AT2707" s="79">
        <f t="shared" si="462"/>
        <v>0</v>
      </c>
      <c r="AU2707" s="79">
        <f t="shared" si="462"/>
        <v>0</v>
      </c>
      <c r="AV2707" s="79">
        <f t="shared" si="462"/>
        <v>0</v>
      </c>
      <c r="AW2707" s="79">
        <f t="shared" si="462"/>
        <v>0</v>
      </c>
      <c r="AX2707" s="79">
        <f t="shared" si="462"/>
        <v>17468343149.124493</v>
      </c>
      <c r="AY2707" s="41" t="s">
        <v>557</v>
      </c>
    </row>
    <row r="2708" spans="1:51" x14ac:dyDescent="0.2">
      <c r="A2708" s="41" t="s">
        <v>121</v>
      </c>
      <c r="B2708" s="43" t="s">
        <v>560</v>
      </c>
      <c r="G2708" s="53">
        <f>STDEV(G2694:G2706)</f>
        <v>2094183.7975734423</v>
      </c>
      <c r="H2708" s="46">
        <f>STDEV(H2694:H2706)</f>
        <v>8.0256000654316456E-2</v>
      </c>
      <c r="I2708" s="46">
        <f>STDEV(I2694:I2706)</f>
        <v>4.6794696171078551E-2</v>
      </c>
      <c r="R2708" s="53">
        <f>STDEV(R2694:R2706)</f>
        <v>34189.329569476176</v>
      </c>
      <c r="S2708" s="53">
        <f>STDEV(S2694:S2706)</f>
        <v>13675.731827790418</v>
      </c>
      <c r="T2708" s="53">
        <f>STDEV(T2694:T2706)</f>
        <v>427.36427703254458</v>
      </c>
      <c r="AH2708" s="53">
        <f>STDEV(AH2694:AH2706)</f>
        <v>2067449.7156939816</v>
      </c>
      <c r="AY2708" s="41" t="s">
        <v>557</v>
      </c>
    </row>
    <row r="2709" spans="1:51" x14ac:dyDescent="0.2">
      <c r="A2709" s="41" t="s">
        <v>121</v>
      </c>
      <c r="B2709" s="81" t="s">
        <v>249</v>
      </c>
      <c r="G2709" s="41">
        <f>COUNT(G2694:G2706)</f>
        <v>13</v>
      </c>
      <c r="H2709" s="41">
        <f>COUNT(H2694:H2706)</f>
        <v>13</v>
      </c>
      <c r="I2709" s="41">
        <f>COUNT(I2694:I2706)</f>
        <v>13</v>
      </c>
      <c r="R2709" s="41">
        <f>COUNT(R2694:R2706)</f>
        <v>13</v>
      </c>
      <c r="S2709" s="41">
        <f>COUNT(S2694:S2706)</f>
        <v>13</v>
      </c>
      <c r="T2709" s="41">
        <f>COUNT(T2694:T2706)</f>
        <v>13</v>
      </c>
      <c r="AH2709" s="41">
        <f>COUNT(AH2694:AH2706)</f>
        <v>13</v>
      </c>
      <c r="AY2709" s="41" t="s">
        <v>557</v>
      </c>
    </row>
    <row r="2710" spans="1:51" x14ac:dyDescent="0.2">
      <c r="A2710" s="82"/>
      <c r="B2710" s="82"/>
      <c r="C2710" s="82"/>
      <c r="D2710" s="82"/>
      <c r="E2710" s="82"/>
      <c r="F2710" s="82"/>
      <c r="G2710" s="82"/>
      <c r="H2710" s="82"/>
      <c r="I2710" s="82"/>
      <c r="J2710" s="82"/>
      <c r="K2710" s="82"/>
      <c r="L2710" s="82"/>
      <c r="M2710" s="82"/>
      <c r="N2710" s="82"/>
      <c r="O2710" s="82"/>
      <c r="P2710" s="82"/>
      <c r="Q2710" s="82"/>
      <c r="R2710" s="82"/>
      <c r="S2710" s="82"/>
      <c r="T2710" s="82"/>
      <c r="U2710" s="82"/>
      <c r="V2710" s="82"/>
      <c r="W2710" s="82"/>
      <c r="X2710" s="82"/>
      <c r="Y2710" s="82"/>
      <c r="Z2710" s="82"/>
      <c r="AA2710" s="82"/>
      <c r="AB2710" s="82"/>
      <c r="AC2710" s="82"/>
      <c r="AD2710" s="82"/>
      <c r="AE2710" s="82"/>
      <c r="AF2710" s="82"/>
      <c r="AG2710" s="82"/>
      <c r="AH2710" s="82"/>
      <c r="AI2710" s="82"/>
      <c r="AJ2710" s="82"/>
      <c r="AK2710" s="82"/>
      <c r="AL2710" s="82"/>
      <c r="AM2710" s="82"/>
      <c r="AN2710" s="82"/>
      <c r="AO2710" s="82"/>
      <c r="AP2710" s="82"/>
      <c r="AQ2710" s="82"/>
      <c r="AR2710" s="82"/>
      <c r="AS2710" s="82"/>
      <c r="AT2710" s="82"/>
      <c r="AU2710" s="82"/>
      <c r="AV2710" s="82"/>
      <c r="AW2710" s="82"/>
      <c r="AX2710" s="82"/>
      <c r="AY2710" s="41" t="s">
        <v>557</v>
      </c>
    </row>
    <row r="2711" spans="1:51" x14ac:dyDescent="0.2">
      <c r="A2711" s="41" t="s">
        <v>147</v>
      </c>
      <c r="B2711" s="41">
        <v>2006</v>
      </c>
      <c r="C2711" s="41" t="s">
        <v>87</v>
      </c>
      <c r="D2711" s="41" t="s">
        <v>113</v>
      </c>
      <c r="E2711" s="41">
        <v>100</v>
      </c>
      <c r="F2711" s="41" t="s">
        <v>9</v>
      </c>
      <c r="AI2711" s="53">
        <v>3510000</v>
      </c>
      <c r="AJ2711" s="41">
        <v>1.76</v>
      </c>
      <c r="AL2711" s="53">
        <v>4300</v>
      </c>
      <c r="AM2711" s="53">
        <v>16819000</v>
      </c>
      <c r="AO2711" s="53">
        <f t="shared" ref="AO2711:AO2720" si="463">$AI2711*AJ2711</f>
        <v>6177600</v>
      </c>
      <c r="AX2711" s="53">
        <f t="shared" ref="AX2711:AX2721" si="464">$AI2711*E2711</f>
        <v>351000000</v>
      </c>
      <c r="AY2711" s="41" t="s">
        <v>557</v>
      </c>
    </row>
    <row r="2712" spans="1:51" x14ac:dyDescent="0.2">
      <c r="A2712" s="41" t="s">
        <v>147</v>
      </c>
      <c r="B2712" s="41">
        <v>2007</v>
      </c>
      <c r="C2712" s="41" t="s">
        <v>87</v>
      </c>
      <c r="D2712" s="41" t="s">
        <v>113</v>
      </c>
      <c r="E2712" s="41">
        <v>100</v>
      </c>
      <c r="F2712" s="41" t="s">
        <v>9</v>
      </c>
      <c r="AI2712" s="53">
        <v>16465000</v>
      </c>
      <c r="AJ2712" s="46">
        <v>1.7417825690859399</v>
      </c>
      <c r="AK2712" s="46"/>
      <c r="AL2712" s="53">
        <v>129300</v>
      </c>
      <c r="AM2712" s="53">
        <v>60235000</v>
      </c>
      <c r="AO2712" s="53">
        <f t="shared" si="463"/>
        <v>28678450</v>
      </c>
      <c r="AX2712" s="53">
        <f t="shared" si="464"/>
        <v>1646500000</v>
      </c>
      <c r="AY2712" s="41" t="s">
        <v>557</v>
      </c>
    </row>
    <row r="2713" spans="1:51" x14ac:dyDescent="0.2">
      <c r="A2713" s="41" t="s">
        <v>147</v>
      </c>
      <c r="B2713" s="41">
        <v>2008</v>
      </c>
      <c r="C2713" s="41" t="s">
        <v>87</v>
      </c>
      <c r="D2713" s="41" t="s">
        <v>113</v>
      </c>
      <c r="E2713" s="41">
        <v>100</v>
      </c>
      <c r="F2713" s="41" t="s">
        <v>9</v>
      </c>
      <c r="AI2713" s="53">
        <v>16817000</v>
      </c>
      <c r="AJ2713" s="46">
        <v>1.8049729440447166</v>
      </c>
      <c r="AK2713" s="46"/>
      <c r="AL2713" s="53">
        <v>164800</v>
      </c>
      <c r="AM2713" s="53">
        <v>62883000</v>
      </c>
      <c r="AO2713" s="53">
        <f t="shared" si="463"/>
        <v>30354230</v>
      </c>
      <c r="AX2713" s="53">
        <f t="shared" si="464"/>
        <v>1681700000</v>
      </c>
      <c r="AY2713" s="41" t="s">
        <v>557</v>
      </c>
    </row>
    <row r="2714" spans="1:51" x14ac:dyDescent="0.2">
      <c r="A2714" s="41" t="s">
        <v>147</v>
      </c>
      <c r="B2714" s="41">
        <v>2009</v>
      </c>
      <c r="C2714" s="41" t="s">
        <v>87</v>
      </c>
      <c r="D2714" s="41" t="s">
        <v>113</v>
      </c>
      <c r="E2714" s="41">
        <v>100</v>
      </c>
      <c r="F2714" s="41" t="s">
        <v>9</v>
      </c>
      <c r="AI2714" s="53">
        <v>15081000</v>
      </c>
      <c r="AJ2714" s="46">
        <v>1.450557655327896</v>
      </c>
      <c r="AK2714" s="46"/>
      <c r="AL2714" s="53">
        <v>162300</v>
      </c>
      <c r="AM2714" s="53">
        <v>47384000</v>
      </c>
      <c r="AO2714" s="53">
        <f t="shared" si="463"/>
        <v>21875860</v>
      </c>
      <c r="AX2714" s="53">
        <f t="shared" si="464"/>
        <v>1508100000</v>
      </c>
      <c r="AY2714" s="41" t="s">
        <v>557</v>
      </c>
    </row>
    <row r="2715" spans="1:51" x14ac:dyDescent="0.2">
      <c r="A2715" s="41" t="s">
        <v>147</v>
      </c>
      <c r="B2715" s="41">
        <v>2010</v>
      </c>
      <c r="C2715" s="41" t="s">
        <v>87</v>
      </c>
      <c r="D2715" s="41" t="s">
        <v>113</v>
      </c>
      <c r="E2715" s="41">
        <v>100</v>
      </c>
      <c r="F2715" s="41" t="s">
        <v>9</v>
      </c>
      <c r="AI2715" s="53">
        <v>18300000</v>
      </c>
      <c r="AJ2715" s="46">
        <v>1.2690311475409837</v>
      </c>
      <c r="AK2715" s="46"/>
      <c r="AL2715" s="53">
        <v>178100</v>
      </c>
      <c r="AM2715" s="53">
        <v>55167000</v>
      </c>
      <c r="AO2715" s="53">
        <f t="shared" si="463"/>
        <v>23223270</v>
      </c>
      <c r="AX2715" s="53">
        <f t="shared" si="464"/>
        <v>1830000000</v>
      </c>
      <c r="AY2715" s="41" t="s">
        <v>557</v>
      </c>
    </row>
    <row r="2716" spans="1:51" x14ac:dyDescent="0.2">
      <c r="A2716" s="41" t="s">
        <v>147</v>
      </c>
      <c r="B2716" s="41">
        <v>2011</v>
      </c>
      <c r="C2716" s="41" t="s">
        <v>87</v>
      </c>
      <c r="D2716" s="41" t="s">
        <v>113</v>
      </c>
      <c r="E2716" s="41">
        <v>100</v>
      </c>
      <c r="F2716" s="41" t="s">
        <v>9</v>
      </c>
      <c r="AI2716" s="53">
        <v>18208000</v>
      </c>
      <c r="AJ2716" s="46">
        <v>1.3043607205623902</v>
      </c>
      <c r="AK2716" s="46"/>
      <c r="AL2716" s="53">
        <v>180900</v>
      </c>
      <c r="AM2716" s="53">
        <v>66652000</v>
      </c>
      <c r="AO2716" s="53">
        <f t="shared" si="463"/>
        <v>23749800</v>
      </c>
      <c r="AX2716" s="53">
        <f t="shared" si="464"/>
        <v>1820800000</v>
      </c>
      <c r="AY2716" s="41" t="s">
        <v>557</v>
      </c>
    </row>
    <row r="2717" spans="1:51" x14ac:dyDescent="0.2">
      <c r="A2717" s="41" t="s">
        <v>147</v>
      </c>
      <c r="B2717" s="41">
        <v>2012</v>
      </c>
      <c r="C2717" s="41" t="s">
        <v>87</v>
      </c>
      <c r="D2717" s="41" t="s">
        <v>113</v>
      </c>
      <c r="E2717" s="41">
        <v>100</v>
      </c>
      <c r="F2717" s="41" t="s">
        <v>9</v>
      </c>
      <c r="AI2717" s="53">
        <v>15796000</v>
      </c>
      <c r="AJ2717" s="46">
        <v>1.234834768295771</v>
      </c>
      <c r="AK2717" s="46"/>
      <c r="AL2717" s="53">
        <v>166700</v>
      </c>
      <c r="AM2717" s="53">
        <v>96320000</v>
      </c>
      <c r="AO2717" s="53">
        <f t="shared" si="463"/>
        <v>19505450</v>
      </c>
      <c r="AX2717" s="53">
        <f t="shared" si="464"/>
        <v>1579600000</v>
      </c>
      <c r="AY2717" s="41" t="s">
        <v>557</v>
      </c>
    </row>
    <row r="2718" spans="1:51" x14ac:dyDescent="0.2">
      <c r="A2718" s="41" t="s">
        <v>147</v>
      </c>
      <c r="B2718" s="41">
        <v>2013</v>
      </c>
      <c r="C2718" s="41" t="s">
        <v>87</v>
      </c>
      <c r="D2718" s="41" t="s">
        <v>113</v>
      </c>
      <c r="E2718" s="41">
        <v>100</v>
      </c>
      <c r="F2718" s="41" t="s">
        <v>9</v>
      </c>
      <c r="AI2718" s="53">
        <v>17835000</v>
      </c>
      <c r="AJ2718" s="46">
        <v>1.2203835155592935</v>
      </c>
      <c r="AK2718" s="46"/>
      <c r="AL2718" s="53">
        <v>151200</v>
      </c>
      <c r="AM2718" s="53">
        <v>91914000</v>
      </c>
      <c r="AO2718" s="53">
        <f t="shared" si="463"/>
        <v>21765540</v>
      </c>
      <c r="AX2718" s="53">
        <f t="shared" si="464"/>
        <v>1783500000</v>
      </c>
      <c r="AY2718" s="41" t="s">
        <v>557</v>
      </c>
    </row>
    <row r="2719" spans="1:51" x14ac:dyDescent="0.2">
      <c r="A2719" s="41" t="s">
        <v>147</v>
      </c>
      <c r="B2719" s="41">
        <v>2014</v>
      </c>
      <c r="C2719" s="41" t="s">
        <v>87</v>
      </c>
      <c r="D2719" s="41" t="s">
        <v>113</v>
      </c>
      <c r="E2719" s="41">
        <v>100</v>
      </c>
      <c r="F2719" s="41" t="s">
        <v>9</v>
      </c>
      <c r="AI2719" s="53">
        <v>17479000</v>
      </c>
      <c r="AJ2719" s="46">
        <v>1.262516162251845</v>
      </c>
      <c r="AK2719" s="46"/>
      <c r="AL2719" s="53">
        <v>176000</v>
      </c>
      <c r="AM2719" s="53">
        <v>81180000</v>
      </c>
      <c r="AO2719" s="53">
        <f t="shared" si="463"/>
        <v>22067520</v>
      </c>
      <c r="AX2719" s="53">
        <f t="shared" si="464"/>
        <v>1747900000</v>
      </c>
      <c r="AY2719" s="41" t="s">
        <v>557</v>
      </c>
    </row>
    <row r="2720" spans="1:51" x14ac:dyDescent="0.2">
      <c r="A2720" s="41" t="s">
        <v>147</v>
      </c>
      <c r="B2720" s="41">
        <v>2015</v>
      </c>
      <c r="C2720" s="41" t="s">
        <v>87</v>
      </c>
      <c r="D2720" s="41" t="s">
        <v>113</v>
      </c>
      <c r="E2720" s="41">
        <v>100</v>
      </c>
      <c r="F2720" s="41" t="s">
        <v>9</v>
      </c>
      <c r="AI2720" s="53">
        <v>17930000</v>
      </c>
      <c r="AJ2720" s="46">
        <v>1.2658812046848857</v>
      </c>
      <c r="AK2720" s="46"/>
      <c r="AL2720" s="53">
        <v>175600</v>
      </c>
      <c r="AM2720" s="53">
        <v>69076000</v>
      </c>
      <c r="AO2720" s="53">
        <f t="shared" si="463"/>
        <v>22697250</v>
      </c>
      <c r="AX2720" s="53">
        <f t="shared" si="464"/>
        <v>1793000000</v>
      </c>
      <c r="AY2720" s="41" t="s">
        <v>557</v>
      </c>
    </row>
    <row r="2721" spans="1:51" x14ac:dyDescent="0.2">
      <c r="A2721" s="41" t="s">
        <v>147</v>
      </c>
      <c r="B2721" s="41">
        <v>2016</v>
      </c>
      <c r="C2721" s="41" t="s">
        <v>87</v>
      </c>
      <c r="D2721" s="41" t="s">
        <v>113</v>
      </c>
      <c r="E2721" s="41">
        <v>100</v>
      </c>
      <c r="F2721" s="41" t="s">
        <v>9</v>
      </c>
      <c r="AI2721" s="53">
        <v>19091000</v>
      </c>
      <c r="AJ2721" s="46">
        <v>1.2382855795924781</v>
      </c>
      <c r="AK2721" s="46"/>
      <c r="AL2721" s="53">
        <v>167500</v>
      </c>
      <c r="AM2721" s="53">
        <v>70855000</v>
      </c>
      <c r="AO2721" s="53">
        <f>$AI2721*AJ2721</f>
        <v>23640110</v>
      </c>
      <c r="AX2721" s="53">
        <f t="shared" si="464"/>
        <v>1909100000</v>
      </c>
      <c r="AY2721" s="41" t="s">
        <v>557</v>
      </c>
    </row>
    <row r="2722" spans="1:51" x14ac:dyDescent="0.2">
      <c r="A2722" s="41" t="s">
        <v>147</v>
      </c>
      <c r="B2722" s="60" t="s">
        <v>559</v>
      </c>
      <c r="C2722" s="60" t="s">
        <v>87</v>
      </c>
      <c r="D2722" s="60" t="s">
        <v>113</v>
      </c>
      <c r="E2722" s="60">
        <v>100</v>
      </c>
      <c r="F2722" s="60" t="s">
        <v>9</v>
      </c>
      <c r="AI2722" s="79">
        <f>SUM(AI2711:AI2721)</f>
        <v>176512000</v>
      </c>
      <c r="AJ2722" s="80">
        <f>AO2722/AI2722</f>
        <v>1.3808414158810733</v>
      </c>
      <c r="AK2722" s="80"/>
      <c r="AL2722" s="79">
        <f>SUM(AL2711:AL2721)</f>
        <v>1656700</v>
      </c>
      <c r="AM2722" s="79">
        <f>SUM(AM2711:AM2721)</f>
        <v>718485000</v>
      </c>
      <c r="AO2722" s="79">
        <f>SUM(AO2711:AO2721)</f>
        <v>243735080</v>
      </c>
      <c r="AX2722" s="79">
        <f>SUM(AX2711:AX2721)</f>
        <v>17651200000</v>
      </c>
      <c r="AY2722" s="41" t="s">
        <v>557</v>
      </c>
    </row>
    <row r="2723" spans="1:51" x14ac:dyDescent="0.2">
      <c r="A2723" s="41" t="s">
        <v>147</v>
      </c>
      <c r="B2723" s="43" t="s">
        <v>560</v>
      </c>
      <c r="AI2723" s="53">
        <f>STDEV(AI2711:AI2721)</f>
        <v>4321403.3684356809</v>
      </c>
      <c r="AJ2723" s="46">
        <f>STDEV(AJ2711:AJ2721)</f>
        <v>0.23658822717663444</v>
      </c>
      <c r="AK2723" s="46"/>
      <c r="AL2723" s="53">
        <f>STDEV(AL2711:AL2721)</f>
        <v>50680.952132836937</v>
      </c>
      <c r="AM2723" s="53">
        <f>STDEV(AM2711:AM2721)</f>
        <v>21852288.23175358</v>
      </c>
      <c r="AY2723" s="41" t="s">
        <v>557</v>
      </c>
    </row>
    <row r="2724" spans="1:51" x14ac:dyDescent="0.2">
      <c r="A2724" s="41" t="s">
        <v>147</v>
      </c>
      <c r="B2724" s="81" t="s">
        <v>249</v>
      </c>
      <c r="AI2724" s="41">
        <f>COUNT(AI2711:AI2721)</f>
        <v>11</v>
      </c>
      <c r="AJ2724" s="41">
        <f>COUNT(AJ2711:AJ2721)</f>
        <v>11</v>
      </c>
      <c r="AL2724" s="41">
        <f>COUNT(AL2711:AL2721)</f>
        <v>11</v>
      </c>
      <c r="AM2724" s="41">
        <f>COUNT(AM2711:AM2721)</f>
        <v>11</v>
      </c>
      <c r="AY2724" s="41" t="s">
        <v>557</v>
      </c>
    </row>
    <row r="2725" spans="1:51" x14ac:dyDescent="0.2">
      <c r="A2725" s="82"/>
      <c r="B2725" s="82"/>
      <c r="C2725" s="82"/>
      <c r="D2725" s="82"/>
      <c r="E2725" s="82"/>
      <c r="F2725" s="82"/>
      <c r="G2725" s="82"/>
      <c r="H2725" s="82"/>
      <c r="I2725" s="82"/>
      <c r="J2725" s="82"/>
      <c r="K2725" s="82"/>
      <c r="L2725" s="82"/>
      <c r="M2725" s="82"/>
      <c r="N2725" s="82"/>
      <c r="O2725" s="82"/>
      <c r="P2725" s="82"/>
      <c r="Q2725" s="82"/>
      <c r="R2725" s="82"/>
      <c r="S2725" s="82"/>
      <c r="T2725" s="82"/>
      <c r="U2725" s="82"/>
      <c r="V2725" s="82"/>
      <c r="W2725" s="82"/>
      <c r="X2725" s="82"/>
      <c r="Y2725" s="82"/>
      <c r="Z2725" s="82"/>
      <c r="AA2725" s="82"/>
      <c r="AB2725" s="82"/>
      <c r="AC2725" s="82"/>
      <c r="AD2725" s="82"/>
      <c r="AE2725" s="82"/>
      <c r="AF2725" s="82"/>
      <c r="AG2725" s="82"/>
      <c r="AH2725" s="82"/>
      <c r="AI2725" s="82"/>
      <c r="AJ2725" s="82"/>
      <c r="AK2725" s="82"/>
      <c r="AL2725" s="82"/>
      <c r="AM2725" s="82"/>
      <c r="AN2725" s="82"/>
      <c r="AO2725" s="82"/>
      <c r="AP2725" s="82"/>
      <c r="AQ2725" s="82"/>
      <c r="AR2725" s="82"/>
      <c r="AS2725" s="82"/>
      <c r="AT2725" s="82"/>
      <c r="AU2725" s="82"/>
      <c r="AV2725" s="82"/>
      <c r="AW2725" s="82"/>
      <c r="AX2725" s="82"/>
      <c r="AY2725" s="41" t="s">
        <v>557</v>
      </c>
    </row>
    <row r="2726" spans="1:51" x14ac:dyDescent="0.2">
      <c r="A2726" s="41" t="s">
        <v>109</v>
      </c>
      <c r="B2726" s="41">
        <v>1977</v>
      </c>
      <c r="C2726" s="41" t="s">
        <v>96</v>
      </c>
      <c r="D2726" s="41" t="s">
        <v>699</v>
      </c>
      <c r="E2726" s="41">
        <v>100</v>
      </c>
      <c r="F2726" s="41" t="s">
        <v>587</v>
      </c>
      <c r="G2726" s="53">
        <v>293087</v>
      </c>
      <c r="I2726" s="54">
        <f>1000*T2726/G2726/0.8</f>
        <v>18.906502164886192</v>
      </c>
      <c r="T2726" s="53">
        <v>4433</v>
      </c>
      <c r="AH2726" s="53">
        <f>G2726-R2726</f>
        <v>293087</v>
      </c>
      <c r="AM2726" s="91">
        <f>4*G2726</f>
        <v>1172348</v>
      </c>
      <c r="AO2726" s="53">
        <f t="shared" ref="AO2726:AW2754" si="465">$G2726*H2726</f>
        <v>0</v>
      </c>
      <c r="AP2726" s="53">
        <f t="shared" si="465"/>
        <v>5541249.9999999991</v>
      </c>
      <c r="AQ2726" s="53">
        <f t="shared" si="465"/>
        <v>0</v>
      </c>
      <c r="AR2726" s="53">
        <f t="shared" si="465"/>
        <v>0</v>
      </c>
      <c r="AS2726" s="53">
        <f t="shared" si="465"/>
        <v>0</v>
      </c>
      <c r="AT2726" s="53">
        <f t="shared" si="465"/>
        <v>0</v>
      </c>
      <c r="AU2726" s="53">
        <f t="shared" si="465"/>
        <v>0</v>
      </c>
      <c r="AV2726" s="53">
        <f t="shared" si="465"/>
        <v>0</v>
      </c>
      <c r="AW2726" s="53">
        <f t="shared" si="465"/>
        <v>0</v>
      </c>
      <c r="AX2726" s="53">
        <f t="shared" ref="AX2726:AX2801" si="466">$G2726*E2726</f>
        <v>29308700</v>
      </c>
      <c r="AY2726" s="41" t="s">
        <v>557</v>
      </c>
    </row>
    <row r="2727" spans="1:51" x14ac:dyDescent="0.2">
      <c r="A2727" s="41" t="s">
        <v>109</v>
      </c>
      <c r="B2727" s="41">
        <v>1978</v>
      </c>
      <c r="C2727" s="41" t="s">
        <v>96</v>
      </c>
      <c r="D2727" s="41" t="s">
        <v>699</v>
      </c>
      <c r="E2727" s="41">
        <v>100</v>
      </c>
      <c r="F2727" s="41" t="s">
        <v>587</v>
      </c>
      <c r="G2727" s="53">
        <v>435612</v>
      </c>
      <c r="I2727" s="54">
        <f>1000*T2727/G2727/0.9</f>
        <v>17.854829017055952</v>
      </c>
      <c r="T2727" s="53">
        <v>7000</v>
      </c>
      <c r="AH2727" s="53">
        <f t="shared" ref="AH2727:AH2762" si="467">G2727-R2727</f>
        <v>435612</v>
      </c>
      <c r="AM2727" s="91">
        <f>4*G2727</f>
        <v>1742448</v>
      </c>
      <c r="AO2727" s="53">
        <f t="shared" si="465"/>
        <v>0</v>
      </c>
      <c r="AP2727" s="53">
        <f t="shared" si="465"/>
        <v>7777777.7777777771</v>
      </c>
      <c r="AQ2727" s="53">
        <f t="shared" si="465"/>
        <v>0</v>
      </c>
      <c r="AR2727" s="53">
        <f t="shared" si="465"/>
        <v>0</v>
      </c>
      <c r="AS2727" s="53">
        <f t="shared" si="465"/>
        <v>0</v>
      </c>
      <c r="AT2727" s="53">
        <f t="shared" si="465"/>
        <v>0</v>
      </c>
      <c r="AU2727" s="53">
        <f t="shared" si="465"/>
        <v>0</v>
      </c>
      <c r="AV2727" s="53">
        <f t="shared" si="465"/>
        <v>0</v>
      </c>
      <c r="AW2727" s="53">
        <f t="shared" si="465"/>
        <v>0</v>
      </c>
      <c r="AX2727" s="53">
        <f t="shared" si="466"/>
        <v>43561200</v>
      </c>
      <c r="AY2727" s="41" t="s">
        <v>557</v>
      </c>
    </row>
    <row r="2728" spans="1:51" x14ac:dyDescent="0.2">
      <c r="A2728" s="41" t="s">
        <v>109</v>
      </c>
      <c r="B2728" s="41">
        <v>1979</v>
      </c>
      <c r="C2728" s="41" t="s">
        <v>96</v>
      </c>
      <c r="D2728" s="41" t="s">
        <v>699</v>
      </c>
      <c r="E2728" s="41">
        <v>100</v>
      </c>
      <c r="F2728" s="41" t="s">
        <v>587</v>
      </c>
      <c r="G2728" s="53">
        <v>439510</v>
      </c>
      <c r="I2728" s="54">
        <f t="shared" ref="I2728:I2736" si="468">1000*T2728/G2728/0.9</f>
        <v>13.378535186912696</v>
      </c>
      <c r="T2728" s="53">
        <v>5292</v>
      </c>
      <c r="AH2728" s="53">
        <f t="shared" si="467"/>
        <v>439510</v>
      </c>
      <c r="AM2728" s="91">
        <f>4*G2728</f>
        <v>1758040</v>
      </c>
      <c r="AO2728" s="53">
        <f t="shared" si="465"/>
        <v>0</v>
      </c>
      <c r="AP2728" s="53">
        <f t="shared" si="465"/>
        <v>5879999.9999999991</v>
      </c>
      <c r="AQ2728" s="53">
        <f t="shared" si="465"/>
        <v>0</v>
      </c>
      <c r="AR2728" s="53">
        <f t="shared" si="465"/>
        <v>0</v>
      </c>
      <c r="AS2728" s="53">
        <f t="shared" si="465"/>
        <v>0</v>
      </c>
      <c r="AT2728" s="53">
        <f t="shared" si="465"/>
        <v>0</v>
      </c>
      <c r="AU2728" s="53">
        <f t="shared" si="465"/>
        <v>0</v>
      </c>
      <c r="AV2728" s="53">
        <f t="shared" si="465"/>
        <v>0</v>
      </c>
      <c r="AW2728" s="53">
        <f t="shared" si="465"/>
        <v>0</v>
      </c>
      <c r="AX2728" s="53">
        <f t="shared" si="466"/>
        <v>43951000</v>
      </c>
      <c r="AY2728" s="41" t="s">
        <v>557</v>
      </c>
    </row>
    <row r="2729" spans="1:51" x14ac:dyDescent="0.2">
      <c r="A2729" s="41" t="s">
        <v>109</v>
      </c>
      <c r="B2729" s="41">
        <v>1980</v>
      </c>
      <c r="C2729" s="41" t="s">
        <v>96</v>
      </c>
      <c r="D2729" s="41" t="s">
        <v>699</v>
      </c>
      <c r="E2729" s="41">
        <v>100</v>
      </c>
      <c r="F2729" s="41" t="s">
        <v>587</v>
      </c>
      <c r="G2729" s="53">
        <v>478200</v>
      </c>
      <c r="I2729" s="54">
        <f t="shared" si="468"/>
        <v>9.5404061527022641</v>
      </c>
      <c r="T2729" s="53">
        <v>4106</v>
      </c>
      <c r="AH2729" s="53">
        <f t="shared" si="467"/>
        <v>478200</v>
      </c>
      <c r="AM2729" s="91">
        <f>4*G2729</f>
        <v>1912800</v>
      </c>
      <c r="AO2729" s="53">
        <f t="shared" si="465"/>
        <v>0</v>
      </c>
      <c r="AP2729" s="53">
        <f t="shared" si="465"/>
        <v>4562222.2222222229</v>
      </c>
      <c r="AQ2729" s="53">
        <f t="shared" si="465"/>
        <v>0</v>
      </c>
      <c r="AR2729" s="53">
        <f t="shared" si="465"/>
        <v>0</v>
      </c>
      <c r="AS2729" s="53">
        <f t="shared" si="465"/>
        <v>0</v>
      </c>
      <c r="AT2729" s="53">
        <f t="shared" si="465"/>
        <v>0</v>
      </c>
      <c r="AU2729" s="53">
        <f t="shared" si="465"/>
        <v>0</v>
      </c>
      <c r="AV2729" s="53">
        <f t="shared" si="465"/>
        <v>0</v>
      </c>
      <c r="AW2729" s="53">
        <f t="shared" si="465"/>
        <v>0</v>
      </c>
      <c r="AX2729" s="53">
        <f t="shared" si="466"/>
        <v>47820000</v>
      </c>
      <c r="AY2729" s="41" t="s">
        <v>557</v>
      </c>
    </row>
    <row r="2730" spans="1:51" x14ac:dyDescent="0.2">
      <c r="A2730" s="41" t="s">
        <v>109</v>
      </c>
      <c r="B2730" s="41">
        <v>1981</v>
      </c>
      <c r="C2730" s="41" t="s">
        <v>96</v>
      </c>
      <c r="D2730" s="41" t="s">
        <v>699</v>
      </c>
      <c r="E2730" s="41">
        <v>100</v>
      </c>
      <c r="F2730" s="41" t="s">
        <v>587</v>
      </c>
      <c r="G2730" s="53">
        <v>472833</v>
      </c>
      <c r="I2730" s="54">
        <f t="shared" si="468"/>
        <v>9.5641002684292804</v>
      </c>
      <c r="T2730" s="53">
        <v>4070</v>
      </c>
      <c r="AH2730" s="53">
        <f t="shared" si="467"/>
        <v>472833</v>
      </c>
      <c r="AM2730" s="91">
        <f>4*G2730</f>
        <v>1891332</v>
      </c>
      <c r="AO2730" s="53">
        <f t="shared" si="465"/>
        <v>0</v>
      </c>
      <c r="AP2730" s="53">
        <f t="shared" si="465"/>
        <v>4522222.222222222</v>
      </c>
      <c r="AQ2730" s="53">
        <f t="shared" si="465"/>
        <v>0</v>
      </c>
      <c r="AR2730" s="53">
        <f t="shared" si="465"/>
        <v>0</v>
      </c>
      <c r="AS2730" s="53">
        <f t="shared" si="465"/>
        <v>0</v>
      </c>
      <c r="AT2730" s="53">
        <f t="shared" si="465"/>
        <v>0</v>
      </c>
      <c r="AU2730" s="53">
        <f t="shared" si="465"/>
        <v>0</v>
      </c>
      <c r="AV2730" s="53">
        <f t="shared" si="465"/>
        <v>0</v>
      </c>
      <c r="AW2730" s="53">
        <f t="shared" si="465"/>
        <v>0</v>
      </c>
      <c r="AX2730" s="53">
        <f t="shared" si="466"/>
        <v>47283300</v>
      </c>
      <c r="AY2730" s="41" t="s">
        <v>557</v>
      </c>
    </row>
    <row r="2731" spans="1:51" x14ac:dyDescent="0.2">
      <c r="A2731" s="41" t="s">
        <v>109</v>
      </c>
      <c r="B2731" s="41">
        <v>1982</v>
      </c>
      <c r="C2731" s="41" t="s">
        <v>96</v>
      </c>
      <c r="D2731" s="41" t="s">
        <v>699</v>
      </c>
      <c r="E2731" s="41">
        <v>100</v>
      </c>
      <c r="F2731" s="41" t="s">
        <v>587</v>
      </c>
      <c r="G2731" s="53">
        <v>460090</v>
      </c>
      <c r="I2731" s="54">
        <f t="shared" si="468"/>
        <v>12.173946643289597</v>
      </c>
      <c r="T2731" s="53">
        <v>5041</v>
      </c>
      <c r="AH2731" s="53">
        <f t="shared" si="467"/>
        <v>460090</v>
      </c>
      <c r="AM2731" s="53">
        <v>10502910</v>
      </c>
      <c r="AO2731" s="53">
        <f t="shared" si="465"/>
        <v>0</v>
      </c>
      <c r="AP2731" s="53">
        <f t="shared" si="465"/>
        <v>5601111.1111111101</v>
      </c>
      <c r="AQ2731" s="53">
        <f t="shared" si="465"/>
        <v>0</v>
      </c>
      <c r="AR2731" s="53">
        <f t="shared" si="465"/>
        <v>0</v>
      </c>
      <c r="AS2731" s="53">
        <f t="shared" si="465"/>
        <v>0</v>
      </c>
      <c r="AT2731" s="53">
        <f t="shared" si="465"/>
        <v>0</v>
      </c>
      <c r="AU2731" s="53">
        <f t="shared" si="465"/>
        <v>0</v>
      </c>
      <c r="AV2731" s="53">
        <f t="shared" si="465"/>
        <v>0</v>
      </c>
      <c r="AW2731" s="53">
        <f t="shared" si="465"/>
        <v>0</v>
      </c>
      <c r="AX2731" s="53">
        <f t="shared" si="466"/>
        <v>46009000</v>
      </c>
      <c r="AY2731" s="41" t="s">
        <v>557</v>
      </c>
    </row>
    <row r="2732" spans="1:51" x14ac:dyDescent="0.2">
      <c r="A2732" s="41" t="s">
        <v>109</v>
      </c>
      <c r="B2732" s="41">
        <v>1983</v>
      </c>
      <c r="C2732" s="41" t="s">
        <v>96</v>
      </c>
      <c r="D2732" s="41" t="s">
        <v>699</v>
      </c>
      <c r="E2732" s="41">
        <v>100</v>
      </c>
      <c r="F2732" s="41" t="s">
        <v>587</v>
      </c>
      <c r="G2732" s="53">
        <v>543854</v>
      </c>
      <c r="I2732" s="54">
        <f t="shared" si="468"/>
        <v>8.9300927577376772</v>
      </c>
      <c r="T2732" s="53">
        <v>4371</v>
      </c>
      <c r="AH2732" s="53">
        <f t="shared" si="467"/>
        <v>543854</v>
      </c>
      <c r="AM2732" s="91">
        <f>4*G2732</f>
        <v>2175416</v>
      </c>
      <c r="AO2732" s="53">
        <f t="shared" si="465"/>
        <v>0</v>
      </c>
      <c r="AP2732" s="53">
        <f t="shared" si="465"/>
        <v>4856666.666666667</v>
      </c>
      <c r="AQ2732" s="53">
        <f t="shared" si="465"/>
        <v>0</v>
      </c>
      <c r="AR2732" s="53">
        <f t="shared" si="465"/>
        <v>0</v>
      </c>
      <c r="AS2732" s="53">
        <f t="shared" si="465"/>
        <v>0</v>
      </c>
      <c r="AT2732" s="53">
        <f t="shared" si="465"/>
        <v>0</v>
      </c>
      <c r="AU2732" s="53">
        <f t="shared" si="465"/>
        <v>0</v>
      </c>
      <c r="AV2732" s="53">
        <f t="shared" si="465"/>
        <v>0</v>
      </c>
      <c r="AW2732" s="53">
        <f t="shared" si="465"/>
        <v>0</v>
      </c>
      <c r="AX2732" s="53">
        <f t="shared" si="466"/>
        <v>54385400</v>
      </c>
      <c r="AY2732" s="41" t="s">
        <v>557</v>
      </c>
    </row>
    <row r="2733" spans="1:51" x14ac:dyDescent="0.2">
      <c r="A2733" s="41" t="s">
        <v>109</v>
      </c>
      <c r="B2733" s="41">
        <v>1984</v>
      </c>
      <c r="C2733" s="41" t="s">
        <v>96</v>
      </c>
      <c r="D2733" s="41" t="s">
        <v>699</v>
      </c>
      <c r="E2733" s="41">
        <v>100</v>
      </c>
      <c r="F2733" s="41" t="s">
        <v>587</v>
      </c>
      <c r="G2733" s="53">
        <v>844282</v>
      </c>
      <c r="I2733" s="54">
        <f t="shared" si="468"/>
        <v>4.8535652516313004</v>
      </c>
      <c r="T2733" s="53">
        <v>3688</v>
      </c>
      <c r="AH2733" s="53">
        <f t="shared" si="467"/>
        <v>844282</v>
      </c>
      <c r="AM2733" s="91">
        <f>4*G2733</f>
        <v>3377128</v>
      </c>
      <c r="AO2733" s="53">
        <f t="shared" si="465"/>
        <v>0</v>
      </c>
      <c r="AP2733" s="53">
        <f t="shared" si="465"/>
        <v>4097777.7777777775</v>
      </c>
      <c r="AQ2733" s="53">
        <f t="shared" si="465"/>
        <v>0</v>
      </c>
      <c r="AR2733" s="53">
        <f t="shared" si="465"/>
        <v>0</v>
      </c>
      <c r="AS2733" s="53">
        <f t="shared" si="465"/>
        <v>0</v>
      </c>
      <c r="AT2733" s="53">
        <f t="shared" si="465"/>
        <v>0</v>
      </c>
      <c r="AU2733" s="53">
        <f t="shared" si="465"/>
        <v>0</v>
      </c>
      <c r="AV2733" s="53">
        <f t="shared" si="465"/>
        <v>0</v>
      </c>
      <c r="AW2733" s="53">
        <f t="shared" si="465"/>
        <v>0</v>
      </c>
      <c r="AX2733" s="53">
        <f t="shared" si="466"/>
        <v>84428200</v>
      </c>
      <c r="AY2733" s="41" t="s">
        <v>557</v>
      </c>
    </row>
    <row r="2734" spans="1:51" x14ac:dyDescent="0.2">
      <c r="A2734" s="41" t="s">
        <v>109</v>
      </c>
      <c r="B2734" s="41">
        <v>1985</v>
      </c>
      <c r="C2734" s="41" t="s">
        <v>96</v>
      </c>
      <c r="D2734" s="41" t="s">
        <v>699</v>
      </c>
      <c r="E2734" s="41">
        <v>100</v>
      </c>
      <c r="F2734" s="41" t="s">
        <v>587</v>
      </c>
      <c r="G2734" s="53">
        <v>1497094</v>
      </c>
      <c r="I2734" s="54">
        <f t="shared" si="468"/>
        <v>3.1669539639981044</v>
      </c>
      <c r="T2734" s="53">
        <v>4267.1049999999996</v>
      </c>
      <c r="AH2734" s="53">
        <f t="shared" si="467"/>
        <v>1497094</v>
      </c>
      <c r="AM2734" s="91">
        <f>4*G2734</f>
        <v>5988376</v>
      </c>
      <c r="AO2734" s="53">
        <f t="shared" si="465"/>
        <v>0</v>
      </c>
      <c r="AP2734" s="53">
        <f t="shared" si="465"/>
        <v>4741227.777777778</v>
      </c>
      <c r="AQ2734" s="53">
        <f t="shared" si="465"/>
        <v>0</v>
      </c>
      <c r="AR2734" s="53">
        <f t="shared" si="465"/>
        <v>0</v>
      </c>
      <c r="AS2734" s="53">
        <f t="shared" si="465"/>
        <v>0</v>
      </c>
      <c r="AT2734" s="53">
        <f t="shared" si="465"/>
        <v>0</v>
      </c>
      <c r="AU2734" s="53">
        <f t="shared" si="465"/>
        <v>0</v>
      </c>
      <c r="AV2734" s="53">
        <f t="shared" si="465"/>
        <v>0</v>
      </c>
      <c r="AW2734" s="53">
        <f t="shared" si="465"/>
        <v>0</v>
      </c>
      <c r="AX2734" s="53">
        <f t="shared" si="466"/>
        <v>149709400</v>
      </c>
      <c r="AY2734" s="41" t="s">
        <v>557</v>
      </c>
    </row>
    <row r="2735" spans="1:51" x14ac:dyDescent="0.2">
      <c r="A2735" s="41" t="s">
        <v>109</v>
      </c>
      <c r="B2735" s="41">
        <v>1986</v>
      </c>
      <c r="C2735" s="41" t="s">
        <v>96</v>
      </c>
      <c r="D2735" s="41" t="s">
        <v>699</v>
      </c>
      <c r="E2735" s="41">
        <v>100</v>
      </c>
      <c r="F2735" s="41" t="s">
        <v>587</v>
      </c>
      <c r="G2735" s="53">
        <v>1432007</v>
      </c>
      <c r="I2735" s="54">
        <f t="shared" si="468"/>
        <v>3.9280076455243895</v>
      </c>
      <c r="T2735" s="53">
        <v>5062.4409999999998</v>
      </c>
      <c r="AH2735" s="53">
        <f t="shared" si="467"/>
        <v>1432007</v>
      </c>
      <c r="AM2735" s="91">
        <f>4*G2735</f>
        <v>5728028</v>
      </c>
      <c r="AO2735" s="53">
        <f t="shared" si="465"/>
        <v>0</v>
      </c>
      <c r="AP2735" s="53">
        <f t="shared" si="465"/>
        <v>5624934.444444444</v>
      </c>
      <c r="AQ2735" s="53">
        <f t="shared" si="465"/>
        <v>0</v>
      </c>
      <c r="AR2735" s="53">
        <f t="shared" si="465"/>
        <v>0</v>
      </c>
      <c r="AS2735" s="53">
        <f t="shared" si="465"/>
        <v>0</v>
      </c>
      <c r="AT2735" s="53">
        <f t="shared" si="465"/>
        <v>0</v>
      </c>
      <c r="AU2735" s="53">
        <f t="shared" si="465"/>
        <v>0</v>
      </c>
      <c r="AV2735" s="53">
        <f t="shared" si="465"/>
        <v>0</v>
      </c>
      <c r="AW2735" s="53">
        <f t="shared" si="465"/>
        <v>0</v>
      </c>
      <c r="AX2735" s="53">
        <f t="shared" si="466"/>
        <v>143200700</v>
      </c>
      <c r="AY2735" s="41" t="s">
        <v>557</v>
      </c>
    </row>
    <row r="2736" spans="1:51" x14ac:dyDescent="0.2">
      <c r="A2736" s="41" t="s">
        <v>109</v>
      </c>
      <c r="B2736" s="41">
        <v>1987</v>
      </c>
      <c r="C2736" s="41" t="s">
        <v>96</v>
      </c>
      <c r="D2736" s="41" t="s">
        <v>699</v>
      </c>
      <c r="E2736" s="41">
        <v>100</v>
      </c>
      <c r="F2736" s="41" t="s">
        <v>587</v>
      </c>
      <c r="G2736" s="53">
        <v>1539969</v>
      </c>
      <c r="I2736" s="54">
        <f t="shared" si="468"/>
        <v>4.6798503375356537</v>
      </c>
      <c r="T2736" s="53">
        <v>6486.1419999999998</v>
      </c>
      <c r="AH2736" s="53">
        <f t="shared" si="467"/>
        <v>1539969</v>
      </c>
      <c r="AM2736" s="91">
        <f>3*G2736</f>
        <v>4619907</v>
      </c>
      <c r="AO2736" s="53">
        <f t="shared" si="465"/>
        <v>0</v>
      </c>
      <c r="AP2736" s="53">
        <f t="shared" si="465"/>
        <v>7206824.4444444431</v>
      </c>
      <c r="AQ2736" s="53">
        <f t="shared" si="465"/>
        <v>0</v>
      </c>
      <c r="AR2736" s="53">
        <f t="shared" si="465"/>
        <v>0</v>
      </c>
      <c r="AS2736" s="53">
        <f t="shared" si="465"/>
        <v>0</v>
      </c>
      <c r="AT2736" s="53">
        <f t="shared" si="465"/>
        <v>0</v>
      </c>
      <c r="AU2736" s="53">
        <f t="shared" si="465"/>
        <v>0</v>
      </c>
      <c r="AV2736" s="53">
        <f t="shared" si="465"/>
        <v>0</v>
      </c>
      <c r="AW2736" s="53">
        <f t="shared" si="465"/>
        <v>0</v>
      </c>
      <c r="AX2736" s="53">
        <f t="shared" si="466"/>
        <v>153996900</v>
      </c>
      <c r="AY2736" s="41" t="s">
        <v>557</v>
      </c>
    </row>
    <row r="2737" spans="1:51" x14ac:dyDescent="0.2">
      <c r="A2737" s="41" t="s">
        <v>109</v>
      </c>
      <c r="B2737" s="41">
        <v>1988</v>
      </c>
      <c r="C2737" s="41" t="s">
        <v>96</v>
      </c>
      <c r="D2737" s="41" t="s">
        <v>699</v>
      </c>
      <c r="E2737" s="41">
        <v>100</v>
      </c>
      <c r="F2737" s="41" t="s">
        <v>587</v>
      </c>
      <c r="G2737" s="53">
        <v>4332518</v>
      </c>
      <c r="I2737" s="46">
        <v>1.9779561277452662</v>
      </c>
      <c r="T2737" s="53">
        <v>8563.0740000000005</v>
      </c>
      <c r="AH2737" s="53">
        <f t="shared" si="467"/>
        <v>4332518</v>
      </c>
      <c r="AM2737" s="91">
        <v>6498777</v>
      </c>
      <c r="AO2737" s="53">
        <f t="shared" si="465"/>
        <v>0</v>
      </c>
      <c r="AP2737" s="53">
        <f t="shared" si="465"/>
        <v>8569530.5266666654</v>
      </c>
      <c r="AQ2737" s="53">
        <f t="shared" si="465"/>
        <v>0</v>
      </c>
      <c r="AR2737" s="53">
        <f t="shared" si="465"/>
        <v>0</v>
      </c>
      <c r="AS2737" s="53">
        <f t="shared" si="465"/>
        <v>0</v>
      </c>
      <c r="AT2737" s="53">
        <f t="shared" si="465"/>
        <v>0</v>
      </c>
      <c r="AU2737" s="53">
        <f t="shared" si="465"/>
        <v>0</v>
      </c>
      <c r="AV2737" s="53">
        <f t="shared" si="465"/>
        <v>0</v>
      </c>
      <c r="AW2737" s="53">
        <f t="shared" si="465"/>
        <v>0</v>
      </c>
      <c r="AX2737" s="53">
        <f t="shared" si="466"/>
        <v>433251800</v>
      </c>
      <c r="AY2737" s="41" t="s">
        <v>557</v>
      </c>
    </row>
    <row r="2738" spans="1:51" x14ac:dyDescent="0.2">
      <c r="A2738" s="41" t="s">
        <v>109</v>
      </c>
      <c r="B2738" s="41">
        <v>1989</v>
      </c>
      <c r="C2738" s="41" t="s">
        <v>96</v>
      </c>
      <c r="D2738" s="41" t="s">
        <v>699</v>
      </c>
      <c r="E2738" s="41">
        <v>100</v>
      </c>
      <c r="F2738" s="41" t="s">
        <v>587</v>
      </c>
      <c r="G2738" s="53">
        <v>6650037.666666667</v>
      </c>
      <c r="I2738" s="46">
        <v>1.1980063521444715</v>
      </c>
      <c r="T2738" s="53">
        <v>7987.1019999999999</v>
      </c>
      <c r="AH2738" s="53">
        <f t="shared" si="467"/>
        <v>6650037.666666667</v>
      </c>
      <c r="AM2738" s="91">
        <v>9975056.5</v>
      </c>
      <c r="AO2738" s="53">
        <f t="shared" si="465"/>
        <v>0</v>
      </c>
      <c r="AP2738" s="53">
        <f t="shared" si="465"/>
        <v>7966787.3666666662</v>
      </c>
      <c r="AQ2738" s="53">
        <f t="shared" si="465"/>
        <v>0</v>
      </c>
      <c r="AR2738" s="53">
        <f t="shared" si="465"/>
        <v>0</v>
      </c>
      <c r="AS2738" s="53">
        <f t="shared" si="465"/>
        <v>0</v>
      </c>
      <c r="AT2738" s="53">
        <f t="shared" si="465"/>
        <v>0</v>
      </c>
      <c r="AU2738" s="53">
        <f t="shared" si="465"/>
        <v>0</v>
      </c>
      <c r="AV2738" s="53">
        <f t="shared" si="465"/>
        <v>0</v>
      </c>
      <c r="AW2738" s="53">
        <f t="shared" si="465"/>
        <v>0</v>
      </c>
      <c r="AX2738" s="53">
        <f t="shared" si="466"/>
        <v>665003766.66666675</v>
      </c>
      <c r="AY2738" s="41" t="s">
        <v>557</v>
      </c>
    </row>
    <row r="2739" spans="1:51" x14ac:dyDescent="0.2">
      <c r="A2739" s="41" t="s">
        <v>109</v>
      </c>
      <c r="B2739" s="41">
        <v>1990</v>
      </c>
      <c r="C2739" s="41" t="s">
        <v>96</v>
      </c>
      <c r="D2739" s="41" t="s">
        <v>699</v>
      </c>
      <c r="E2739" s="41">
        <v>100</v>
      </c>
      <c r="F2739" s="41" t="s">
        <v>587</v>
      </c>
      <c r="G2739" s="53">
        <v>6348413.333333333</v>
      </c>
      <c r="I2739" s="46">
        <v>1.5095806826272604</v>
      </c>
      <c r="T2739" s="53">
        <v>9579.9059160000015</v>
      </c>
      <c r="AH2739" s="53">
        <f t="shared" si="467"/>
        <v>6348413.333333333</v>
      </c>
      <c r="AM2739" s="53">
        <v>14500000</v>
      </c>
      <c r="AO2739" s="53">
        <f t="shared" si="465"/>
        <v>0</v>
      </c>
      <c r="AP2739" s="53">
        <f t="shared" si="465"/>
        <v>9583442.1333333347</v>
      </c>
      <c r="AQ2739" s="53">
        <f t="shared" si="465"/>
        <v>0</v>
      </c>
      <c r="AR2739" s="53">
        <f t="shared" si="465"/>
        <v>0</v>
      </c>
      <c r="AS2739" s="53">
        <f t="shared" si="465"/>
        <v>0</v>
      </c>
      <c r="AT2739" s="53">
        <f t="shared" si="465"/>
        <v>0</v>
      </c>
      <c r="AU2739" s="53">
        <f t="shared" si="465"/>
        <v>0</v>
      </c>
      <c r="AV2739" s="53">
        <f t="shared" si="465"/>
        <v>0</v>
      </c>
      <c r="AW2739" s="53">
        <f t="shared" si="465"/>
        <v>0</v>
      </c>
      <c r="AX2739" s="53">
        <f t="shared" si="466"/>
        <v>634841333.33333325</v>
      </c>
      <c r="AY2739" s="41" t="s">
        <v>557</v>
      </c>
    </row>
    <row r="2740" spans="1:51" x14ac:dyDescent="0.2">
      <c r="A2740" s="41" t="s">
        <v>109</v>
      </c>
      <c r="B2740" s="41">
        <v>1991</v>
      </c>
      <c r="C2740" s="41" t="s">
        <v>96</v>
      </c>
      <c r="D2740" s="41" t="s">
        <v>699</v>
      </c>
      <c r="E2740" s="41">
        <v>100</v>
      </c>
      <c r="F2740" s="41" t="s">
        <v>587</v>
      </c>
      <c r="G2740" s="53">
        <v>8719000</v>
      </c>
      <c r="I2740" s="46">
        <v>1.4688335818327789</v>
      </c>
      <c r="T2740" s="53">
        <v>10481.9751</v>
      </c>
      <c r="AH2740" s="53">
        <f t="shared" si="467"/>
        <v>8719000</v>
      </c>
      <c r="AM2740" s="53">
        <v>13262000</v>
      </c>
      <c r="AO2740" s="53">
        <f t="shared" si="465"/>
        <v>0</v>
      </c>
      <c r="AP2740" s="53">
        <f t="shared" si="465"/>
        <v>12806760</v>
      </c>
      <c r="AQ2740" s="53">
        <f t="shared" si="465"/>
        <v>0</v>
      </c>
      <c r="AR2740" s="53">
        <f t="shared" si="465"/>
        <v>0</v>
      </c>
      <c r="AS2740" s="53">
        <f t="shared" si="465"/>
        <v>0</v>
      </c>
      <c r="AT2740" s="53">
        <f t="shared" si="465"/>
        <v>0</v>
      </c>
      <c r="AU2740" s="53">
        <f t="shared" si="465"/>
        <v>0</v>
      </c>
      <c r="AV2740" s="53">
        <f t="shared" si="465"/>
        <v>0</v>
      </c>
      <c r="AW2740" s="53">
        <f t="shared" si="465"/>
        <v>0</v>
      </c>
      <c r="AX2740" s="53">
        <f t="shared" si="466"/>
        <v>871900000</v>
      </c>
      <c r="AY2740" s="41" t="s">
        <v>557</v>
      </c>
    </row>
    <row r="2741" spans="1:51" x14ac:dyDescent="0.2">
      <c r="A2741" s="41" t="s">
        <v>109</v>
      </c>
      <c r="B2741" s="41">
        <v>1992</v>
      </c>
      <c r="C2741" s="41" t="s">
        <v>96</v>
      </c>
      <c r="D2741" s="41" t="s">
        <v>699</v>
      </c>
      <c r="E2741" s="41">
        <v>100</v>
      </c>
      <c r="F2741" s="41" t="s">
        <v>587</v>
      </c>
      <c r="G2741" s="53">
        <v>10403000</v>
      </c>
      <c r="I2741" s="46">
        <v>1.3712935947997797</v>
      </c>
      <c r="T2741" s="53">
        <v>6065.5574000000006</v>
      </c>
      <c r="AH2741" s="53">
        <f t="shared" si="467"/>
        <v>10403000</v>
      </c>
      <c r="AM2741" s="53">
        <v>18417000</v>
      </c>
      <c r="AO2741" s="53">
        <f t="shared" si="465"/>
        <v>0</v>
      </c>
      <c r="AP2741" s="53">
        <f t="shared" si="465"/>
        <v>14265567.266702108</v>
      </c>
      <c r="AQ2741" s="53">
        <f t="shared" si="465"/>
        <v>0</v>
      </c>
      <c r="AR2741" s="53">
        <f t="shared" si="465"/>
        <v>0</v>
      </c>
      <c r="AS2741" s="53">
        <f t="shared" si="465"/>
        <v>0</v>
      </c>
      <c r="AT2741" s="53">
        <f t="shared" si="465"/>
        <v>0</v>
      </c>
      <c r="AU2741" s="53">
        <f t="shared" si="465"/>
        <v>0</v>
      </c>
      <c r="AV2741" s="53">
        <f t="shared" si="465"/>
        <v>0</v>
      </c>
      <c r="AW2741" s="53">
        <f t="shared" si="465"/>
        <v>0</v>
      </c>
      <c r="AX2741" s="53">
        <f t="shared" si="466"/>
        <v>1040300000</v>
      </c>
      <c r="AY2741" s="41" t="s">
        <v>557</v>
      </c>
    </row>
    <row r="2742" spans="1:51" x14ac:dyDescent="0.2">
      <c r="A2742" s="41" t="s">
        <v>109</v>
      </c>
      <c r="B2742" s="41">
        <v>1993</v>
      </c>
      <c r="C2742" s="41" t="s">
        <v>96</v>
      </c>
      <c r="D2742" s="41" t="s">
        <v>699</v>
      </c>
      <c r="E2742" s="41">
        <v>100</v>
      </c>
      <c r="F2742" s="41" t="s">
        <v>587</v>
      </c>
      <c r="G2742" s="53">
        <v>10716832</v>
      </c>
      <c r="I2742" s="46">
        <v>1.8360349252465653</v>
      </c>
      <c r="T2742" s="53">
        <v>11712.477700000001</v>
      </c>
      <c r="AH2742" s="53">
        <f t="shared" si="467"/>
        <v>10716832</v>
      </c>
      <c r="AM2742" s="91">
        <v>16075248</v>
      </c>
      <c r="AO2742" s="53">
        <f t="shared" si="465"/>
        <v>0</v>
      </c>
      <c r="AP2742" s="53">
        <f t="shared" si="465"/>
        <v>19676477.84</v>
      </c>
      <c r="AQ2742" s="53">
        <f t="shared" si="465"/>
        <v>0</v>
      </c>
      <c r="AR2742" s="53">
        <f t="shared" si="465"/>
        <v>0</v>
      </c>
      <c r="AS2742" s="53">
        <f t="shared" si="465"/>
        <v>0</v>
      </c>
      <c r="AT2742" s="53">
        <f t="shared" si="465"/>
        <v>0</v>
      </c>
      <c r="AU2742" s="53">
        <f t="shared" si="465"/>
        <v>0</v>
      </c>
      <c r="AV2742" s="53">
        <f t="shared" si="465"/>
        <v>0</v>
      </c>
      <c r="AW2742" s="53">
        <f t="shared" si="465"/>
        <v>0</v>
      </c>
      <c r="AX2742" s="53">
        <f t="shared" si="466"/>
        <v>1071683200</v>
      </c>
      <c r="AY2742" s="41" t="s">
        <v>557</v>
      </c>
    </row>
    <row r="2743" spans="1:51" x14ac:dyDescent="0.2">
      <c r="A2743" s="41" t="s">
        <v>109</v>
      </c>
      <c r="B2743" s="41">
        <v>1994</v>
      </c>
      <c r="C2743" s="41" t="s">
        <v>96</v>
      </c>
      <c r="D2743" s="41" t="s">
        <v>699</v>
      </c>
      <c r="E2743" s="41">
        <v>100</v>
      </c>
      <c r="F2743" s="41" t="s">
        <v>587</v>
      </c>
      <c r="G2743" s="53">
        <v>7522042.7204999998</v>
      </c>
      <c r="I2743" s="46">
        <v>1.1316812027090108</v>
      </c>
      <c r="T2743" s="53">
        <v>6206.856318959999</v>
      </c>
      <c r="AH2743" s="53">
        <f t="shared" si="467"/>
        <v>7522042.7204999998</v>
      </c>
      <c r="AM2743" s="53">
        <v>7276477.2794999992</v>
      </c>
      <c r="AO2743" s="53">
        <f t="shared" si="465"/>
        <v>0</v>
      </c>
      <c r="AP2743" s="53">
        <f t="shared" si="465"/>
        <v>8512554.3527639993</v>
      </c>
      <c r="AQ2743" s="53">
        <f t="shared" si="465"/>
        <v>0</v>
      </c>
      <c r="AR2743" s="53">
        <f t="shared" si="465"/>
        <v>0</v>
      </c>
      <c r="AS2743" s="53">
        <f t="shared" si="465"/>
        <v>0</v>
      </c>
      <c r="AT2743" s="53">
        <f t="shared" si="465"/>
        <v>0</v>
      </c>
      <c r="AU2743" s="53">
        <f t="shared" si="465"/>
        <v>0</v>
      </c>
      <c r="AV2743" s="53">
        <f t="shared" si="465"/>
        <v>0</v>
      </c>
      <c r="AW2743" s="53">
        <f t="shared" si="465"/>
        <v>0</v>
      </c>
      <c r="AX2743" s="53">
        <f t="shared" si="466"/>
        <v>752204272.04999995</v>
      </c>
      <c r="AY2743" s="41" t="s">
        <v>557</v>
      </c>
    </row>
    <row r="2744" spans="1:51" x14ac:dyDescent="0.2">
      <c r="A2744" s="41" t="s">
        <v>109</v>
      </c>
      <c r="B2744" s="41">
        <v>1995</v>
      </c>
      <c r="C2744" s="41" t="s">
        <v>96</v>
      </c>
      <c r="D2744" s="41" t="s">
        <v>699</v>
      </c>
      <c r="E2744" s="41">
        <v>100</v>
      </c>
      <c r="F2744" s="41" t="s">
        <v>587</v>
      </c>
      <c r="G2744" s="53">
        <v>15046342.279499998</v>
      </c>
      <c r="I2744" s="46">
        <v>1.1316812027090108</v>
      </c>
      <c r="T2744" s="53">
        <v>12415.574881039998</v>
      </c>
      <c r="AH2744" s="53">
        <f t="shared" si="467"/>
        <v>15046342.279499998</v>
      </c>
      <c r="AM2744" s="53">
        <v>14555137.7205</v>
      </c>
      <c r="AO2744" s="53">
        <f t="shared" si="465"/>
        <v>0</v>
      </c>
      <c r="AP2744" s="53">
        <f t="shared" si="465"/>
        <v>17027662.727235999</v>
      </c>
      <c r="AQ2744" s="53">
        <f t="shared" si="465"/>
        <v>0</v>
      </c>
      <c r="AR2744" s="53">
        <f t="shared" si="465"/>
        <v>0</v>
      </c>
      <c r="AS2744" s="53">
        <f t="shared" si="465"/>
        <v>0</v>
      </c>
      <c r="AT2744" s="53">
        <f t="shared" si="465"/>
        <v>0</v>
      </c>
      <c r="AU2744" s="53">
        <f t="shared" si="465"/>
        <v>0</v>
      </c>
      <c r="AV2744" s="53">
        <f t="shared" si="465"/>
        <v>0</v>
      </c>
      <c r="AW2744" s="53">
        <f t="shared" si="465"/>
        <v>0</v>
      </c>
      <c r="AX2744" s="53">
        <f t="shared" si="466"/>
        <v>1504634227.9499998</v>
      </c>
      <c r="AY2744" s="41" t="s">
        <v>557</v>
      </c>
    </row>
    <row r="2745" spans="1:51" x14ac:dyDescent="0.2">
      <c r="A2745" s="41" t="s">
        <v>109</v>
      </c>
      <c r="B2745" s="41">
        <v>1996</v>
      </c>
      <c r="C2745" s="41" t="s">
        <v>96</v>
      </c>
      <c r="D2745" s="41" t="s">
        <v>699</v>
      </c>
      <c r="E2745" s="41">
        <v>100</v>
      </c>
      <c r="F2745" s="41" t="s">
        <v>587</v>
      </c>
      <c r="G2745" s="53">
        <v>14851463</v>
      </c>
      <c r="I2745" s="46">
        <v>1.0351851921928501</v>
      </c>
      <c r="T2745" s="53">
        <v>11358.715200000001</v>
      </c>
      <c r="AH2745" s="53">
        <f t="shared" si="467"/>
        <v>14851463</v>
      </c>
      <c r="AM2745" s="91">
        <v>17821755.599999998</v>
      </c>
      <c r="AO2745" s="53">
        <f t="shared" si="465"/>
        <v>0</v>
      </c>
      <c r="AP2745" s="53">
        <f t="shared" si="465"/>
        <v>15374014.580000002</v>
      </c>
      <c r="AQ2745" s="53">
        <f t="shared" si="465"/>
        <v>0</v>
      </c>
      <c r="AR2745" s="53">
        <f t="shared" si="465"/>
        <v>0</v>
      </c>
      <c r="AS2745" s="53">
        <f t="shared" si="465"/>
        <v>0</v>
      </c>
      <c r="AT2745" s="53">
        <f t="shared" si="465"/>
        <v>0</v>
      </c>
      <c r="AU2745" s="53">
        <f t="shared" si="465"/>
        <v>0</v>
      </c>
      <c r="AV2745" s="53">
        <f t="shared" si="465"/>
        <v>0</v>
      </c>
      <c r="AW2745" s="53">
        <f t="shared" si="465"/>
        <v>0</v>
      </c>
      <c r="AX2745" s="53">
        <f t="shared" si="466"/>
        <v>1485146300</v>
      </c>
      <c r="AY2745" s="41" t="s">
        <v>557</v>
      </c>
    </row>
    <row r="2746" spans="1:51" x14ac:dyDescent="0.2">
      <c r="A2746" s="41" t="s">
        <v>109</v>
      </c>
      <c r="B2746" s="41">
        <v>1997</v>
      </c>
      <c r="C2746" s="41" t="s">
        <v>96</v>
      </c>
      <c r="D2746" s="41" t="s">
        <v>699</v>
      </c>
      <c r="E2746" s="41">
        <v>100</v>
      </c>
      <c r="F2746" s="41" t="s">
        <v>587</v>
      </c>
      <c r="G2746" s="53">
        <v>16134048</v>
      </c>
      <c r="I2746" s="46">
        <v>0.9338031515711368</v>
      </c>
      <c r="T2746" s="53">
        <v>10489.9367</v>
      </c>
      <c r="AH2746" s="53">
        <f t="shared" si="467"/>
        <v>16134048</v>
      </c>
      <c r="AM2746" s="53">
        <v>21065952</v>
      </c>
      <c r="AO2746" s="53">
        <f t="shared" si="465"/>
        <v>0</v>
      </c>
      <c r="AP2746" s="53">
        <f t="shared" si="465"/>
        <v>15066024.869999997</v>
      </c>
      <c r="AQ2746" s="53">
        <f t="shared" si="465"/>
        <v>0</v>
      </c>
      <c r="AR2746" s="53">
        <f t="shared" si="465"/>
        <v>0</v>
      </c>
      <c r="AS2746" s="53">
        <f t="shared" si="465"/>
        <v>0</v>
      </c>
      <c r="AT2746" s="53">
        <f t="shared" si="465"/>
        <v>0</v>
      </c>
      <c r="AU2746" s="53">
        <f t="shared" si="465"/>
        <v>0</v>
      </c>
      <c r="AV2746" s="53">
        <f t="shared" si="465"/>
        <v>0</v>
      </c>
      <c r="AW2746" s="53">
        <f t="shared" si="465"/>
        <v>0</v>
      </c>
      <c r="AX2746" s="53">
        <f t="shared" si="466"/>
        <v>1613404800</v>
      </c>
      <c r="AY2746" s="41" t="s">
        <v>557</v>
      </c>
    </row>
    <row r="2747" spans="1:51" x14ac:dyDescent="0.2">
      <c r="A2747" s="41" t="s">
        <v>109</v>
      </c>
      <c r="B2747" s="41">
        <v>1998</v>
      </c>
      <c r="C2747" s="41" t="s">
        <v>96</v>
      </c>
      <c r="D2747" s="41" t="s">
        <v>699</v>
      </c>
      <c r="E2747" s="41">
        <v>100</v>
      </c>
      <c r="F2747" s="41" t="s">
        <v>587</v>
      </c>
      <c r="G2747" s="53">
        <v>14738886</v>
      </c>
      <c r="I2747" s="46">
        <v>0.88401707293210618</v>
      </c>
      <c r="T2747" s="53">
        <v>9948.6101000000017</v>
      </c>
      <c r="AH2747" s="53">
        <f t="shared" si="467"/>
        <v>14738886</v>
      </c>
      <c r="AM2747" s="53">
        <v>28061114</v>
      </c>
      <c r="AO2747" s="53">
        <f t="shared" si="465"/>
        <v>0</v>
      </c>
      <c r="AP2747" s="53">
        <f t="shared" si="465"/>
        <v>13029426.859999999</v>
      </c>
      <c r="AQ2747" s="53">
        <f t="shared" si="465"/>
        <v>0</v>
      </c>
      <c r="AR2747" s="53">
        <f t="shared" si="465"/>
        <v>0</v>
      </c>
      <c r="AS2747" s="53">
        <f t="shared" si="465"/>
        <v>0</v>
      </c>
      <c r="AT2747" s="53">
        <f t="shared" si="465"/>
        <v>0</v>
      </c>
      <c r="AU2747" s="53">
        <f t="shared" si="465"/>
        <v>0</v>
      </c>
      <c r="AV2747" s="53">
        <f t="shared" si="465"/>
        <v>0</v>
      </c>
      <c r="AW2747" s="53">
        <f t="shared" si="465"/>
        <v>0</v>
      </c>
      <c r="AX2747" s="53">
        <f t="shared" si="466"/>
        <v>1473888600</v>
      </c>
      <c r="AY2747" s="41" t="s">
        <v>557</v>
      </c>
    </row>
    <row r="2748" spans="1:51" x14ac:dyDescent="0.2">
      <c r="A2748" s="41" t="s">
        <v>109</v>
      </c>
      <c r="B2748" s="41">
        <v>1999</v>
      </c>
      <c r="C2748" s="41" t="s">
        <v>96</v>
      </c>
      <c r="D2748" s="41" t="s">
        <v>699</v>
      </c>
      <c r="E2748" s="41">
        <v>100</v>
      </c>
      <c r="F2748" s="41" t="s">
        <v>587</v>
      </c>
      <c r="G2748" s="53">
        <v>10930000</v>
      </c>
      <c r="I2748" s="41">
        <v>1.29</v>
      </c>
      <c r="T2748" s="53">
        <v>10920.7961</v>
      </c>
      <c r="AH2748" s="53">
        <f t="shared" si="467"/>
        <v>10930000</v>
      </c>
      <c r="AM2748" s="53">
        <v>43000000</v>
      </c>
      <c r="AO2748" s="53">
        <f t="shared" si="465"/>
        <v>0</v>
      </c>
      <c r="AP2748" s="53">
        <f t="shared" si="465"/>
        <v>14099700</v>
      </c>
      <c r="AQ2748" s="53">
        <f t="shared" si="465"/>
        <v>0</v>
      </c>
      <c r="AR2748" s="53">
        <f t="shared" si="465"/>
        <v>0</v>
      </c>
      <c r="AS2748" s="53">
        <f t="shared" si="465"/>
        <v>0</v>
      </c>
      <c r="AT2748" s="53">
        <f t="shared" si="465"/>
        <v>0</v>
      </c>
      <c r="AU2748" s="53">
        <f t="shared" si="465"/>
        <v>0</v>
      </c>
      <c r="AV2748" s="53">
        <f t="shared" si="465"/>
        <v>0</v>
      </c>
      <c r="AW2748" s="53">
        <f t="shared" si="465"/>
        <v>0</v>
      </c>
      <c r="AX2748" s="53">
        <f t="shared" si="466"/>
        <v>1093000000</v>
      </c>
      <c r="AY2748" s="41" t="s">
        <v>557</v>
      </c>
    </row>
    <row r="2749" spans="1:51" x14ac:dyDescent="0.2">
      <c r="A2749" s="41" t="s">
        <v>109</v>
      </c>
      <c r="B2749" s="41">
        <v>2000</v>
      </c>
      <c r="C2749" s="41" t="s">
        <v>96</v>
      </c>
      <c r="D2749" s="41" t="s">
        <v>699</v>
      </c>
      <c r="E2749" s="41">
        <v>100</v>
      </c>
      <c r="F2749" s="41" t="s">
        <v>587</v>
      </c>
      <c r="G2749" s="53">
        <v>5379513</v>
      </c>
      <c r="I2749" s="61">
        <v>2.0584051381602761</v>
      </c>
      <c r="T2749" s="53">
        <v>8304.9129000000012</v>
      </c>
      <c r="AH2749" s="53">
        <f t="shared" si="467"/>
        <v>5379513</v>
      </c>
      <c r="AM2749" s="53">
        <v>22000000</v>
      </c>
      <c r="AO2749" s="53">
        <f t="shared" si="465"/>
        <v>0</v>
      </c>
      <c r="AP2749" s="53">
        <f t="shared" si="465"/>
        <v>11073217.200000001</v>
      </c>
      <c r="AQ2749" s="53">
        <f t="shared" si="465"/>
        <v>0</v>
      </c>
      <c r="AR2749" s="53">
        <f t="shared" si="465"/>
        <v>0</v>
      </c>
      <c r="AS2749" s="53">
        <f t="shared" si="465"/>
        <v>0</v>
      </c>
      <c r="AT2749" s="53">
        <f t="shared" si="465"/>
        <v>0</v>
      </c>
      <c r="AU2749" s="53">
        <f t="shared" si="465"/>
        <v>0</v>
      </c>
      <c r="AV2749" s="53">
        <f t="shared" si="465"/>
        <v>0</v>
      </c>
      <c r="AW2749" s="53">
        <f t="shared" si="465"/>
        <v>0</v>
      </c>
      <c r="AX2749" s="53">
        <f t="shared" si="466"/>
        <v>537951300</v>
      </c>
      <c r="AY2749" s="41" t="s">
        <v>557</v>
      </c>
    </row>
    <row r="2750" spans="1:51" x14ac:dyDescent="0.2">
      <c r="A2750" s="41" t="s">
        <v>109</v>
      </c>
      <c r="B2750" s="41" t="s">
        <v>592</v>
      </c>
      <c r="C2750" s="41" t="s">
        <v>96</v>
      </c>
      <c r="D2750" s="41" t="s">
        <v>699</v>
      </c>
      <c r="E2750" s="41">
        <v>100</v>
      </c>
      <c r="F2750" s="41" t="s">
        <v>587</v>
      </c>
      <c r="AH2750" s="53">
        <f t="shared" si="467"/>
        <v>0</v>
      </c>
      <c r="AM2750" s="53">
        <v>44300000</v>
      </c>
      <c r="AO2750" s="53">
        <f t="shared" si="465"/>
        <v>0</v>
      </c>
      <c r="AP2750" s="53">
        <f t="shared" si="465"/>
        <v>0</v>
      </c>
      <c r="AQ2750" s="53">
        <f t="shared" si="465"/>
        <v>0</v>
      </c>
      <c r="AR2750" s="53">
        <f t="shared" si="465"/>
        <v>0</v>
      </c>
      <c r="AS2750" s="53">
        <f t="shared" si="465"/>
        <v>0</v>
      </c>
      <c r="AT2750" s="53">
        <f t="shared" si="465"/>
        <v>0</v>
      </c>
      <c r="AU2750" s="53">
        <f t="shared" si="465"/>
        <v>0</v>
      </c>
      <c r="AV2750" s="53">
        <f t="shared" si="465"/>
        <v>0</v>
      </c>
      <c r="AW2750" s="53">
        <f t="shared" si="465"/>
        <v>0</v>
      </c>
      <c r="AX2750" s="53">
        <f t="shared" si="466"/>
        <v>0</v>
      </c>
      <c r="AY2750" s="41" t="s">
        <v>557</v>
      </c>
    </row>
    <row r="2751" spans="1:51" x14ac:dyDescent="0.2">
      <c r="A2751" s="41" t="s">
        <v>109</v>
      </c>
      <c r="B2751" s="41" t="s">
        <v>593</v>
      </c>
      <c r="C2751" s="41" t="s">
        <v>96</v>
      </c>
      <c r="D2751" s="41" t="s">
        <v>699</v>
      </c>
      <c r="E2751" s="41">
        <v>100</v>
      </c>
      <c r="F2751" s="41" t="s">
        <v>587</v>
      </c>
      <c r="G2751" s="53">
        <v>8113000</v>
      </c>
      <c r="H2751" s="46">
        <v>0.45598422285221252</v>
      </c>
      <c r="I2751" s="46">
        <v>0.89637988413657088</v>
      </c>
      <c r="R2751" s="53">
        <v>76355</v>
      </c>
      <c r="S2751" s="53">
        <v>23432</v>
      </c>
      <c r="T2751" s="53">
        <v>6168.6228000000001</v>
      </c>
      <c r="AH2751" s="53">
        <f t="shared" si="467"/>
        <v>8036645</v>
      </c>
      <c r="AM2751" s="53">
        <v>33487000</v>
      </c>
      <c r="AO2751" s="53">
        <f t="shared" si="465"/>
        <v>3699400</v>
      </c>
      <c r="AP2751" s="53">
        <f t="shared" si="465"/>
        <v>7272330</v>
      </c>
      <c r="AQ2751" s="53">
        <f t="shared" si="465"/>
        <v>0</v>
      </c>
      <c r="AR2751" s="53">
        <f t="shared" si="465"/>
        <v>0</v>
      </c>
      <c r="AS2751" s="53">
        <f t="shared" si="465"/>
        <v>0</v>
      </c>
      <c r="AT2751" s="53">
        <f t="shared" si="465"/>
        <v>0</v>
      </c>
      <c r="AU2751" s="53">
        <f t="shared" si="465"/>
        <v>0</v>
      </c>
      <c r="AV2751" s="53">
        <f t="shared" si="465"/>
        <v>0</v>
      </c>
      <c r="AW2751" s="53">
        <f t="shared" si="465"/>
        <v>0</v>
      </c>
      <c r="AX2751" s="53">
        <f t="shared" si="466"/>
        <v>811300000</v>
      </c>
      <c r="AY2751" s="41" t="s">
        <v>557</v>
      </c>
    </row>
    <row r="2752" spans="1:51" x14ac:dyDescent="0.2">
      <c r="A2752" s="41" t="s">
        <v>109</v>
      </c>
      <c r="B2752" s="41" t="s">
        <v>594</v>
      </c>
      <c r="C2752" s="41" t="s">
        <v>96</v>
      </c>
      <c r="D2752" s="41" t="s">
        <v>699</v>
      </c>
      <c r="E2752" s="47">
        <v>99.065054579274559</v>
      </c>
      <c r="F2752" s="41" t="s">
        <v>587</v>
      </c>
      <c r="G2752" s="53">
        <v>20429000</v>
      </c>
      <c r="H2752" s="46">
        <v>0.27915463311958488</v>
      </c>
      <c r="I2752" s="46">
        <v>1.1905345342405405</v>
      </c>
      <c r="R2752" s="53">
        <v>147138</v>
      </c>
      <c r="S2752" s="53">
        <v>38374</v>
      </c>
      <c r="T2752" s="53">
        <v>21110.6489</v>
      </c>
      <c r="AH2752" s="53">
        <f t="shared" si="467"/>
        <v>20281862</v>
      </c>
      <c r="AM2752" s="53">
        <v>29062000</v>
      </c>
      <c r="AO2752" s="53">
        <f t="shared" si="465"/>
        <v>5702850</v>
      </c>
      <c r="AP2752" s="53">
        <f t="shared" si="465"/>
        <v>24321430</v>
      </c>
      <c r="AQ2752" s="53">
        <f t="shared" si="465"/>
        <v>0</v>
      </c>
      <c r="AR2752" s="53">
        <f t="shared" si="465"/>
        <v>0</v>
      </c>
      <c r="AS2752" s="53">
        <f t="shared" si="465"/>
        <v>0</v>
      </c>
      <c r="AT2752" s="53">
        <f t="shared" si="465"/>
        <v>0</v>
      </c>
      <c r="AU2752" s="53">
        <f t="shared" si="465"/>
        <v>0</v>
      </c>
      <c r="AV2752" s="53">
        <f t="shared" si="465"/>
        <v>0</v>
      </c>
      <c r="AW2752" s="53">
        <f t="shared" si="465"/>
        <v>0</v>
      </c>
      <c r="AX2752" s="53">
        <f t="shared" si="466"/>
        <v>2023800000</v>
      </c>
      <c r="AY2752" s="41" t="s">
        <v>557</v>
      </c>
    </row>
    <row r="2753" spans="1:51" x14ac:dyDescent="0.2">
      <c r="A2753" s="41" t="s">
        <v>109</v>
      </c>
      <c r="B2753" s="41" t="s">
        <v>595</v>
      </c>
      <c r="C2753" s="41" t="s">
        <v>96</v>
      </c>
      <c r="D2753" s="41" t="s">
        <v>699</v>
      </c>
      <c r="E2753" s="47">
        <v>86.612871864670424</v>
      </c>
      <c r="F2753" s="41" t="s">
        <v>587</v>
      </c>
      <c r="G2753" s="53">
        <v>20572000</v>
      </c>
      <c r="H2753" s="46">
        <v>0.22389801672175774</v>
      </c>
      <c r="I2753" s="46">
        <v>1.1615798172272993</v>
      </c>
      <c r="R2753" s="53">
        <v>135347</v>
      </c>
      <c r="S2753" s="53">
        <v>27820</v>
      </c>
      <c r="T2753" s="53">
        <v>19019.142800000001</v>
      </c>
      <c r="AH2753" s="53">
        <f t="shared" si="467"/>
        <v>20436653</v>
      </c>
      <c r="AM2753" s="53">
        <v>42151000</v>
      </c>
      <c r="AO2753" s="53">
        <f t="shared" si="465"/>
        <v>4606030</v>
      </c>
      <c r="AP2753" s="53">
        <f t="shared" si="465"/>
        <v>23896020</v>
      </c>
      <c r="AQ2753" s="53">
        <f t="shared" si="465"/>
        <v>0</v>
      </c>
      <c r="AR2753" s="53">
        <f t="shared" si="465"/>
        <v>0</v>
      </c>
      <c r="AS2753" s="53">
        <f t="shared" si="465"/>
        <v>0</v>
      </c>
      <c r="AT2753" s="53">
        <f t="shared" si="465"/>
        <v>0</v>
      </c>
      <c r="AU2753" s="53">
        <f t="shared" si="465"/>
        <v>0</v>
      </c>
      <c r="AV2753" s="53">
        <f t="shared" si="465"/>
        <v>0</v>
      </c>
      <c r="AW2753" s="53">
        <f t="shared" si="465"/>
        <v>0</v>
      </c>
      <c r="AX2753" s="53">
        <f t="shared" si="466"/>
        <v>1781800000</v>
      </c>
      <c r="AY2753" s="41" t="s">
        <v>557</v>
      </c>
    </row>
    <row r="2754" spans="1:51" x14ac:dyDescent="0.2">
      <c r="A2754" s="41" t="s">
        <v>109</v>
      </c>
      <c r="B2754" s="41" t="s">
        <v>596</v>
      </c>
      <c r="C2754" s="41" t="s">
        <v>96</v>
      </c>
      <c r="D2754" s="41" t="s">
        <v>699</v>
      </c>
      <c r="E2754" s="47">
        <v>74.286965566321783</v>
      </c>
      <c r="F2754" s="41" t="s">
        <v>587</v>
      </c>
      <c r="G2754" s="53">
        <v>18267000</v>
      </c>
      <c r="H2754" s="46">
        <v>0.19305359391251983</v>
      </c>
      <c r="I2754" s="46">
        <v>1.1301822959435046</v>
      </c>
      <c r="R2754" s="53">
        <v>141150</v>
      </c>
      <c r="S2754" s="53">
        <v>26772</v>
      </c>
      <c r="T2754" s="53">
        <v>18355.7798</v>
      </c>
      <c r="AH2754" s="53">
        <f t="shared" si="467"/>
        <v>18125850</v>
      </c>
      <c r="AM2754" s="53">
        <v>48110000</v>
      </c>
      <c r="AO2754" s="53">
        <f t="shared" si="465"/>
        <v>3526510</v>
      </c>
      <c r="AP2754" s="53">
        <f t="shared" si="465"/>
        <v>20645040</v>
      </c>
      <c r="AQ2754" s="53">
        <f t="shared" si="465"/>
        <v>0</v>
      </c>
      <c r="AR2754" s="53">
        <f t="shared" ref="AR2754:AW2762" si="469">$G2754*K2754</f>
        <v>0</v>
      </c>
      <c r="AS2754" s="53">
        <f t="shared" si="469"/>
        <v>0</v>
      </c>
      <c r="AT2754" s="53">
        <f t="shared" si="469"/>
        <v>0</v>
      </c>
      <c r="AU2754" s="53">
        <f t="shared" si="469"/>
        <v>0</v>
      </c>
      <c r="AV2754" s="53">
        <f t="shared" si="469"/>
        <v>0</v>
      </c>
      <c r="AW2754" s="53">
        <f t="shared" si="469"/>
        <v>0</v>
      </c>
      <c r="AX2754" s="53">
        <f t="shared" si="466"/>
        <v>1357000000</v>
      </c>
      <c r="AY2754" s="41" t="s">
        <v>557</v>
      </c>
    </row>
    <row r="2755" spans="1:51" x14ac:dyDescent="0.2">
      <c r="A2755" s="41" t="s">
        <v>109</v>
      </c>
      <c r="B2755" s="41" t="s">
        <v>576</v>
      </c>
      <c r="C2755" s="41" t="s">
        <v>96</v>
      </c>
      <c r="D2755" s="41" t="s">
        <v>699</v>
      </c>
      <c r="E2755" s="47">
        <v>69.684389802544047</v>
      </c>
      <c r="F2755" s="41" t="s">
        <v>587</v>
      </c>
      <c r="G2755" s="53">
        <v>18789000</v>
      </c>
      <c r="H2755" s="46">
        <v>0.21133588801958592</v>
      </c>
      <c r="I2755" s="46">
        <v>1.1446181276278673</v>
      </c>
      <c r="R2755" s="53">
        <v>191726</v>
      </c>
      <c r="S2755" s="53">
        <v>32906</v>
      </c>
      <c r="T2755" s="53">
        <v>19556.830699999999</v>
      </c>
      <c r="AH2755" s="53">
        <f t="shared" si="467"/>
        <v>18597274</v>
      </c>
      <c r="AM2755" s="53">
        <v>29103000</v>
      </c>
      <c r="AO2755" s="53">
        <f t="shared" ref="AO2755:AQ2762" si="470">$G2755*H2755</f>
        <v>3970790</v>
      </c>
      <c r="AP2755" s="53">
        <f t="shared" si="470"/>
        <v>21506230</v>
      </c>
      <c r="AQ2755" s="53">
        <f t="shared" si="470"/>
        <v>0</v>
      </c>
      <c r="AR2755" s="53">
        <f t="shared" si="469"/>
        <v>0</v>
      </c>
      <c r="AS2755" s="53">
        <f t="shared" si="469"/>
        <v>0</v>
      </c>
      <c r="AT2755" s="53">
        <f t="shared" si="469"/>
        <v>0</v>
      </c>
      <c r="AU2755" s="53">
        <f t="shared" si="469"/>
        <v>0</v>
      </c>
      <c r="AV2755" s="53">
        <f t="shared" si="469"/>
        <v>0</v>
      </c>
      <c r="AW2755" s="53">
        <f t="shared" si="469"/>
        <v>0</v>
      </c>
      <c r="AX2755" s="53">
        <f t="shared" si="466"/>
        <v>1309300000</v>
      </c>
      <c r="AY2755" s="41" t="s">
        <v>557</v>
      </c>
    </row>
    <row r="2756" spans="1:51" x14ac:dyDescent="0.2">
      <c r="A2756" s="41" t="s">
        <v>109</v>
      </c>
      <c r="B2756" s="41" t="s">
        <v>578</v>
      </c>
      <c r="C2756" s="41" t="s">
        <v>96</v>
      </c>
      <c r="D2756" s="41" t="s">
        <v>699</v>
      </c>
      <c r="E2756" s="47">
        <v>72.206997350872385</v>
      </c>
      <c r="F2756" s="41" t="s">
        <v>587</v>
      </c>
      <c r="G2756" s="53">
        <v>21894000</v>
      </c>
      <c r="H2756" s="46">
        <v>0.18732529460126063</v>
      </c>
      <c r="I2756" s="46">
        <v>1.0970887001004841</v>
      </c>
      <c r="R2756" s="53">
        <v>205807</v>
      </c>
      <c r="S2756" s="53">
        <v>34814</v>
      </c>
      <c r="T2756" s="53">
        <v>21425.069899999999</v>
      </c>
      <c r="AH2756" s="53">
        <f t="shared" si="467"/>
        <v>21688193</v>
      </c>
      <c r="AM2756" s="53">
        <v>26285000</v>
      </c>
      <c r="AO2756" s="53">
        <f t="shared" si="470"/>
        <v>4101300</v>
      </c>
      <c r="AP2756" s="53">
        <f t="shared" si="470"/>
        <v>24019660</v>
      </c>
      <c r="AQ2756" s="53">
        <f t="shared" si="470"/>
        <v>0</v>
      </c>
      <c r="AR2756" s="53">
        <f t="shared" si="469"/>
        <v>0</v>
      </c>
      <c r="AS2756" s="53">
        <f t="shared" si="469"/>
        <v>0</v>
      </c>
      <c r="AT2756" s="53">
        <f t="shared" si="469"/>
        <v>0</v>
      </c>
      <c r="AU2756" s="53">
        <f t="shared" si="469"/>
        <v>0</v>
      </c>
      <c r="AV2756" s="53">
        <f t="shared" si="469"/>
        <v>0</v>
      </c>
      <c r="AW2756" s="53">
        <f t="shared" si="469"/>
        <v>0</v>
      </c>
      <c r="AX2756" s="53">
        <f t="shared" si="466"/>
        <v>1580900000</v>
      </c>
      <c r="AY2756" s="41" t="s">
        <v>557</v>
      </c>
    </row>
    <row r="2757" spans="1:51" x14ac:dyDescent="0.2">
      <c r="A2757" s="41" t="s">
        <v>109</v>
      </c>
      <c r="B2757" s="41" t="s">
        <v>579</v>
      </c>
      <c r="C2757" s="41" t="s">
        <v>96</v>
      </c>
      <c r="D2757" s="41" t="s">
        <v>699</v>
      </c>
      <c r="E2757" s="47">
        <v>73.963690711679632</v>
      </c>
      <c r="F2757" s="41" t="s">
        <v>587</v>
      </c>
      <c r="G2757" s="53">
        <v>22749000</v>
      </c>
      <c r="H2757" s="46">
        <v>0.17968570047035035</v>
      </c>
      <c r="I2757" s="46">
        <v>1.0121719636027957</v>
      </c>
      <c r="J2757" s="54">
        <f t="shared" ref="J2757:J2762" si="471">1000*U2757/G2757/0.5</f>
        <v>1.0201248406523364</v>
      </c>
      <c r="R2757" s="53">
        <v>191409</v>
      </c>
      <c r="S2757" s="53">
        <v>32077</v>
      </c>
      <c r="T2757" s="53">
        <v>19322.118999999999</v>
      </c>
      <c r="U2757" s="53">
        <v>11603.410000000002</v>
      </c>
      <c r="AH2757" s="53">
        <f t="shared" si="467"/>
        <v>22557591</v>
      </c>
      <c r="AM2757" s="53">
        <v>29355000</v>
      </c>
      <c r="AO2757" s="53">
        <f t="shared" si="470"/>
        <v>4087670</v>
      </c>
      <c r="AP2757" s="53">
        <f t="shared" si="470"/>
        <v>23025900</v>
      </c>
      <c r="AQ2757" s="53">
        <f t="shared" si="470"/>
        <v>23206820</v>
      </c>
      <c r="AR2757" s="53">
        <f t="shared" si="469"/>
        <v>0</v>
      </c>
      <c r="AS2757" s="53">
        <f t="shared" si="469"/>
        <v>0</v>
      </c>
      <c r="AT2757" s="53">
        <f t="shared" si="469"/>
        <v>0</v>
      </c>
      <c r="AU2757" s="53">
        <f t="shared" si="469"/>
        <v>0</v>
      </c>
      <c r="AV2757" s="53">
        <f t="shared" si="469"/>
        <v>0</v>
      </c>
      <c r="AW2757" s="53">
        <f t="shared" si="469"/>
        <v>0</v>
      </c>
      <c r="AX2757" s="53">
        <f t="shared" si="466"/>
        <v>1682600000</v>
      </c>
      <c r="AY2757" s="41" t="s">
        <v>557</v>
      </c>
    </row>
    <row r="2758" spans="1:51" x14ac:dyDescent="0.2">
      <c r="A2758" s="41" t="s">
        <v>109</v>
      </c>
      <c r="B2758" s="41" t="s">
        <v>571</v>
      </c>
      <c r="C2758" s="41" t="s">
        <v>96</v>
      </c>
      <c r="D2758" s="41" t="s">
        <v>699</v>
      </c>
      <c r="E2758" s="47">
        <v>72.148010239702117</v>
      </c>
      <c r="F2758" s="41" t="s">
        <v>587</v>
      </c>
      <c r="G2758" s="53">
        <v>21485000</v>
      </c>
      <c r="H2758" s="46">
        <v>0.18769187805445658</v>
      </c>
      <c r="I2758" s="46">
        <v>0.94954712590179191</v>
      </c>
      <c r="J2758" s="54">
        <f t="shared" si="471"/>
        <v>1.0623215731905982</v>
      </c>
      <c r="R2758" s="53">
        <v>194182</v>
      </c>
      <c r="S2758" s="53">
        <v>31236</v>
      </c>
      <c r="T2758" s="53">
        <v>16797.576500000003</v>
      </c>
      <c r="U2758" s="53">
        <v>11411.9895</v>
      </c>
      <c r="AH2758" s="53">
        <f t="shared" si="467"/>
        <v>21290818</v>
      </c>
      <c r="AM2758" s="53">
        <v>65230000</v>
      </c>
      <c r="AO2758" s="53">
        <f t="shared" si="470"/>
        <v>4032559.9999999995</v>
      </c>
      <c r="AP2758" s="53">
        <f t="shared" si="470"/>
        <v>20401020</v>
      </c>
      <c r="AQ2758" s="53">
        <f t="shared" si="470"/>
        <v>22823979</v>
      </c>
      <c r="AR2758" s="53">
        <f t="shared" si="469"/>
        <v>0</v>
      </c>
      <c r="AS2758" s="53">
        <f t="shared" si="469"/>
        <v>0</v>
      </c>
      <c r="AT2758" s="53">
        <f t="shared" si="469"/>
        <v>0</v>
      </c>
      <c r="AU2758" s="53">
        <f t="shared" si="469"/>
        <v>0</v>
      </c>
      <c r="AV2758" s="53">
        <f t="shared" si="469"/>
        <v>0</v>
      </c>
      <c r="AW2758" s="53">
        <f t="shared" si="469"/>
        <v>0</v>
      </c>
      <c r="AX2758" s="53">
        <f t="shared" si="466"/>
        <v>1550100000</v>
      </c>
      <c r="AY2758" s="41" t="s">
        <v>557</v>
      </c>
    </row>
    <row r="2759" spans="1:51" x14ac:dyDescent="0.2">
      <c r="A2759" s="41" t="s">
        <v>109</v>
      </c>
      <c r="B2759" s="41" t="s">
        <v>573</v>
      </c>
      <c r="C2759" s="41" t="s">
        <v>96</v>
      </c>
      <c r="D2759" s="41" t="s">
        <v>699</v>
      </c>
      <c r="E2759" s="47">
        <v>72.055888223552898</v>
      </c>
      <c r="F2759" s="41" t="s">
        <v>587</v>
      </c>
      <c r="G2759" s="53">
        <v>21543000</v>
      </c>
      <c r="H2759" s="46">
        <v>0.16373996193659193</v>
      </c>
      <c r="I2759" s="46">
        <v>1.0070848999675068</v>
      </c>
      <c r="J2759" s="54">
        <f t="shared" si="471"/>
        <v>0.97179307431648343</v>
      </c>
      <c r="R2759" s="53">
        <v>166661</v>
      </c>
      <c r="S2759" s="53">
        <v>26453</v>
      </c>
      <c r="T2759" s="53">
        <v>16343.050000000001</v>
      </c>
      <c r="U2759" s="53">
        <v>10467.669100000001</v>
      </c>
      <c r="AH2759" s="53">
        <f t="shared" si="467"/>
        <v>21376339</v>
      </c>
      <c r="AM2759" s="53">
        <v>69806000</v>
      </c>
      <c r="AO2759" s="53">
        <f t="shared" si="470"/>
        <v>3527450</v>
      </c>
      <c r="AP2759" s="53">
        <f t="shared" si="470"/>
        <v>21695630</v>
      </c>
      <c r="AQ2759" s="53">
        <f t="shared" si="470"/>
        <v>20935338.200000003</v>
      </c>
      <c r="AR2759" s="53">
        <f t="shared" si="469"/>
        <v>0</v>
      </c>
      <c r="AS2759" s="53">
        <f t="shared" si="469"/>
        <v>0</v>
      </c>
      <c r="AT2759" s="53">
        <f t="shared" si="469"/>
        <v>0</v>
      </c>
      <c r="AU2759" s="53">
        <f t="shared" si="469"/>
        <v>0</v>
      </c>
      <c r="AV2759" s="53">
        <f t="shared" si="469"/>
        <v>0</v>
      </c>
      <c r="AW2759" s="53">
        <f t="shared" si="469"/>
        <v>0</v>
      </c>
      <c r="AX2759" s="53">
        <f t="shared" si="466"/>
        <v>1552300000</v>
      </c>
      <c r="AY2759" s="41" t="s">
        <v>557</v>
      </c>
    </row>
    <row r="2760" spans="1:51" x14ac:dyDescent="0.2">
      <c r="A2760" s="41" t="s">
        <v>109</v>
      </c>
      <c r="B2760" s="41" t="s">
        <v>580</v>
      </c>
      <c r="C2760" s="41" t="s">
        <v>96</v>
      </c>
      <c r="D2760" s="41" t="s">
        <v>699</v>
      </c>
      <c r="E2760" s="47">
        <v>76.144250609641716</v>
      </c>
      <c r="F2760" s="41" t="s">
        <v>587</v>
      </c>
      <c r="G2760" s="53">
        <v>21324000</v>
      </c>
      <c r="H2760" s="46">
        <v>0.15253517163759145</v>
      </c>
      <c r="I2760" s="46">
        <v>0.90468064153066963</v>
      </c>
      <c r="J2760" s="54">
        <f t="shared" si="471"/>
        <v>1.1034753704745828</v>
      </c>
      <c r="R2760" s="53">
        <v>170185</v>
      </c>
      <c r="S2760" s="53">
        <v>25506</v>
      </c>
      <c r="T2760" s="53">
        <v>16680.205099999999</v>
      </c>
      <c r="U2760" s="53">
        <v>11765.2544</v>
      </c>
      <c r="AH2760" s="53">
        <f t="shared" si="467"/>
        <v>21153815</v>
      </c>
      <c r="AM2760" s="53">
        <v>16264000</v>
      </c>
      <c r="AO2760" s="53">
        <f t="shared" si="470"/>
        <v>3252660</v>
      </c>
      <c r="AP2760" s="53">
        <f t="shared" si="470"/>
        <v>19291410</v>
      </c>
      <c r="AQ2760" s="53">
        <f t="shared" si="470"/>
        <v>23530508.800000004</v>
      </c>
      <c r="AR2760" s="53">
        <f t="shared" si="469"/>
        <v>0</v>
      </c>
      <c r="AS2760" s="53">
        <f t="shared" si="469"/>
        <v>0</v>
      </c>
      <c r="AT2760" s="53">
        <f t="shared" si="469"/>
        <v>0</v>
      </c>
      <c r="AU2760" s="53">
        <f t="shared" si="469"/>
        <v>0</v>
      </c>
      <c r="AV2760" s="53">
        <f t="shared" si="469"/>
        <v>0</v>
      </c>
      <c r="AW2760" s="53">
        <f t="shared" si="469"/>
        <v>0</v>
      </c>
      <c r="AX2760" s="53">
        <f t="shared" si="466"/>
        <v>1623700000</v>
      </c>
      <c r="AY2760" s="41" t="s">
        <v>557</v>
      </c>
    </row>
    <row r="2761" spans="1:51" x14ac:dyDescent="0.2">
      <c r="A2761" s="41" t="s">
        <v>109</v>
      </c>
      <c r="B2761" s="41" t="s">
        <v>581</v>
      </c>
      <c r="C2761" s="41" t="s">
        <v>96</v>
      </c>
      <c r="D2761" s="41" t="s">
        <v>699</v>
      </c>
      <c r="E2761" s="47">
        <v>72.894021739130437</v>
      </c>
      <c r="F2761" s="41" t="s">
        <v>587</v>
      </c>
      <c r="G2761" s="53">
        <v>22080000</v>
      </c>
      <c r="H2761" s="46">
        <v>0.13196240942028986</v>
      </c>
      <c r="I2761" s="46">
        <v>0.8756435688405797</v>
      </c>
      <c r="J2761" s="54">
        <f t="shared" si="471"/>
        <v>0.90450575181159421</v>
      </c>
      <c r="R2761" s="53">
        <v>157974</v>
      </c>
      <c r="S2761" s="53">
        <v>23119</v>
      </c>
      <c r="T2761" s="53">
        <v>16181.609900000001</v>
      </c>
      <c r="U2761" s="53">
        <v>9985.7435000000005</v>
      </c>
      <c r="AH2761" s="53">
        <f t="shared" si="467"/>
        <v>21922026</v>
      </c>
      <c r="AM2761" s="53">
        <v>7506000</v>
      </c>
      <c r="AO2761" s="53">
        <f t="shared" si="470"/>
        <v>2913730</v>
      </c>
      <c r="AP2761" s="53">
        <f t="shared" si="470"/>
        <v>19334210</v>
      </c>
      <c r="AQ2761" s="53">
        <f t="shared" si="470"/>
        <v>19971487</v>
      </c>
      <c r="AR2761" s="53">
        <f t="shared" si="469"/>
        <v>0</v>
      </c>
      <c r="AS2761" s="53">
        <f t="shared" si="469"/>
        <v>0</v>
      </c>
      <c r="AT2761" s="53">
        <f t="shared" si="469"/>
        <v>0</v>
      </c>
      <c r="AU2761" s="53">
        <f t="shared" si="469"/>
        <v>0</v>
      </c>
      <c r="AV2761" s="53">
        <f t="shared" si="469"/>
        <v>0</v>
      </c>
      <c r="AW2761" s="53">
        <f t="shared" si="469"/>
        <v>0</v>
      </c>
      <c r="AX2761" s="53">
        <f t="shared" si="466"/>
        <v>1609500000</v>
      </c>
      <c r="AY2761" s="41" t="s">
        <v>557</v>
      </c>
    </row>
    <row r="2762" spans="1:51" x14ac:dyDescent="0.2">
      <c r="A2762" s="41" t="s">
        <v>109</v>
      </c>
      <c r="B2762" s="41" t="s">
        <v>700</v>
      </c>
      <c r="C2762" s="41" t="s">
        <v>96</v>
      </c>
      <c r="D2762" s="41" t="s">
        <v>699</v>
      </c>
      <c r="E2762" s="47">
        <v>78.16253081246218</v>
      </c>
      <c r="F2762" s="41" t="s">
        <v>587</v>
      </c>
      <c r="G2762" s="53">
        <v>7296155</v>
      </c>
      <c r="H2762" s="46">
        <v>0.12244396534887211</v>
      </c>
      <c r="I2762" s="46">
        <v>0.77932758418646531</v>
      </c>
      <c r="J2762" s="54">
        <f t="shared" si="471"/>
        <v>0.49793878160757277</v>
      </c>
      <c r="R2762" s="53">
        <v>41443.906799999997</v>
      </c>
      <c r="S2762" s="53">
        <v>6422.1634999999997</v>
      </c>
      <c r="T2762" s="53">
        <v>4828.7805771500007</v>
      </c>
      <c r="U2762" s="53">
        <v>1816.5192655599999</v>
      </c>
      <c r="AH2762" s="53">
        <f t="shared" si="467"/>
        <v>7254711.0932</v>
      </c>
      <c r="AM2762" s="53">
        <v>3010269.3</v>
      </c>
      <c r="AO2762" s="53">
        <f t="shared" si="470"/>
        <v>893370.15</v>
      </c>
      <c r="AP2762" s="53">
        <f t="shared" si="470"/>
        <v>5686094.8499999996</v>
      </c>
      <c r="AQ2762" s="53">
        <f t="shared" si="470"/>
        <v>3633038.5311199999</v>
      </c>
      <c r="AR2762" s="53">
        <f t="shared" si="469"/>
        <v>0</v>
      </c>
      <c r="AS2762" s="53">
        <f t="shared" si="469"/>
        <v>0</v>
      </c>
      <c r="AT2762" s="53">
        <f t="shared" si="469"/>
        <v>0</v>
      </c>
      <c r="AU2762" s="53">
        <f t="shared" si="469"/>
        <v>0</v>
      </c>
      <c r="AV2762" s="53">
        <f t="shared" si="469"/>
        <v>0</v>
      </c>
      <c r="AW2762" s="53">
        <f t="shared" si="469"/>
        <v>0</v>
      </c>
      <c r="AX2762" s="53">
        <f t="shared" si="466"/>
        <v>570285940</v>
      </c>
      <c r="AY2762" s="41" t="s">
        <v>557</v>
      </c>
    </row>
    <row r="2763" spans="1:51" x14ac:dyDescent="0.2">
      <c r="A2763" s="41" t="s">
        <v>109</v>
      </c>
      <c r="B2763" s="60" t="s">
        <v>559</v>
      </c>
      <c r="C2763" s="60" t="s">
        <v>96</v>
      </c>
      <c r="D2763" s="60" t="s">
        <v>699</v>
      </c>
      <c r="E2763" s="78">
        <f>AX2763/$G2763</f>
        <v>86.287779428982759</v>
      </c>
      <c r="F2763" s="60" t="s">
        <v>587</v>
      </c>
      <c r="G2763" s="79">
        <f>SUM(G2726:G2762)</f>
        <v>364749789</v>
      </c>
      <c r="H2763" s="80">
        <f>AO2763/$G2763</f>
        <v>0.12149238049319337</v>
      </c>
      <c r="I2763" s="80">
        <f>AP2763/$G2763</f>
        <v>1.2571855251102373</v>
      </c>
      <c r="J2763" s="78">
        <f>AQ2763/$G2763</f>
        <v>0.31282039077785456</v>
      </c>
      <c r="R2763" s="79">
        <f>SUM(R2726:R2762)</f>
        <v>1819377.9068</v>
      </c>
      <c r="S2763" s="79">
        <f>SUM(S2726:S2762)</f>
        <v>328931.16350000002</v>
      </c>
      <c r="T2763" s="79">
        <f>SUM(T2726:T2762)</f>
        <v>373641.61829314998</v>
      </c>
      <c r="U2763" s="79">
        <f>SUM(U2726:U2762)</f>
        <v>57050.585765559998</v>
      </c>
      <c r="AH2763" s="79">
        <f>SUM(AH2726:AH2762)</f>
        <v>362930411.09320003</v>
      </c>
      <c r="AM2763" s="79">
        <f>SUM(AM2726:AM2762)</f>
        <v>717046520.39999998</v>
      </c>
      <c r="AO2763" s="79">
        <f>SUM(AO2726:AO2762)</f>
        <v>44314320.149999999</v>
      </c>
      <c r="AP2763" s="79">
        <f t="shared" ref="AP2763:AX2763" si="472">SUM(AP2726:AP2762)</f>
        <v>458558155.01781327</v>
      </c>
      <c r="AQ2763" s="79">
        <f t="shared" si="472"/>
        <v>114101171.53112</v>
      </c>
      <c r="AR2763" s="79">
        <f t="shared" si="472"/>
        <v>0</v>
      </c>
      <c r="AS2763" s="79">
        <f t="shared" si="472"/>
        <v>0</v>
      </c>
      <c r="AT2763" s="79">
        <f t="shared" si="472"/>
        <v>0</v>
      </c>
      <c r="AU2763" s="79">
        <f t="shared" si="472"/>
        <v>0</v>
      </c>
      <c r="AV2763" s="79">
        <f t="shared" si="472"/>
        <v>0</v>
      </c>
      <c r="AW2763" s="79">
        <f t="shared" si="472"/>
        <v>0</v>
      </c>
      <c r="AX2763" s="79">
        <f t="shared" si="472"/>
        <v>31473449340</v>
      </c>
      <c r="AY2763" s="41" t="s">
        <v>557</v>
      </c>
    </row>
    <row r="2764" spans="1:51" x14ac:dyDescent="0.2">
      <c r="A2764" s="41" t="s">
        <v>109</v>
      </c>
      <c r="B2764" s="43" t="s">
        <v>560</v>
      </c>
      <c r="G2764" s="53">
        <f>STDEV(G2726:G2762)</f>
        <v>8204847.7606740557</v>
      </c>
      <c r="H2764" s="46">
        <f>STDEV(H2726:H2762)</f>
        <v>8.8841294058755307E-2</v>
      </c>
      <c r="I2764" s="46">
        <f>STDEV(I2726:I2762)</f>
        <v>4.940549874031448</v>
      </c>
      <c r="J2764" s="47">
        <f>STDEV(J2726:J2762)</f>
        <v>0.22123882828225222</v>
      </c>
      <c r="R2764" s="53">
        <f>STDEV(R2726:R2762)</f>
        <v>49312.34951493844</v>
      </c>
      <c r="S2764" s="53">
        <f>STDEV(S2726:S2762)</f>
        <v>8098.8009076844783</v>
      </c>
      <c r="T2764" s="53">
        <f>STDEV(T2726:T2762)</f>
        <v>5701.2556587620511</v>
      </c>
      <c r="U2764" s="53">
        <f>STDEV(U2726:U2762)</f>
        <v>3831.9497626590692</v>
      </c>
      <c r="AH2764" s="53">
        <f>STDEV(AH2726:AH2762)</f>
        <v>8197025.7269513514</v>
      </c>
      <c r="AM2764" s="53">
        <f>STDEV(AM2726:AM2762)</f>
        <v>17860788.991935786</v>
      </c>
      <c r="AY2764" s="41" t="s">
        <v>557</v>
      </c>
    </row>
    <row r="2765" spans="1:51" x14ac:dyDescent="0.2">
      <c r="A2765" s="41" t="s">
        <v>109</v>
      </c>
      <c r="B2765" s="81" t="s">
        <v>249</v>
      </c>
      <c r="G2765" s="41">
        <f>COUNT(G2726:G2762)</f>
        <v>36</v>
      </c>
      <c r="H2765" s="41">
        <f>COUNT(H2726:H2762)</f>
        <v>12</v>
      </c>
      <c r="I2765" s="41">
        <f>COUNT(I2726:I2762)</f>
        <v>36</v>
      </c>
      <c r="J2765" s="41">
        <f>COUNT(J2726:J2762)</f>
        <v>6</v>
      </c>
      <c r="R2765" s="41">
        <f>COUNT(R2726:R2762)</f>
        <v>12</v>
      </c>
      <c r="S2765" s="41">
        <f>COUNT(S2726:S2762)</f>
        <v>12</v>
      </c>
      <c r="T2765" s="41">
        <f>COUNT(T2726:T2762)</f>
        <v>36</v>
      </c>
      <c r="U2765" s="41">
        <f>COUNT(U2726:U2762)</f>
        <v>6</v>
      </c>
      <c r="AH2765" s="41">
        <f>COUNT(AH2726:AH2762)</f>
        <v>37</v>
      </c>
      <c r="AM2765" s="41">
        <f>COUNT(AM2726:AM2762)</f>
        <v>37</v>
      </c>
      <c r="AY2765" s="41" t="s">
        <v>557</v>
      </c>
    </row>
    <row r="2766" spans="1:51" x14ac:dyDescent="0.2">
      <c r="A2766" s="82"/>
      <c r="B2766" s="82"/>
      <c r="C2766" s="82"/>
      <c r="D2766" s="82"/>
      <c r="E2766" s="82"/>
      <c r="F2766" s="82"/>
      <c r="G2766" s="82"/>
      <c r="H2766" s="82"/>
      <c r="I2766" s="82"/>
      <c r="J2766" s="82"/>
      <c r="K2766" s="82"/>
      <c r="L2766" s="82"/>
      <c r="M2766" s="82"/>
      <c r="N2766" s="82"/>
      <c r="O2766" s="82"/>
      <c r="P2766" s="82"/>
      <c r="Q2766" s="82"/>
      <c r="R2766" s="82"/>
      <c r="S2766" s="82"/>
      <c r="T2766" s="82"/>
      <c r="U2766" s="82"/>
      <c r="V2766" s="82"/>
      <c r="W2766" s="82"/>
      <c r="X2766" s="82"/>
      <c r="Y2766" s="82"/>
      <c r="Z2766" s="82"/>
      <c r="AA2766" s="82"/>
      <c r="AB2766" s="82"/>
      <c r="AC2766" s="82"/>
      <c r="AD2766" s="82"/>
      <c r="AE2766" s="82"/>
      <c r="AF2766" s="82"/>
      <c r="AG2766" s="82"/>
      <c r="AH2766" s="82"/>
      <c r="AI2766" s="82"/>
      <c r="AJ2766" s="82"/>
      <c r="AK2766" s="82"/>
      <c r="AL2766" s="82"/>
      <c r="AM2766" s="82"/>
      <c r="AN2766" s="82"/>
      <c r="AO2766" s="82"/>
      <c r="AP2766" s="82"/>
      <c r="AQ2766" s="82"/>
      <c r="AR2766" s="82"/>
      <c r="AS2766" s="82"/>
      <c r="AT2766" s="82"/>
      <c r="AU2766" s="82"/>
      <c r="AV2766" s="82"/>
      <c r="AW2766" s="82"/>
      <c r="AX2766" s="82"/>
      <c r="AY2766" s="41" t="s">
        <v>557</v>
      </c>
    </row>
    <row r="2767" spans="1:51" x14ac:dyDescent="0.2">
      <c r="A2767" s="41" t="s">
        <v>167</v>
      </c>
      <c r="B2767" s="41">
        <v>2009</v>
      </c>
      <c r="C2767" s="41" t="s">
        <v>87</v>
      </c>
      <c r="D2767" s="41" t="s">
        <v>175</v>
      </c>
      <c r="E2767" s="41">
        <v>100</v>
      </c>
      <c r="F2767" s="41" t="s">
        <v>645</v>
      </c>
      <c r="G2767" s="53">
        <v>2111067</v>
      </c>
      <c r="H2767" s="41">
        <v>3.69</v>
      </c>
      <c r="O2767" s="58">
        <v>0.4</v>
      </c>
      <c r="S2767" s="53">
        <v>70001</v>
      </c>
      <c r="AD2767" s="53">
        <v>5749.7020812000001</v>
      </c>
      <c r="AM2767" s="53">
        <v>4108277</v>
      </c>
      <c r="AO2767" s="53">
        <f t="shared" ref="AO2767:AW2774" si="473">$G2767*H2767</f>
        <v>7789837.2299999995</v>
      </c>
      <c r="AP2767" s="53">
        <f t="shared" si="473"/>
        <v>0</v>
      </c>
      <c r="AQ2767" s="53">
        <f t="shared" si="473"/>
        <v>0</v>
      </c>
      <c r="AR2767" s="53">
        <f t="shared" si="473"/>
        <v>0</v>
      </c>
      <c r="AS2767" s="53">
        <f t="shared" si="473"/>
        <v>0</v>
      </c>
      <c r="AT2767" s="53">
        <f t="shared" si="473"/>
        <v>0</v>
      </c>
      <c r="AU2767" s="53">
        <f t="shared" si="473"/>
        <v>0</v>
      </c>
      <c r="AV2767" s="53">
        <f t="shared" si="473"/>
        <v>844426.8</v>
      </c>
      <c r="AW2767" s="53">
        <f t="shared" si="473"/>
        <v>0</v>
      </c>
      <c r="AX2767" s="53">
        <f t="shared" ref="AX2767:AX2774" si="474">$G2767*E2767</f>
        <v>211106700</v>
      </c>
      <c r="AY2767" s="41" t="s">
        <v>557</v>
      </c>
    </row>
    <row r="2768" spans="1:51" x14ac:dyDescent="0.2">
      <c r="A2768" s="41" t="s">
        <v>167</v>
      </c>
      <c r="B2768" s="41">
        <v>2010</v>
      </c>
      <c r="C2768" s="41" t="s">
        <v>87</v>
      </c>
      <c r="D2768" s="41" t="s">
        <v>175</v>
      </c>
      <c r="E2768" s="41">
        <v>100</v>
      </c>
      <c r="F2768" s="41" t="s">
        <v>645</v>
      </c>
      <c r="G2768" s="53">
        <v>3766000</v>
      </c>
      <c r="H2768" s="41">
        <v>3.51</v>
      </c>
      <c r="O2768" s="46">
        <v>0.4</v>
      </c>
      <c r="S2768" s="53">
        <v>120271</v>
      </c>
      <c r="AD2768" s="53">
        <v>9225</v>
      </c>
      <c r="AM2768" s="53">
        <v>4775000</v>
      </c>
      <c r="AO2768" s="53">
        <f t="shared" si="473"/>
        <v>13218660</v>
      </c>
      <c r="AP2768" s="53">
        <f t="shared" si="473"/>
        <v>0</v>
      </c>
      <c r="AQ2768" s="53">
        <f t="shared" si="473"/>
        <v>0</v>
      </c>
      <c r="AR2768" s="53">
        <f t="shared" si="473"/>
        <v>0</v>
      </c>
      <c r="AS2768" s="53">
        <f t="shared" si="473"/>
        <v>0</v>
      </c>
      <c r="AT2768" s="53">
        <f t="shared" si="473"/>
        <v>0</v>
      </c>
      <c r="AU2768" s="53">
        <f t="shared" si="473"/>
        <v>0</v>
      </c>
      <c r="AV2768" s="53">
        <f t="shared" si="473"/>
        <v>1506400</v>
      </c>
      <c r="AW2768" s="53">
        <f t="shared" si="473"/>
        <v>0</v>
      </c>
      <c r="AX2768" s="53">
        <f t="shared" si="474"/>
        <v>376600000</v>
      </c>
      <c r="AY2768" s="41" t="s">
        <v>557</v>
      </c>
    </row>
    <row r="2769" spans="1:51" x14ac:dyDescent="0.2">
      <c r="A2769" s="41" t="s">
        <v>167</v>
      </c>
      <c r="B2769" s="41">
        <v>2011</v>
      </c>
      <c r="C2769" s="41" t="s">
        <v>87</v>
      </c>
      <c r="D2769" s="41" t="s">
        <v>175</v>
      </c>
      <c r="E2769" s="41">
        <v>100</v>
      </c>
      <c r="F2769" s="41" t="s">
        <v>645</v>
      </c>
      <c r="G2769" s="53">
        <v>4046000</v>
      </c>
      <c r="H2769" s="41">
        <v>3.41</v>
      </c>
      <c r="O2769" s="46">
        <v>0.4</v>
      </c>
      <c r="S2769" s="53">
        <v>127367</v>
      </c>
      <c r="AD2769" s="53">
        <v>11182</v>
      </c>
      <c r="AM2769" s="53">
        <v>5949000</v>
      </c>
      <c r="AO2769" s="53">
        <f t="shared" si="473"/>
        <v>13796860</v>
      </c>
      <c r="AP2769" s="53">
        <f t="shared" si="473"/>
        <v>0</v>
      </c>
      <c r="AQ2769" s="53">
        <f t="shared" si="473"/>
        <v>0</v>
      </c>
      <c r="AR2769" s="53">
        <f t="shared" si="473"/>
        <v>0</v>
      </c>
      <c r="AS2769" s="53">
        <f t="shared" si="473"/>
        <v>0</v>
      </c>
      <c r="AT2769" s="53">
        <f t="shared" si="473"/>
        <v>0</v>
      </c>
      <c r="AU2769" s="53">
        <f t="shared" si="473"/>
        <v>0</v>
      </c>
      <c r="AV2769" s="53">
        <f t="shared" si="473"/>
        <v>1618400</v>
      </c>
      <c r="AW2769" s="53">
        <f t="shared" si="473"/>
        <v>0</v>
      </c>
      <c r="AX2769" s="53">
        <f t="shared" si="474"/>
        <v>404600000</v>
      </c>
      <c r="AY2769" s="41" t="s">
        <v>557</v>
      </c>
    </row>
    <row r="2770" spans="1:51" x14ac:dyDescent="0.2">
      <c r="A2770" s="41" t="s">
        <v>167</v>
      </c>
      <c r="B2770" s="41">
        <v>2012</v>
      </c>
      <c r="C2770" s="41" t="s">
        <v>87</v>
      </c>
      <c r="D2770" s="41" t="s">
        <v>175</v>
      </c>
      <c r="E2770" s="41">
        <v>100</v>
      </c>
      <c r="F2770" s="41" t="s">
        <v>645</v>
      </c>
      <c r="G2770" s="53">
        <v>4748000</v>
      </c>
      <c r="H2770" s="41">
        <v>3.62</v>
      </c>
      <c r="O2770" s="46">
        <v>0.37</v>
      </c>
      <c r="S2770" s="53">
        <v>157671</v>
      </c>
      <c r="AD2770" s="53">
        <v>11669</v>
      </c>
      <c r="AM2770" s="53">
        <v>8058000</v>
      </c>
      <c r="AO2770" s="53">
        <f t="shared" si="473"/>
        <v>17187760</v>
      </c>
      <c r="AP2770" s="53">
        <f t="shared" si="473"/>
        <v>0</v>
      </c>
      <c r="AQ2770" s="53">
        <f t="shared" si="473"/>
        <v>0</v>
      </c>
      <c r="AR2770" s="53">
        <f t="shared" si="473"/>
        <v>0</v>
      </c>
      <c r="AS2770" s="53">
        <f t="shared" si="473"/>
        <v>0</v>
      </c>
      <c r="AT2770" s="53">
        <f t="shared" si="473"/>
        <v>0</v>
      </c>
      <c r="AU2770" s="53">
        <f t="shared" si="473"/>
        <v>0</v>
      </c>
      <c r="AV2770" s="53">
        <f t="shared" si="473"/>
        <v>1756760</v>
      </c>
      <c r="AW2770" s="53">
        <f t="shared" si="473"/>
        <v>0</v>
      </c>
      <c r="AX2770" s="53">
        <f t="shared" si="474"/>
        <v>474800000</v>
      </c>
      <c r="AY2770" s="41" t="s">
        <v>557</v>
      </c>
    </row>
    <row r="2771" spans="1:51" x14ac:dyDescent="0.2">
      <c r="A2771" s="41" t="s">
        <v>167</v>
      </c>
      <c r="B2771" s="41">
        <v>2013</v>
      </c>
      <c r="C2771" s="41" t="s">
        <v>87</v>
      </c>
      <c r="D2771" s="41" t="s">
        <v>175</v>
      </c>
      <c r="E2771" s="41">
        <v>100</v>
      </c>
      <c r="F2771" s="41" t="s">
        <v>645</v>
      </c>
      <c r="G2771" s="53">
        <v>5428000</v>
      </c>
      <c r="H2771" s="41">
        <v>4.22</v>
      </c>
      <c r="O2771" s="46">
        <v>0.37</v>
      </c>
      <c r="S2771" s="53">
        <v>209774</v>
      </c>
      <c r="AD2771" s="53">
        <v>12751</v>
      </c>
      <c r="AM2771" s="53">
        <v>7803000</v>
      </c>
      <c r="AO2771" s="53">
        <f t="shared" si="473"/>
        <v>22906160</v>
      </c>
      <c r="AP2771" s="53">
        <f t="shared" si="473"/>
        <v>0</v>
      </c>
      <c r="AQ2771" s="53">
        <f t="shared" si="473"/>
        <v>0</v>
      </c>
      <c r="AR2771" s="53">
        <f t="shared" si="473"/>
        <v>0</v>
      </c>
      <c r="AS2771" s="53">
        <f t="shared" si="473"/>
        <v>0</v>
      </c>
      <c r="AT2771" s="53">
        <f t="shared" si="473"/>
        <v>0</v>
      </c>
      <c r="AU2771" s="53">
        <f t="shared" si="473"/>
        <v>0</v>
      </c>
      <c r="AV2771" s="53">
        <f t="shared" si="473"/>
        <v>2008360</v>
      </c>
      <c r="AW2771" s="53">
        <f t="shared" si="473"/>
        <v>0</v>
      </c>
      <c r="AX2771" s="53">
        <f t="shared" si="474"/>
        <v>542800000</v>
      </c>
      <c r="AY2771" s="41" t="s">
        <v>557</v>
      </c>
    </row>
    <row r="2772" spans="1:51" x14ac:dyDescent="0.2">
      <c r="A2772" s="41" t="s">
        <v>167</v>
      </c>
      <c r="B2772" s="41">
        <v>2014</v>
      </c>
      <c r="C2772" s="41" t="s">
        <v>87</v>
      </c>
      <c r="D2772" s="41" t="s">
        <v>175</v>
      </c>
      <c r="E2772" s="41">
        <v>100</v>
      </c>
      <c r="F2772" s="41" t="s">
        <v>645</v>
      </c>
      <c r="G2772" s="53">
        <v>5372000</v>
      </c>
      <c r="H2772" s="41">
        <v>4.0599999999999996</v>
      </c>
      <c r="O2772" s="41">
        <v>0.34</v>
      </c>
      <c r="S2772" s="53">
        <v>202648</v>
      </c>
      <c r="AD2772" s="53">
        <v>13334</v>
      </c>
      <c r="AM2772" s="53">
        <v>7701000</v>
      </c>
      <c r="AO2772" s="53">
        <f t="shared" si="473"/>
        <v>21810319.999999996</v>
      </c>
      <c r="AP2772" s="53">
        <f t="shared" si="473"/>
        <v>0</v>
      </c>
      <c r="AQ2772" s="53">
        <f t="shared" si="473"/>
        <v>0</v>
      </c>
      <c r="AR2772" s="53">
        <f t="shared" si="473"/>
        <v>0</v>
      </c>
      <c r="AS2772" s="53">
        <f t="shared" si="473"/>
        <v>0</v>
      </c>
      <c r="AT2772" s="53">
        <f t="shared" si="473"/>
        <v>0</v>
      </c>
      <c r="AU2772" s="53">
        <f t="shared" si="473"/>
        <v>0</v>
      </c>
      <c r="AV2772" s="53">
        <f t="shared" si="473"/>
        <v>1826480.0000000002</v>
      </c>
      <c r="AW2772" s="53">
        <f t="shared" si="473"/>
        <v>0</v>
      </c>
      <c r="AX2772" s="53">
        <f t="shared" si="474"/>
        <v>537200000</v>
      </c>
      <c r="AY2772" s="41" t="s">
        <v>557</v>
      </c>
    </row>
    <row r="2773" spans="1:51" x14ac:dyDescent="0.2">
      <c r="A2773" s="41" t="s">
        <v>167</v>
      </c>
      <c r="B2773" s="41">
        <v>2015</v>
      </c>
      <c r="C2773" s="41" t="s">
        <v>87</v>
      </c>
      <c r="D2773" s="41" t="s">
        <v>175</v>
      </c>
      <c r="E2773" s="41">
        <v>100</v>
      </c>
      <c r="F2773" s="41" t="s">
        <v>645</v>
      </c>
      <c r="G2773" s="53">
        <v>5440000</v>
      </c>
      <c r="H2773" s="46">
        <v>4</v>
      </c>
      <c r="O2773" s="41">
        <v>0.43</v>
      </c>
      <c r="S2773" s="53">
        <v>203964</v>
      </c>
      <c r="AD2773" s="53">
        <v>16014</v>
      </c>
      <c r="AM2773" s="53">
        <v>7217000</v>
      </c>
      <c r="AO2773" s="53">
        <f t="shared" si="473"/>
        <v>21760000</v>
      </c>
      <c r="AP2773" s="53">
        <f t="shared" si="473"/>
        <v>0</v>
      </c>
      <c r="AQ2773" s="53">
        <f t="shared" si="473"/>
        <v>0</v>
      </c>
      <c r="AR2773" s="53">
        <f t="shared" si="473"/>
        <v>0</v>
      </c>
      <c r="AS2773" s="53">
        <f t="shared" si="473"/>
        <v>0</v>
      </c>
      <c r="AT2773" s="53">
        <f t="shared" si="473"/>
        <v>0</v>
      </c>
      <c r="AU2773" s="53">
        <f t="shared" si="473"/>
        <v>0</v>
      </c>
      <c r="AV2773" s="53">
        <f t="shared" si="473"/>
        <v>2339200</v>
      </c>
      <c r="AW2773" s="53">
        <f t="shared" si="473"/>
        <v>0</v>
      </c>
      <c r="AX2773" s="53">
        <f t="shared" si="474"/>
        <v>544000000</v>
      </c>
      <c r="AY2773" s="41" t="s">
        <v>557</v>
      </c>
    </row>
    <row r="2774" spans="1:51" x14ac:dyDescent="0.2">
      <c r="A2774" s="41" t="s">
        <v>167</v>
      </c>
      <c r="B2774" s="41">
        <v>2016</v>
      </c>
      <c r="C2774" s="41" t="s">
        <v>87</v>
      </c>
      <c r="D2774" s="41" t="s">
        <v>175</v>
      </c>
      <c r="E2774" s="41">
        <v>100</v>
      </c>
      <c r="F2774" s="41" t="s">
        <v>645</v>
      </c>
      <c r="G2774" s="53">
        <v>5548000</v>
      </c>
      <c r="H2774" s="41">
        <v>4.18</v>
      </c>
      <c r="O2774" s="41">
        <v>0.44</v>
      </c>
      <c r="S2774" s="53">
        <v>217064.3904</v>
      </c>
      <c r="AD2774" s="53">
        <v>16621.586079999997</v>
      </c>
      <c r="AM2774" s="53">
        <v>9709000</v>
      </c>
      <c r="AO2774" s="53">
        <f t="shared" si="473"/>
        <v>23190640</v>
      </c>
      <c r="AP2774" s="53">
        <f t="shared" si="473"/>
        <v>0</v>
      </c>
      <c r="AQ2774" s="53">
        <f t="shared" si="473"/>
        <v>0</v>
      </c>
      <c r="AR2774" s="53">
        <f t="shared" si="473"/>
        <v>0</v>
      </c>
      <c r="AS2774" s="53">
        <f t="shared" si="473"/>
        <v>0</v>
      </c>
      <c r="AT2774" s="53">
        <f t="shared" si="473"/>
        <v>0</v>
      </c>
      <c r="AU2774" s="53">
        <f t="shared" si="473"/>
        <v>0</v>
      </c>
      <c r="AV2774" s="53">
        <f t="shared" si="473"/>
        <v>2441120</v>
      </c>
      <c r="AW2774" s="53">
        <f t="shared" si="473"/>
        <v>0</v>
      </c>
      <c r="AX2774" s="53">
        <f t="shared" si="474"/>
        <v>554800000</v>
      </c>
      <c r="AY2774" s="41" t="s">
        <v>557</v>
      </c>
    </row>
    <row r="2775" spans="1:51" x14ac:dyDescent="0.2">
      <c r="A2775" s="60"/>
      <c r="B2775" s="85" t="s">
        <v>701</v>
      </c>
      <c r="C2775" s="60" t="s">
        <v>87</v>
      </c>
      <c r="D2775" s="60" t="s">
        <v>175</v>
      </c>
      <c r="E2775" s="107">
        <v>100</v>
      </c>
      <c r="F2775" s="60" t="s">
        <v>645</v>
      </c>
      <c r="G2775" s="79">
        <f>SUM(G2767:G2773)+(9.5/12)*G2774</f>
        <v>35303233.666666664</v>
      </c>
      <c r="H2775" s="80">
        <f>AO2775/$G2775</f>
        <v>3.875816453206681</v>
      </c>
      <c r="O2775" s="80">
        <f>AV2775/$G2775</f>
        <v>0.39182190118731436</v>
      </c>
      <c r="S2775" s="79">
        <f>SUM(S2767:S2773)+(9.5/12)*S2774</f>
        <v>1263538.6424</v>
      </c>
      <c r="AD2775" s="79">
        <f>SUM(AD2767:AD2773)+(9.5/12)*AD2774</f>
        <v>93083.457727866655</v>
      </c>
      <c r="AM2775" s="79">
        <f>SUM(AM2767:AM2773)+(9.5/12)*AM2774</f>
        <v>53297568.666666664</v>
      </c>
      <c r="AO2775" s="79">
        <f t="shared" ref="AO2775:AX2775" si="475">SUM(AO2767:AO2773)+(9.5/12)*AO2774</f>
        <v>136828853.89666668</v>
      </c>
      <c r="AP2775" s="79">
        <f t="shared" si="475"/>
        <v>0</v>
      </c>
      <c r="AQ2775" s="79">
        <f t="shared" si="475"/>
        <v>0</v>
      </c>
      <c r="AR2775" s="79">
        <f t="shared" si="475"/>
        <v>0</v>
      </c>
      <c r="AS2775" s="79">
        <f t="shared" si="475"/>
        <v>0</v>
      </c>
      <c r="AT2775" s="79">
        <f t="shared" si="475"/>
        <v>0</v>
      </c>
      <c r="AU2775" s="79">
        <f t="shared" si="475"/>
        <v>0</v>
      </c>
      <c r="AV2775" s="79">
        <f t="shared" si="475"/>
        <v>13832580.133333335</v>
      </c>
      <c r="AW2775" s="79">
        <f t="shared" si="475"/>
        <v>0</v>
      </c>
      <c r="AX2775" s="79">
        <f t="shared" si="475"/>
        <v>3530323366.6666665</v>
      </c>
      <c r="AY2775" s="41" t="s">
        <v>557</v>
      </c>
    </row>
    <row r="2776" spans="1:51" x14ac:dyDescent="0.2">
      <c r="A2776" s="41" t="s">
        <v>167</v>
      </c>
      <c r="B2776" s="43" t="s">
        <v>560</v>
      </c>
      <c r="G2776" s="53">
        <f>STDEV(G2767:G2774)</f>
        <v>1200625.1981291054</v>
      </c>
      <c r="H2776" s="46">
        <f>STDEV(H2767:H2774)</f>
        <v>0.31590855367608234</v>
      </c>
      <c r="O2776" s="46">
        <f>STDEV(O2767:O2774)</f>
        <v>3.2923070504261465E-2</v>
      </c>
      <c r="S2776" s="53">
        <f>STDEV(S2767:S2774)</f>
        <v>53626.534333998454</v>
      </c>
      <c r="AD2776" s="53">
        <f>STDEV(AD2767:AD2774)</f>
        <v>3531.9569873659489</v>
      </c>
      <c r="AM2776" s="53">
        <f>STDEV(AM2767:AM2774)</f>
        <v>1851674.1069767834</v>
      </c>
      <c r="AY2776" s="41" t="s">
        <v>557</v>
      </c>
    </row>
    <row r="2777" spans="1:51" x14ac:dyDescent="0.2">
      <c r="A2777" s="41" t="s">
        <v>167</v>
      </c>
      <c r="B2777" s="81" t="s">
        <v>249</v>
      </c>
      <c r="G2777" s="41">
        <f>COUNT(G2767:G2774)</f>
        <v>8</v>
      </c>
      <c r="H2777" s="41">
        <f>COUNT(H2767:H2774)</f>
        <v>8</v>
      </c>
      <c r="O2777" s="41">
        <f>COUNT(O2767:O2774)</f>
        <v>8</v>
      </c>
      <c r="S2777" s="41">
        <f>COUNT(S2767:S2774)</f>
        <v>8</v>
      </c>
      <c r="AD2777" s="41">
        <f>COUNT(AD2767:AD2774)</f>
        <v>8</v>
      </c>
      <c r="AM2777" s="41">
        <f>COUNT(AM2767:AM2774)</f>
        <v>8</v>
      </c>
      <c r="AY2777" s="41" t="s">
        <v>557</v>
      </c>
    </row>
    <row r="2778" spans="1:51" x14ac:dyDescent="0.2">
      <c r="A2778" s="82"/>
      <c r="B2778" s="82"/>
      <c r="C2778" s="82"/>
      <c r="D2778" s="82"/>
      <c r="E2778" s="82"/>
      <c r="F2778" s="82"/>
      <c r="G2778" s="82"/>
      <c r="H2778" s="82"/>
      <c r="I2778" s="82"/>
      <c r="J2778" s="82"/>
      <c r="K2778" s="82"/>
      <c r="L2778" s="82"/>
      <c r="M2778" s="82"/>
      <c r="N2778" s="82"/>
      <c r="O2778" s="82"/>
      <c r="P2778" s="82"/>
      <c r="Q2778" s="82"/>
      <c r="R2778" s="82"/>
      <c r="S2778" s="82"/>
      <c r="T2778" s="82"/>
      <c r="U2778" s="82"/>
      <c r="V2778" s="82"/>
      <c r="W2778" s="82"/>
      <c r="X2778" s="82"/>
      <c r="Y2778" s="82"/>
      <c r="Z2778" s="82"/>
      <c r="AA2778" s="82"/>
      <c r="AB2778" s="82"/>
      <c r="AC2778" s="82"/>
      <c r="AD2778" s="82"/>
      <c r="AE2778" s="82"/>
      <c r="AF2778" s="82"/>
      <c r="AG2778" s="82"/>
      <c r="AH2778" s="82"/>
      <c r="AI2778" s="82"/>
      <c r="AJ2778" s="82"/>
      <c r="AK2778" s="82"/>
      <c r="AL2778" s="82"/>
      <c r="AM2778" s="82"/>
      <c r="AN2778" s="82"/>
      <c r="AO2778" s="82"/>
      <c r="AP2778" s="82"/>
      <c r="AQ2778" s="82"/>
      <c r="AR2778" s="82"/>
      <c r="AS2778" s="82"/>
      <c r="AT2778" s="82"/>
      <c r="AU2778" s="82"/>
      <c r="AV2778" s="82"/>
      <c r="AW2778" s="82"/>
      <c r="AX2778" s="82"/>
      <c r="AY2778" s="41" t="s">
        <v>557</v>
      </c>
    </row>
    <row r="2779" spans="1:51" x14ac:dyDescent="0.2">
      <c r="A2779" s="86" t="s">
        <v>702</v>
      </c>
      <c r="B2779" s="58" t="s">
        <v>703</v>
      </c>
      <c r="C2779" s="41" t="s">
        <v>87</v>
      </c>
      <c r="D2779" s="41" t="s">
        <v>110</v>
      </c>
      <c r="E2779" s="41">
        <v>100</v>
      </c>
      <c r="F2779" s="41" t="s">
        <v>556</v>
      </c>
      <c r="G2779" s="53"/>
      <c r="I2779" s="46"/>
      <c r="T2779" s="53"/>
      <c r="AM2779" s="53"/>
      <c r="AO2779" s="53">
        <f t="shared" ref="AO2779:AW2786" si="476">$G2779*H2779</f>
        <v>0</v>
      </c>
      <c r="AP2779" s="53">
        <f t="shared" si="476"/>
        <v>0</v>
      </c>
      <c r="AQ2779" s="53">
        <f t="shared" si="476"/>
        <v>0</v>
      </c>
      <c r="AR2779" s="53">
        <f t="shared" si="476"/>
        <v>0</v>
      </c>
      <c r="AS2779" s="53">
        <f t="shared" si="476"/>
        <v>0</v>
      </c>
      <c r="AT2779" s="53">
        <f t="shared" si="476"/>
        <v>0</v>
      </c>
      <c r="AU2779" s="53">
        <f t="shared" si="476"/>
        <v>0</v>
      </c>
      <c r="AV2779" s="53">
        <f t="shared" si="476"/>
        <v>0</v>
      </c>
      <c r="AW2779" s="53">
        <f t="shared" si="476"/>
        <v>0</v>
      </c>
      <c r="AX2779" s="53">
        <f>$G2779*E2779</f>
        <v>0</v>
      </c>
      <c r="AY2779" s="41" t="s">
        <v>557</v>
      </c>
    </row>
    <row r="2780" spans="1:51" x14ac:dyDescent="0.2">
      <c r="A2780" s="86" t="s">
        <v>702</v>
      </c>
      <c r="B2780" s="41">
        <v>2006</v>
      </c>
      <c r="C2780" s="41" t="s">
        <v>87</v>
      </c>
      <c r="D2780" s="41" t="s">
        <v>110</v>
      </c>
      <c r="E2780" s="41">
        <v>100</v>
      </c>
      <c r="F2780" s="41" t="s">
        <v>556</v>
      </c>
      <c r="G2780" s="87">
        <v>6555955</v>
      </c>
      <c r="H2780" s="46">
        <v>1.35</v>
      </c>
      <c r="I2780" s="56">
        <v>0.38038464266456984</v>
      </c>
      <c r="J2780" s="58">
        <v>7</v>
      </c>
      <c r="R2780" s="53">
        <v>243146</v>
      </c>
      <c r="S2780" s="53">
        <v>78318</v>
      </c>
      <c r="T2780" s="53">
        <f>40093*31.1/1000</f>
        <v>1246.8923</v>
      </c>
      <c r="U2780" s="76">
        <f>737808.44*31.1/1000</f>
        <v>22945.842484000001</v>
      </c>
      <c r="AL2780" s="53">
        <v>36729</v>
      </c>
      <c r="AM2780" s="53">
        <v>65063514</v>
      </c>
      <c r="AO2780" s="53">
        <f t="shared" si="476"/>
        <v>8850539.25</v>
      </c>
      <c r="AP2780" s="53">
        <f t="shared" si="476"/>
        <v>2493784.6</v>
      </c>
      <c r="AQ2780" s="53">
        <f t="shared" si="476"/>
        <v>45891685</v>
      </c>
      <c r="AR2780" s="53">
        <f t="shared" si="476"/>
        <v>0</v>
      </c>
      <c r="AS2780" s="53">
        <f t="shared" si="476"/>
        <v>0</v>
      </c>
      <c r="AT2780" s="53">
        <f t="shared" si="476"/>
        <v>0</v>
      </c>
      <c r="AU2780" s="53">
        <f t="shared" si="476"/>
        <v>0</v>
      </c>
      <c r="AV2780" s="53">
        <f t="shared" si="476"/>
        <v>0</v>
      </c>
      <c r="AW2780" s="53">
        <f t="shared" si="476"/>
        <v>0</v>
      </c>
      <c r="AX2780" s="53">
        <f t="shared" si="466"/>
        <v>655595500</v>
      </c>
      <c r="AY2780" s="41" t="s">
        <v>557</v>
      </c>
    </row>
    <row r="2781" spans="1:51" x14ac:dyDescent="0.2">
      <c r="A2781" s="86" t="s">
        <v>702</v>
      </c>
      <c r="B2781" s="41">
        <v>2007</v>
      </c>
      <c r="C2781" s="41" t="s">
        <v>87</v>
      </c>
      <c r="D2781" s="41" t="s">
        <v>110</v>
      </c>
      <c r="E2781" s="41">
        <v>100</v>
      </c>
      <c r="F2781" s="41" t="s">
        <v>556</v>
      </c>
      <c r="G2781" s="87">
        <v>6766802</v>
      </c>
      <c r="H2781" s="46">
        <v>1.44</v>
      </c>
      <c r="I2781" s="56">
        <v>0.35657351877592991</v>
      </c>
      <c r="J2781" s="58">
        <v>7</v>
      </c>
      <c r="R2781" s="53">
        <v>251094</v>
      </c>
      <c r="S2781" s="53">
        <v>83802</v>
      </c>
      <c r="T2781" s="53">
        <f>38792*31.1/1000</f>
        <v>1206.4312</v>
      </c>
      <c r="U2781" s="76">
        <f>761537.2*31.1/1000</f>
        <v>23683.806919999999</v>
      </c>
      <c r="AL2781" s="53">
        <v>35982</v>
      </c>
      <c r="AM2781" s="53">
        <v>64687808</v>
      </c>
      <c r="AO2781" s="53">
        <f t="shared" si="476"/>
        <v>9744194.879999999</v>
      </c>
      <c r="AP2781" s="53">
        <f t="shared" si="476"/>
        <v>2412862.4</v>
      </c>
      <c r="AQ2781" s="53">
        <f t="shared" si="476"/>
        <v>47367614</v>
      </c>
      <c r="AR2781" s="53">
        <f t="shared" si="476"/>
        <v>0</v>
      </c>
      <c r="AS2781" s="53">
        <f t="shared" si="476"/>
        <v>0</v>
      </c>
      <c r="AT2781" s="53">
        <f t="shared" si="476"/>
        <v>0</v>
      </c>
      <c r="AU2781" s="53">
        <f t="shared" si="476"/>
        <v>0</v>
      </c>
      <c r="AV2781" s="53">
        <f t="shared" si="476"/>
        <v>0</v>
      </c>
      <c r="AW2781" s="53">
        <f t="shared" si="476"/>
        <v>0</v>
      </c>
      <c r="AX2781" s="53">
        <f t="shared" si="466"/>
        <v>676680200</v>
      </c>
      <c r="AY2781" s="41" t="s">
        <v>557</v>
      </c>
    </row>
    <row r="2782" spans="1:51" x14ac:dyDescent="0.2">
      <c r="A2782" s="86" t="s">
        <v>702</v>
      </c>
      <c r="B2782" s="41">
        <v>2008</v>
      </c>
      <c r="C2782" s="41" t="s">
        <v>87</v>
      </c>
      <c r="D2782" s="41" t="s">
        <v>110</v>
      </c>
      <c r="E2782" s="41">
        <v>100</v>
      </c>
      <c r="F2782" s="41" t="s">
        <v>556</v>
      </c>
      <c r="G2782" s="53">
        <v>7109747</v>
      </c>
      <c r="H2782" s="41">
        <v>1.38</v>
      </c>
      <c r="I2782" s="56">
        <v>0.32101066324863603</v>
      </c>
      <c r="J2782" s="58">
        <v>7</v>
      </c>
      <c r="R2782" s="53">
        <v>272850</v>
      </c>
      <c r="S2782" s="53">
        <v>83632</v>
      </c>
      <c r="T2782" s="53">
        <f>36693*31.1/1000</f>
        <v>1141.1523</v>
      </c>
      <c r="U2782" s="76">
        <f>800132.3*31.1/1000</f>
        <v>24884.114530000003</v>
      </c>
      <c r="AL2782" s="53">
        <v>27263</v>
      </c>
      <c r="AM2782" s="53">
        <v>69653491</v>
      </c>
      <c r="AO2782" s="53">
        <f t="shared" si="476"/>
        <v>9811450.8599999994</v>
      </c>
      <c r="AP2782" s="53">
        <f t="shared" si="476"/>
        <v>2282304.6</v>
      </c>
      <c r="AQ2782" s="53">
        <f t="shared" si="476"/>
        <v>49768229</v>
      </c>
      <c r="AR2782" s="53">
        <f t="shared" si="476"/>
        <v>0</v>
      </c>
      <c r="AS2782" s="53">
        <f t="shared" si="476"/>
        <v>0</v>
      </c>
      <c r="AT2782" s="53">
        <f t="shared" si="476"/>
        <v>0</v>
      </c>
      <c r="AU2782" s="53">
        <f t="shared" si="476"/>
        <v>0</v>
      </c>
      <c r="AV2782" s="53">
        <f t="shared" si="476"/>
        <v>0</v>
      </c>
      <c r="AW2782" s="53">
        <f t="shared" si="476"/>
        <v>0</v>
      </c>
      <c r="AX2782" s="53">
        <f t="shared" si="466"/>
        <v>710974700</v>
      </c>
      <c r="AY2782" s="41" t="s">
        <v>557</v>
      </c>
    </row>
    <row r="2783" spans="1:51" x14ac:dyDescent="0.2">
      <c r="A2783" s="86" t="s">
        <v>702</v>
      </c>
      <c r="B2783" s="41">
        <v>2009</v>
      </c>
      <c r="C2783" s="41" t="s">
        <v>87</v>
      </c>
      <c r="D2783" s="41" t="s">
        <v>110</v>
      </c>
      <c r="E2783" s="41">
        <v>100</v>
      </c>
      <c r="F2783" s="41" t="s">
        <v>556</v>
      </c>
      <c r="G2783" s="53">
        <v>6991682</v>
      </c>
      <c r="H2783" s="41">
        <v>1.39</v>
      </c>
      <c r="I2783" s="56">
        <v>0.31799772930176173</v>
      </c>
      <c r="J2783" s="58">
        <v>7</v>
      </c>
      <c r="R2783" s="53">
        <v>264971</v>
      </c>
      <c r="S2783" s="53">
        <v>81739</v>
      </c>
      <c r="T2783" s="53">
        <f>35745*31.1/1000</f>
        <v>1111.6695</v>
      </c>
      <c r="U2783" s="76">
        <f>786845.24*31.1/1000</f>
        <v>24470.886964000001</v>
      </c>
      <c r="AL2783" s="53">
        <v>24454</v>
      </c>
      <c r="AM2783" s="53">
        <v>73400503</v>
      </c>
      <c r="AO2783" s="53">
        <f t="shared" si="476"/>
        <v>9718437.9799999986</v>
      </c>
      <c r="AP2783" s="53">
        <f t="shared" si="476"/>
        <v>2223339</v>
      </c>
      <c r="AQ2783" s="53">
        <f t="shared" si="476"/>
        <v>48941774</v>
      </c>
      <c r="AR2783" s="53">
        <f t="shared" si="476"/>
        <v>0</v>
      </c>
      <c r="AS2783" s="53">
        <f t="shared" si="476"/>
        <v>0</v>
      </c>
      <c r="AT2783" s="53">
        <f t="shared" si="476"/>
        <v>0</v>
      </c>
      <c r="AU2783" s="53">
        <f t="shared" si="476"/>
        <v>0</v>
      </c>
      <c r="AV2783" s="53">
        <f t="shared" si="476"/>
        <v>0</v>
      </c>
      <c r="AW2783" s="53">
        <f t="shared" si="476"/>
        <v>0</v>
      </c>
      <c r="AX2783" s="53">
        <f t="shared" si="466"/>
        <v>699168200</v>
      </c>
      <c r="AY2783" s="41" t="s">
        <v>557</v>
      </c>
    </row>
    <row r="2784" spans="1:51" x14ac:dyDescent="0.2">
      <c r="A2784" s="86" t="s">
        <v>702</v>
      </c>
      <c r="B2784" s="41">
        <v>2010</v>
      </c>
      <c r="C2784" s="41" t="s">
        <v>87</v>
      </c>
      <c r="D2784" s="41" t="s">
        <v>110</v>
      </c>
      <c r="E2784" s="41">
        <v>100</v>
      </c>
      <c r="F2784" s="41" t="s">
        <v>556</v>
      </c>
      <c r="G2784" s="53">
        <v>7297655</v>
      </c>
      <c r="H2784" s="41">
        <v>1.1399999999999999</v>
      </c>
      <c r="I2784" s="56">
        <v>0.24111523496246398</v>
      </c>
      <c r="J2784" s="58">
        <v>7</v>
      </c>
      <c r="R2784" s="53">
        <v>229475</v>
      </c>
      <c r="S2784" s="53">
        <v>67645</v>
      </c>
      <c r="T2784" s="53">
        <f>28289*31.1/1000</f>
        <v>879.78790000000004</v>
      </c>
      <c r="U2784" s="76">
        <f>821279.5*31.1/1000</f>
        <v>25541.792450000004</v>
      </c>
      <c r="AL2784" s="53">
        <v>25332</v>
      </c>
      <c r="AM2784" s="53">
        <v>80582965</v>
      </c>
      <c r="AO2784" s="53">
        <f t="shared" si="476"/>
        <v>8319326.6999999993</v>
      </c>
      <c r="AP2784" s="53">
        <f t="shared" si="476"/>
        <v>1759575.8</v>
      </c>
      <c r="AQ2784" s="53">
        <f t="shared" si="476"/>
        <v>51083585</v>
      </c>
      <c r="AR2784" s="53">
        <f t="shared" si="476"/>
        <v>0</v>
      </c>
      <c r="AS2784" s="53">
        <f t="shared" si="476"/>
        <v>0</v>
      </c>
      <c r="AT2784" s="53">
        <f t="shared" si="476"/>
        <v>0</v>
      </c>
      <c r="AU2784" s="53">
        <f t="shared" si="476"/>
        <v>0</v>
      </c>
      <c r="AV2784" s="53">
        <f t="shared" si="476"/>
        <v>0</v>
      </c>
      <c r="AW2784" s="53">
        <f t="shared" si="476"/>
        <v>0</v>
      </c>
      <c r="AX2784" s="53">
        <f t="shared" si="466"/>
        <v>729765500</v>
      </c>
      <c r="AY2784" s="41" t="s">
        <v>557</v>
      </c>
    </row>
    <row r="2785" spans="1:51" x14ac:dyDescent="0.2">
      <c r="A2785" s="86" t="s">
        <v>702</v>
      </c>
      <c r="B2785" s="41">
        <v>2011</v>
      </c>
      <c r="C2785" s="41" t="s">
        <v>87</v>
      </c>
      <c r="D2785" s="41" t="s">
        <v>110</v>
      </c>
      <c r="E2785" s="41">
        <v>100</v>
      </c>
      <c r="F2785" s="41" t="s">
        <v>556</v>
      </c>
      <c r="G2785" s="53">
        <v>7378509</v>
      </c>
      <c r="H2785" s="41">
        <v>1.22</v>
      </c>
      <c r="I2785" s="56">
        <v>0.27940018776151115</v>
      </c>
      <c r="J2785" s="54">
        <v>7.3334540894373106</v>
      </c>
      <c r="R2785" s="53">
        <v>251987</v>
      </c>
      <c r="S2785" s="53">
        <v>74261</v>
      </c>
      <c r="T2785" s="53">
        <f>33144*31.1/1000</f>
        <v>1030.7783999999999</v>
      </c>
      <c r="U2785" s="53">
        <f>869935*31.1/1000</f>
        <v>27054.978500000001</v>
      </c>
      <c r="AL2785" s="53">
        <v>20969</v>
      </c>
      <c r="AM2785" s="53">
        <v>95392157</v>
      </c>
      <c r="AO2785" s="53">
        <f t="shared" si="476"/>
        <v>9001780.9800000004</v>
      </c>
      <c r="AP2785" s="53">
        <f t="shared" si="476"/>
        <v>2061556.7999999998</v>
      </c>
      <c r="AQ2785" s="53">
        <f t="shared" si="476"/>
        <v>54109957</v>
      </c>
      <c r="AR2785" s="53">
        <f t="shared" si="476"/>
        <v>0</v>
      </c>
      <c r="AS2785" s="53">
        <f t="shared" si="476"/>
        <v>0</v>
      </c>
      <c r="AT2785" s="53">
        <f t="shared" si="476"/>
        <v>0</v>
      </c>
      <c r="AU2785" s="53">
        <f t="shared" si="476"/>
        <v>0</v>
      </c>
      <c r="AV2785" s="53">
        <f t="shared" si="476"/>
        <v>0</v>
      </c>
      <c r="AW2785" s="53">
        <f t="shared" si="476"/>
        <v>0</v>
      </c>
      <c r="AX2785" s="53">
        <f t="shared" si="466"/>
        <v>737850900</v>
      </c>
      <c r="AY2785" s="41" t="s">
        <v>557</v>
      </c>
    </row>
    <row r="2786" spans="1:51" x14ac:dyDescent="0.2">
      <c r="A2786" s="86" t="s">
        <v>702</v>
      </c>
      <c r="B2786" s="41">
        <v>2012</v>
      </c>
      <c r="C2786" s="41" t="s">
        <v>87</v>
      </c>
      <c r="D2786" s="41" t="s">
        <v>110</v>
      </c>
      <c r="E2786" s="41">
        <v>100</v>
      </c>
      <c r="F2786" s="41" t="s">
        <v>556</v>
      </c>
      <c r="G2786" s="53">
        <v>7232875</v>
      </c>
      <c r="H2786" s="41">
        <v>0.68</v>
      </c>
      <c r="I2786" s="56">
        <v>0.13937409398060938</v>
      </c>
      <c r="J2786" s="54">
        <v>3.8774067296890937</v>
      </c>
      <c r="R2786" s="53">
        <v>143267</v>
      </c>
      <c r="S2786" s="53">
        <v>37977</v>
      </c>
      <c r="T2786" s="53">
        <f>16207*31.1/1000</f>
        <v>504.03770000000003</v>
      </c>
      <c r="U2786" s="53">
        <f>450881*31.1/1000</f>
        <v>14022.399100000002</v>
      </c>
      <c r="AL2786" s="53">
        <v>8844</v>
      </c>
      <c r="AM2786" s="53">
        <v>54599781</v>
      </c>
      <c r="AO2786" s="53">
        <f t="shared" si="476"/>
        <v>4918355</v>
      </c>
      <c r="AP2786" s="53">
        <f t="shared" si="476"/>
        <v>1008075.4</v>
      </c>
      <c r="AQ2786" s="53">
        <f t="shared" si="476"/>
        <v>28044798.200000003</v>
      </c>
      <c r="AR2786" s="53">
        <f t="shared" si="476"/>
        <v>0</v>
      </c>
      <c r="AS2786" s="53">
        <f t="shared" si="476"/>
        <v>0</v>
      </c>
      <c r="AT2786" s="53">
        <f t="shared" si="476"/>
        <v>0</v>
      </c>
      <c r="AU2786" s="53">
        <f t="shared" si="476"/>
        <v>0</v>
      </c>
      <c r="AV2786" s="53">
        <f t="shared" si="476"/>
        <v>0</v>
      </c>
      <c r="AW2786" s="53">
        <f t="shared" si="476"/>
        <v>0</v>
      </c>
      <c r="AX2786" s="53">
        <f t="shared" si="466"/>
        <v>723287500</v>
      </c>
      <c r="AY2786" s="41" t="s">
        <v>557</v>
      </c>
    </row>
    <row r="2787" spans="1:51" x14ac:dyDescent="0.2">
      <c r="A2787" s="86" t="s">
        <v>702</v>
      </c>
      <c r="B2787" s="60" t="s">
        <v>248</v>
      </c>
      <c r="C2787" s="60" t="s">
        <v>87</v>
      </c>
      <c r="D2787" s="60" t="s">
        <v>110</v>
      </c>
      <c r="E2787" s="60">
        <v>100</v>
      </c>
      <c r="F2787" s="60" t="s">
        <v>556</v>
      </c>
      <c r="G2787" s="79">
        <f>AVERAGE(G2780:G2786)</f>
        <v>7047603.5714285718</v>
      </c>
      <c r="H2787" s="80">
        <f>AO2787/SUM($G2780:$G2786)</f>
        <v>1.2235990177005458</v>
      </c>
      <c r="I2787" s="80">
        <f>AP2787/SUM($G2780:$G2786)</f>
        <v>0.28867965960060382</v>
      </c>
      <c r="J2787" s="80">
        <f>AQ2787/SUM($G2780:$G2786)</f>
        <v>6.5920612771615881</v>
      </c>
      <c r="R2787" s="79">
        <f>AVERAGE(R2780:R2786)</f>
        <v>236684.28571428571</v>
      </c>
      <c r="S2787" s="79">
        <f>AVERAGE(S2780:S2786)</f>
        <v>72482</v>
      </c>
      <c r="T2787" s="79">
        <f>AVERAGE(T2780:T2786)</f>
        <v>1017.2499</v>
      </c>
      <c r="U2787" s="79">
        <f>AVERAGE(U2780:U2786)</f>
        <v>23229.117278285721</v>
      </c>
      <c r="AL2787" s="79">
        <f>AVERAGE(AL2780:AL2786)</f>
        <v>25653.285714285714</v>
      </c>
      <c r="AM2787" s="79">
        <f>AVERAGE(AM2780:AM2786)</f>
        <v>71911459.857142851</v>
      </c>
      <c r="AO2787" s="79">
        <f>SUM(AO2780:AO2786)</f>
        <v>60364085.650000006</v>
      </c>
      <c r="AP2787" s="79">
        <f t="shared" ref="AP2787:AX2787" si="477">SUM(AP2780:AP2786)</f>
        <v>14241498.6</v>
      </c>
      <c r="AQ2787" s="79">
        <f t="shared" si="477"/>
        <v>325207642.19999999</v>
      </c>
      <c r="AR2787" s="79">
        <f t="shared" si="477"/>
        <v>0</v>
      </c>
      <c r="AS2787" s="79">
        <f t="shared" si="477"/>
        <v>0</v>
      </c>
      <c r="AT2787" s="79">
        <f t="shared" si="477"/>
        <v>0</v>
      </c>
      <c r="AU2787" s="79">
        <f t="shared" si="477"/>
        <v>0</v>
      </c>
      <c r="AV2787" s="79">
        <f t="shared" si="477"/>
        <v>0</v>
      </c>
      <c r="AW2787" s="79">
        <f t="shared" si="477"/>
        <v>0</v>
      </c>
      <c r="AX2787" s="79">
        <f t="shared" si="477"/>
        <v>4933322500</v>
      </c>
      <c r="AY2787" s="41" t="s">
        <v>557</v>
      </c>
    </row>
    <row r="2788" spans="1:51" x14ac:dyDescent="0.2">
      <c r="A2788" s="86" t="s">
        <v>702</v>
      </c>
      <c r="B2788" s="43" t="s">
        <v>560</v>
      </c>
      <c r="G2788" s="53">
        <f>STDEV(G2780:G2786)</f>
        <v>298302.55614161107</v>
      </c>
      <c r="H2788" s="46">
        <f>STDEV(H2780:H2786)</f>
        <v>0.26371882573608468</v>
      </c>
      <c r="I2788" s="46">
        <f>STDEV(I2780:I2786)</f>
        <v>8.1170901876683174E-2</v>
      </c>
      <c r="J2788" s="47">
        <f>STDEV(J2780:J2786)</f>
        <v>1.2076459308504988</v>
      </c>
      <c r="R2788" s="53">
        <f>STDEV(R2780:R2786)</f>
        <v>43532.41483352489</v>
      </c>
      <c r="S2788" s="53">
        <f>STDEV(S2780:S2786)</f>
        <v>16275.606901126606</v>
      </c>
      <c r="T2788" s="53">
        <f>STDEV(T2780:T2786)</f>
        <v>256.66373777196628</v>
      </c>
      <c r="U2788" s="53">
        <f>STDEV(U2780:U2786)</f>
        <v>4268.4371708108374</v>
      </c>
      <c r="AL2788" s="53">
        <f>STDEV(AL2780:AL2786)</f>
        <v>9469.0821046584006</v>
      </c>
      <c r="AM2788" s="53">
        <f>STDEV(AM2780:AM2786)</f>
        <v>13118838.528789455</v>
      </c>
      <c r="AY2788" s="41" t="s">
        <v>557</v>
      </c>
    </row>
    <row r="2789" spans="1:51" x14ac:dyDescent="0.2">
      <c r="A2789" s="86" t="s">
        <v>702</v>
      </c>
      <c r="B2789" s="81" t="s">
        <v>249</v>
      </c>
      <c r="G2789" s="41">
        <f>COUNT(G2780:G2786)</f>
        <v>7</v>
      </c>
      <c r="H2789" s="41">
        <f>COUNT(H2780:H2786)</f>
        <v>7</v>
      </c>
      <c r="I2789" s="41">
        <f>COUNT(I2780:I2786)</f>
        <v>7</v>
      </c>
      <c r="J2789" s="41">
        <f>COUNT(J2780:J2786)</f>
        <v>7</v>
      </c>
      <c r="R2789" s="41">
        <f>COUNT(R2780:R2786)</f>
        <v>7</v>
      </c>
      <c r="S2789" s="41">
        <f>COUNT(S2780:S2786)</f>
        <v>7</v>
      </c>
      <c r="T2789" s="41">
        <f>COUNT(T2780:T2786)</f>
        <v>7</v>
      </c>
      <c r="U2789" s="41">
        <f>COUNT(U2780:U2786)</f>
        <v>7</v>
      </c>
      <c r="AL2789" s="41">
        <f>COUNT(AL2780:AL2786)</f>
        <v>7</v>
      </c>
      <c r="AM2789" s="41">
        <f>COUNT(AM2780:AM2786)</f>
        <v>7</v>
      </c>
      <c r="AY2789" s="41" t="s">
        <v>557</v>
      </c>
    </row>
    <row r="2790" spans="1:51" x14ac:dyDescent="0.2">
      <c r="A2790" s="82"/>
      <c r="B2790" s="82"/>
      <c r="C2790" s="82"/>
      <c r="D2790" s="82"/>
      <c r="E2790" s="82"/>
      <c r="F2790" s="82"/>
      <c r="G2790" s="82"/>
      <c r="H2790" s="82"/>
      <c r="I2790" s="82"/>
      <c r="J2790" s="82"/>
      <c r="K2790" s="82"/>
      <c r="L2790" s="82"/>
      <c r="M2790" s="82"/>
      <c r="N2790" s="82"/>
      <c r="O2790" s="82"/>
      <c r="P2790" s="82"/>
      <c r="Q2790" s="82"/>
      <c r="R2790" s="82"/>
      <c r="S2790" s="82"/>
      <c r="T2790" s="82"/>
      <c r="U2790" s="82"/>
      <c r="V2790" s="82"/>
      <c r="W2790" s="82"/>
      <c r="X2790" s="82"/>
      <c r="Y2790" s="82"/>
      <c r="Z2790" s="82"/>
      <c r="AA2790" s="82"/>
      <c r="AB2790" s="82"/>
      <c r="AC2790" s="82"/>
      <c r="AD2790" s="82"/>
      <c r="AE2790" s="82"/>
      <c r="AF2790" s="82"/>
      <c r="AG2790" s="82"/>
      <c r="AH2790" s="82"/>
      <c r="AI2790" s="82"/>
      <c r="AJ2790" s="82"/>
      <c r="AK2790" s="82"/>
      <c r="AL2790" s="82"/>
      <c r="AM2790" s="82"/>
      <c r="AN2790" s="82"/>
      <c r="AO2790" s="82"/>
      <c r="AP2790" s="82"/>
      <c r="AQ2790" s="82"/>
      <c r="AR2790" s="82"/>
      <c r="AS2790" s="82"/>
      <c r="AT2790" s="82"/>
      <c r="AU2790" s="82"/>
      <c r="AV2790" s="82"/>
      <c r="AW2790" s="82"/>
      <c r="AX2790" s="82"/>
      <c r="AY2790" s="41" t="s">
        <v>557</v>
      </c>
    </row>
    <row r="2791" spans="1:51" x14ac:dyDescent="0.2">
      <c r="A2791" s="41" t="s">
        <v>439</v>
      </c>
      <c r="B2791" s="41" t="s">
        <v>588</v>
      </c>
      <c r="C2791" s="41" t="s">
        <v>96</v>
      </c>
      <c r="D2791" s="41" t="s">
        <v>401</v>
      </c>
      <c r="E2791" s="48">
        <v>100</v>
      </c>
      <c r="F2791" s="48" t="s">
        <v>577</v>
      </c>
      <c r="G2791" s="53">
        <v>209000</v>
      </c>
      <c r="I2791" s="41">
        <v>42.48</v>
      </c>
      <c r="T2791" s="53">
        <f>274943*31.1/1000</f>
        <v>8550.7273000000005</v>
      </c>
      <c r="AO2791" s="53">
        <f t="shared" ref="AO2791:AW2807" si="478">$G2791*H2791</f>
        <v>0</v>
      </c>
      <c r="AP2791" s="53">
        <f t="shared" si="478"/>
        <v>8878320</v>
      </c>
      <c r="AQ2791" s="53">
        <f t="shared" si="478"/>
        <v>0</v>
      </c>
      <c r="AR2791" s="53">
        <f t="shared" si="478"/>
        <v>0</v>
      </c>
      <c r="AS2791" s="53">
        <f t="shared" si="478"/>
        <v>0</v>
      </c>
      <c r="AT2791" s="53">
        <f t="shared" si="478"/>
        <v>0</v>
      </c>
      <c r="AU2791" s="53">
        <f t="shared" si="478"/>
        <v>0</v>
      </c>
      <c r="AV2791" s="53">
        <f t="shared" si="478"/>
        <v>0</v>
      </c>
      <c r="AW2791" s="53">
        <f t="shared" si="478"/>
        <v>0</v>
      </c>
      <c r="AX2791" s="53">
        <f>$G2791*E2791</f>
        <v>20900000</v>
      </c>
      <c r="AY2791" s="41" t="s">
        <v>557</v>
      </c>
    </row>
    <row r="2792" spans="1:51" x14ac:dyDescent="0.2">
      <c r="A2792" s="41" t="s">
        <v>439</v>
      </c>
      <c r="B2792" s="41" t="s">
        <v>589</v>
      </c>
      <c r="C2792" s="41" t="s">
        <v>96</v>
      </c>
      <c r="D2792" s="41" t="s">
        <v>401</v>
      </c>
      <c r="E2792" s="48">
        <v>100</v>
      </c>
      <c r="F2792" s="48" t="s">
        <v>577</v>
      </c>
      <c r="G2792" s="53">
        <v>260000</v>
      </c>
      <c r="I2792" s="41">
        <v>28.34</v>
      </c>
      <c r="T2792" s="53">
        <f>226900*31.1/1000</f>
        <v>7056.59</v>
      </c>
      <c r="AO2792" s="53">
        <f t="shared" si="478"/>
        <v>0</v>
      </c>
      <c r="AP2792" s="53">
        <f t="shared" si="478"/>
        <v>7368400</v>
      </c>
      <c r="AQ2792" s="53">
        <f t="shared" si="478"/>
        <v>0</v>
      </c>
      <c r="AR2792" s="53">
        <f t="shared" si="478"/>
        <v>0</v>
      </c>
      <c r="AS2792" s="53">
        <f t="shared" si="478"/>
        <v>0</v>
      </c>
      <c r="AT2792" s="53">
        <f t="shared" si="478"/>
        <v>0</v>
      </c>
      <c r="AU2792" s="53">
        <f t="shared" si="478"/>
        <v>0</v>
      </c>
      <c r="AV2792" s="53">
        <f t="shared" si="478"/>
        <v>0</v>
      </c>
      <c r="AW2792" s="53">
        <f t="shared" si="478"/>
        <v>0</v>
      </c>
      <c r="AX2792" s="53">
        <f>$G2792*E2792</f>
        <v>26000000</v>
      </c>
      <c r="AY2792" s="41" t="s">
        <v>557</v>
      </c>
    </row>
    <row r="2793" spans="1:51" x14ac:dyDescent="0.2">
      <c r="A2793" s="41" t="s">
        <v>439</v>
      </c>
      <c r="B2793" s="41" t="s">
        <v>590</v>
      </c>
      <c r="C2793" s="41" t="s">
        <v>96</v>
      </c>
      <c r="D2793" s="41" t="s">
        <v>401</v>
      </c>
      <c r="E2793" s="48">
        <v>100</v>
      </c>
      <c r="F2793" s="48" t="s">
        <v>577</v>
      </c>
      <c r="G2793" s="53">
        <v>306000</v>
      </c>
      <c r="I2793" s="41">
        <v>24.41</v>
      </c>
      <c r="T2793" s="53">
        <f>232297*31.1/1000</f>
        <v>7224.4367000000002</v>
      </c>
      <c r="AO2793" s="53">
        <f t="shared" si="478"/>
        <v>0</v>
      </c>
      <c r="AP2793" s="53">
        <f t="shared" si="478"/>
        <v>7469460</v>
      </c>
      <c r="AQ2793" s="53">
        <f t="shared" si="478"/>
        <v>0</v>
      </c>
      <c r="AR2793" s="53">
        <f t="shared" si="478"/>
        <v>0</v>
      </c>
      <c r="AS2793" s="53">
        <f t="shared" si="478"/>
        <v>0</v>
      </c>
      <c r="AT2793" s="53">
        <f t="shared" si="478"/>
        <v>0</v>
      </c>
      <c r="AU2793" s="53">
        <f t="shared" si="478"/>
        <v>0</v>
      </c>
      <c r="AV2793" s="53">
        <f t="shared" si="478"/>
        <v>0</v>
      </c>
      <c r="AW2793" s="53">
        <f t="shared" si="478"/>
        <v>0</v>
      </c>
      <c r="AX2793" s="53">
        <f>$G2793*E2793</f>
        <v>30600000</v>
      </c>
      <c r="AY2793" s="41" t="s">
        <v>557</v>
      </c>
    </row>
    <row r="2794" spans="1:51" x14ac:dyDescent="0.2">
      <c r="A2794" s="41" t="s">
        <v>439</v>
      </c>
      <c r="B2794" s="41" t="s">
        <v>591</v>
      </c>
      <c r="C2794" s="41" t="s">
        <v>96</v>
      </c>
      <c r="D2794" s="41" t="s">
        <v>401</v>
      </c>
      <c r="E2794" s="48">
        <v>100</v>
      </c>
      <c r="F2794" s="48" t="s">
        <v>577</v>
      </c>
      <c r="G2794" s="53">
        <v>347000</v>
      </c>
      <c r="I2794" s="41">
        <v>3.62</v>
      </c>
      <c r="T2794" s="53">
        <f>37878*31.1/1000</f>
        <v>1178.0058000000001</v>
      </c>
      <c r="AO2794" s="53">
        <f t="shared" si="478"/>
        <v>0</v>
      </c>
      <c r="AP2794" s="53">
        <f t="shared" si="478"/>
        <v>1256140</v>
      </c>
      <c r="AQ2794" s="53">
        <f t="shared" si="478"/>
        <v>0</v>
      </c>
      <c r="AR2794" s="53">
        <f t="shared" si="478"/>
        <v>0</v>
      </c>
      <c r="AS2794" s="53">
        <f t="shared" si="478"/>
        <v>0</v>
      </c>
      <c r="AT2794" s="53">
        <f t="shared" si="478"/>
        <v>0</v>
      </c>
      <c r="AU2794" s="53">
        <f t="shared" si="478"/>
        <v>0</v>
      </c>
      <c r="AV2794" s="53">
        <f t="shared" si="478"/>
        <v>0</v>
      </c>
      <c r="AW2794" s="53">
        <f t="shared" si="478"/>
        <v>0</v>
      </c>
      <c r="AX2794" s="53">
        <f>$G2794*E2794</f>
        <v>34700000</v>
      </c>
      <c r="AY2794" s="41" t="s">
        <v>557</v>
      </c>
    </row>
    <row r="2795" spans="1:51" x14ac:dyDescent="0.2">
      <c r="A2795" s="41" t="s">
        <v>439</v>
      </c>
      <c r="B2795" s="41" t="s">
        <v>592</v>
      </c>
      <c r="C2795" s="41" t="s">
        <v>96</v>
      </c>
      <c r="D2795" s="41" t="s">
        <v>401</v>
      </c>
      <c r="E2795" s="48">
        <v>100</v>
      </c>
      <c r="F2795" s="48" t="s">
        <v>577</v>
      </c>
      <c r="G2795" s="53">
        <v>97000</v>
      </c>
      <c r="I2795" s="41">
        <v>25.91</v>
      </c>
      <c r="T2795" s="53">
        <f>79493*31.1/1000</f>
        <v>2472.2323000000001</v>
      </c>
      <c r="AO2795" s="53">
        <f t="shared" si="478"/>
        <v>0</v>
      </c>
      <c r="AP2795" s="53">
        <f t="shared" si="478"/>
        <v>2513270</v>
      </c>
      <c r="AQ2795" s="53">
        <f t="shared" si="478"/>
        <v>0</v>
      </c>
      <c r="AR2795" s="53">
        <f t="shared" si="478"/>
        <v>0</v>
      </c>
      <c r="AS2795" s="53">
        <f t="shared" si="478"/>
        <v>0</v>
      </c>
      <c r="AT2795" s="53">
        <f t="shared" si="478"/>
        <v>0</v>
      </c>
      <c r="AU2795" s="53">
        <f t="shared" si="478"/>
        <v>0</v>
      </c>
      <c r="AV2795" s="53">
        <f t="shared" si="478"/>
        <v>0</v>
      </c>
      <c r="AW2795" s="53">
        <f t="shared" si="478"/>
        <v>0</v>
      </c>
      <c r="AX2795" s="53">
        <f>$G2795*E2795</f>
        <v>9700000</v>
      </c>
      <c r="AY2795" s="41" t="s">
        <v>557</v>
      </c>
    </row>
    <row r="2796" spans="1:51" x14ac:dyDescent="0.2">
      <c r="A2796" s="41" t="s">
        <v>439</v>
      </c>
      <c r="B2796" s="41" t="s">
        <v>593</v>
      </c>
      <c r="C2796" s="41" t="s">
        <v>96</v>
      </c>
      <c r="D2796" s="41" t="s">
        <v>401</v>
      </c>
      <c r="E2796" s="48">
        <v>100</v>
      </c>
      <c r="F2796" s="48" t="s">
        <v>577</v>
      </c>
      <c r="G2796" s="53">
        <v>252000</v>
      </c>
      <c r="I2796" s="41">
        <v>28.11</v>
      </c>
      <c r="T2796" s="53">
        <f>223102*31.1/1000</f>
        <v>6938.4722000000002</v>
      </c>
      <c r="AM2796" s="53">
        <f>15000000-250000</f>
        <v>14750000</v>
      </c>
      <c r="AO2796" s="53">
        <f t="shared" si="478"/>
        <v>0</v>
      </c>
      <c r="AP2796" s="53">
        <f t="shared" si="478"/>
        <v>7083720</v>
      </c>
      <c r="AQ2796" s="53">
        <f t="shared" si="478"/>
        <v>0</v>
      </c>
      <c r="AR2796" s="53">
        <f t="shared" si="478"/>
        <v>0</v>
      </c>
      <c r="AS2796" s="53">
        <f t="shared" si="478"/>
        <v>0</v>
      </c>
      <c r="AT2796" s="53">
        <f t="shared" si="478"/>
        <v>0</v>
      </c>
      <c r="AU2796" s="53">
        <f t="shared" si="478"/>
        <v>0</v>
      </c>
      <c r="AV2796" s="53">
        <f t="shared" si="478"/>
        <v>0</v>
      </c>
      <c r="AW2796" s="53">
        <f t="shared" si="478"/>
        <v>0</v>
      </c>
      <c r="AX2796" s="53">
        <f t="shared" si="466"/>
        <v>25200000</v>
      </c>
      <c r="AY2796" s="41" t="s">
        <v>557</v>
      </c>
    </row>
    <row r="2797" spans="1:51" x14ac:dyDescent="0.2">
      <c r="A2797" s="41" t="s">
        <v>439</v>
      </c>
      <c r="B2797" s="41" t="s">
        <v>594</v>
      </c>
      <c r="C2797" s="41" t="s">
        <v>96</v>
      </c>
      <c r="D2797" s="41" t="s">
        <v>401</v>
      </c>
      <c r="E2797" s="50">
        <f>100*239/(239+28)</f>
        <v>89.513108614232209</v>
      </c>
      <c r="F2797" s="48" t="s">
        <v>577</v>
      </c>
      <c r="G2797" s="53">
        <v>267000</v>
      </c>
      <c r="I2797" s="41">
        <v>22.92</v>
      </c>
      <c r="T2797" s="53">
        <f>187316*31.1/1000</f>
        <v>5825.5276000000003</v>
      </c>
      <c r="AM2797" s="53">
        <f>7300000-350000</f>
        <v>6950000</v>
      </c>
      <c r="AO2797" s="53">
        <f t="shared" si="478"/>
        <v>0</v>
      </c>
      <c r="AP2797" s="53">
        <f t="shared" si="478"/>
        <v>6119640</v>
      </c>
      <c r="AQ2797" s="53">
        <f t="shared" si="478"/>
        <v>0</v>
      </c>
      <c r="AR2797" s="53">
        <f t="shared" si="478"/>
        <v>0</v>
      </c>
      <c r="AS2797" s="53">
        <f t="shared" si="478"/>
        <v>0</v>
      </c>
      <c r="AT2797" s="53">
        <f t="shared" si="478"/>
        <v>0</v>
      </c>
      <c r="AU2797" s="53">
        <f t="shared" si="478"/>
        <v>0</v>
      </c>
      <c r="AV2797" s="53">
        <f t="shared" si="478"/>
        <v>0</v>
      </c>
      <c r="AW2797" s="53">
        <f t="shared" si="478"/>
        <v>0</v>
      </c>
      <c r="AX2797" s="53">
        <f t="shared" si="466"/>
        <v>23900000</v>
      </c>
      <c r="AY2797" s="41" t="s">
        <v>557</v>
      </c>
    </row>
    <row r="2798" spans="1:51" x14ac:dyDescent="0.2">
      <c r="A2798" s="41" t="s">
        <v>439</v>
      </c>
      <c r="B2798" s="41" t="s">
        <v>595</v>
      </c>
      <c r="C2798" s="41" t="s">
        <v>96</v>
      </c>
      <c r="D2798" s="41" t="s">
        <v>401</v>
      </c>
      <c r="E2798" s="50">
        <f>100*(32095+20607+25821)/(32095+40834+20607+67536+25821+57008+53000)</f>
        <v>26.447536384181934</v>
      </c>
      <c r="F2798" s="48" t="s">
        <v>577</v>
      </c>
      <c r="G2798" s="53">
        <v>313000</v>
      </c>
      <c r="I2798" s="41">
        <v>37.36</v>
      </c>
      <c r="T2798" s="53">
        <f>347807*31.1/1000</f>
        <v>10816.797700000001</v>
      </c>
      <c r="AM2798" s="53">
        <f>690000-313000</f>
        <v>377000</v>
      </c>
      <c r="AO2798" s="53">
        <f t="shared" si="478"/>
        <v>0</v>
      </c>
      <c r="AP2798" s="53">
        <f t="shared" si="478"/>
        <v>11693680</v>
      </c>
      <c r="AQ2798" s="53">
        <f t="shared" si="478"/>
        <v>0</v>
      </c>
      <c r="AR2798" s="53">
        <f t="shared" si="478"/>
        <v>0</v>
      </c>
      <c r="AS2798" s="53">
        <f t="shared" si="478"/>
        <v>0</v>
      </c>
      <c r="AT2798" s="53">
        <f t="shared" si="478"/>
        <v>0</v>
      </c>
      <c r="AU2798" s="53">
        <f t="shared" si="478"/>
        <v>0</v>
      </c>
      <c r="AV2798" s="53">
        <f t="shared" si="478"/>
        <v>0</v>
      </c>
      <c r="AW2798" s="53">
        <f t="shared" si="478"/>
        <v>0</v>
      </c>
      <c r="AX2798" s="53">
        <f t="shared" si="466"/>
        <v>8278078.8882489456</v>
      </c>
      <c r="AY2798" s="41" t="s">
        <v>557</v>
      </c>
    </row>
    <row r="2799" spans="1:51" x14ac:dyDescent="0.2">
      <c r="A2799" s="41" t="s">
        <v>439</v>
      </c>
      <c r="B2799" s="41" t="s">
        <v>596</v>
      </c>
      <c r="C2799" s="41" t="s">
        <v>96</v>
      </c>
      <c r="D2799" s="41" t="s">
        <v>401</v>
      </c>
      <c r="E2799" s="41">
        <v>0</v>
      </c>
      <c r="F2799" s="48" t="s">
        <v>577</v>
      </c>
      <c r="G2799" s="53">
        <v>309000</v>
      </c>
      <c r="I2799" s="41">
        <v>43.2</v>
      </c>
      <c r="T2799" s="53">
        <f>400202*31.1/1000</f>
        <v>12446.282200000001</v>
      </c>
      <c r="AO2799" s="53">
        <f t="shared" si="478"/>
        <v>0</v>
      </c>
      <c r="AP2799" s="53">
        <f t="shared" si="478"/>
        <v>13348800</v>
      </c>
      <c r="AQ2799" s="53">
        <f t="shared" si="478"/>
        <v>0</v>
      </c>
      <c r="AR2799" s="53">
        <f t="shared" si="478"/>
        <v>0</v>
      </c>
      <c r="AS2799" s="53">
        <f t="shared" si="478"/>
        <v>0</v>
      </c>
      <c r="AT2799" s="53">
        <f t="shared" si="478"/>
        <v>0</v>
      </c>
      <c r="AU2799" s="53">
        <f t="shared" si="478"/>
        <v>0</v>
      </c>
      <c r="AV2799" s="53">
        <f t="shared" si="478"/>
        <v>0</v>
      </c>
      <c r="AW2799" s="53">
        <f t="shared" si="478"/>
        <v>0</v>
      </c>
      <c r="AX2799" s="53">
        <f t="shared" si="466"/>
        <v>0</v>
      </c>
      <c r="AY2799" s="41" t="s">
        <v>557</v>
      </c>
    </row>
    <row r="2800" spans="1:51" x14ac:dyDescent="0.2">
      <c r="A2800" s="41" t="s">
        <v>439</v>
      </c>
      <c r="B2800" s="41" t="s">
        <v>576</v>
      </c>
      <c r="C2800" s="41" t="s">
        <v>96</v>
      </c>
      <c r="D2800" s="41" t="s">
        <v>401</v>
      </c>
      <c r="E2800" s="41">
        <v>0</v>
      </c>
      <c r="F2800" s="48" t="s">
        <v>577</v>
      </c>
      <c r="G2800" s="53">
        <v>425000</v>
      </c>
      <c r="I2800" s="41">
        <v>32.270000000000003</v>
      </c>
      <c r="T2800" s="53">
        <f>400220*31.1/1000</f>
        <v>12446.842000000001</v>
      </c>
      <c r="AO2800" s="53">
        <f t="shared" si="478"/>
        <v>0</v>
      </c>
      <c r="AP2800" s="53">
        <f t="shared" si="478"/>
        <v>13714750.000000002</v>
      </c>
      <c r="AQ2800" s="53">
        <f t="shared" si="478"/>
        <v>0</v>
      </c>
      <c r="AR2800" s="53">
        <f t="shared" si="478"/>
        <v>0</v>
      </c>
      <c r="AS2800" s="53">
        <f t="shared" si="478"/>
        <v>0</v>
      </c>
      <c r="AT2800" s="53">
        <f t="shared" si="478"/>
        <v>0</v>
      </c>
      <c r="AU2800" s="53">
        <f t="shared" si="478"/>
        <v>0</v>
      </c>
      <c r="AV2800" s="53">
        <f t="shared" si="478"/>
        <v>0</v>
      </c>
      <c r="AW2800" s="53">
        <f t="shared" si="478"/>
        <v>0</v>
      </c>
      <c r="AX2800" s="53">
        <f t="shared" si="466"/>
        <v>0</v>
      </c>
      <c r="AY2800" s="41" t="s">
        <v>557</v>
      </c>
    </row>
    <row r="2801" spans="1:51" x14ac:dyDescent="0.2">
      <c r="A2801" s="41" t="s">
        <v>439</v>
      </c>
      <c r="B2801" s="41" t="s">
        <v>578</v>
      </c>
      <c r="C2801" s="41" t="s">
        <v>96</v>
      </c>
      <c r="D2801" s="41" t="s">
        <v>401</v>
      </c>
      <c r="E2801" s="41">
        <v>0</v>
      </c>
      <c r="F2801" s="48" t="s">
        <v>577</v>
      </c>
      <c r="G2801" s="53">
        <v>579000</v>
      </c>
      <c r="I2801" s="41">
        <v>24.88</v>
      </c>
      <c r="T2801" s="53">
        <f>442525*31.1/1000</f>
        <v>13762.5275</v>
      </c>
      <c r="AO2801" s="53">
        <f t="shared" si="478"/>
        <v>0</v>
      </c>
      <c r="AP2801" s="53">
        <f t="shared" si="478"/>
        <v>14405520</v>
      </c>
      <c r="AQ2801" s="53">
        <f t="shared" si="478"/>
        <v>0</v>
      </c>
      <c r="AR2801" s="53">
        <f t="shared" si="478"/>
        <v>0</v>
      </c>
      <c r="AS2801" s="53">
        <f t="shared" si="478"/>
        <v>0</v>
      </c>
      <c r="AT2801" s="53">
        <f t="shared" si="478"/>
        <v>0</v>
      </c>
      <c r="AU2801" s="53">
        <f t="shared" si="478"/>
        <v>0</v>
      </c>
      <c r="AV2801" s="53">
        <f t="shared" si="478"/>
        <v>0</v>
      </c>
      <c r="AW2801" s="53">
        <f t="shared" si="478"/>
        <v>0</v>
      </c>
      <c r="AX2801" s="53">
        <f t="shared" si="466"/>
        <v>0</v>
      </c>
      <c r="AY2801" s="41" t="s">
        <v>557</v>
      </c>
    </row>
    <row r="2802" spans="1:51" x14ac:dyDescent="0.2">
      <c r="A2802" s="41" t="s">
        <v>439</v>
      </c>
      <c r="B2802" s="41" t="s">
        <v>579</v>
      </c>
      <c r="C2802" s="41" t="s">
        <v>96</v>
      </c>
      <c r="D2802" s="41" t="s">
        <v>401</v>
      </c>
      <c r="E2802" s="41">
        <v>0</v>
      </c>
      <c r="F2802" s="48" t="s">
        <v>577</v>
      </c>
      <c r="G2802" s="53">
        <v>592000</v>
      </c>
      <c r="I2802" s="41">
        <v>25.44</v>
      </c>
      <c r="J2802" s="41">
        <v>16.7</v>
      </c>
      <c r="T2802" s="53">
        <f>463218*31.1/1000</f>
        <v>14406.079800000001</v>
      </c>
      <c r="U2802" s="53">
        <f>284139*31.1/1000</f>
        <v>8836.7229000000007</v>
      </c>
      <c r="AM2802" s="53">
        <f>8398000-592000</f>
        <v>7806000</v>
      </c>
      <c r="AO2802" s="53">
        <f t="shared" si="478"/>
        <v>0</v>
      </c>
      <c r="AP2802" s="53">
        <f t="shared" si="478"/>
        <v>15060480</v>
      </c>
      <c r="AQ2802" s="53">
        <f t="shared" si="478"/>
        <v>9886400</v>
      </c>
      <c r="AR2802" s="53">
        <f t="shared" si="478"/>
        <v>0</v>
      </c>
      <c r="AS2802" s="53">
        <f t="shared" si="478"/>
        <v>0</v>
      </c>
      <c r="AT2802" s="53">
        <f t="shared" si="478"/>
        <v>0</v>
      </c>
      <c r="AU2802" s="53">
        <f t="shared" si="478"/>
        <v>0</v>
      </c>
      <c r="AV2802" s="53">
        <f t="shared" si="478"/>
        <v>0</v>
      </c>
      <c r="AW2802" s="53">
        <f t="shared" si="478"/>
        <v>0</v>
      </c>
      <c r="AX2802" s="53">
        <f t="shared" ref="AX2802:AX2807" si="479">$G2802*E2802</f>
        <v>0</v>
      </c>
      <c r="AY2802" s="41" t="s">
        <v>557</v>
      </c>
    </row>
    <row r="2803" spans="1:51" x14ac:dyDescent="0.2">
      <c r="A2803" s="41" t="s">
        <v>439</v>
      </c>
      <c r="B2803" s="41" t="s">
        <v>571</v>
      </c>
      <c r="C2803" s="41" t="s">
        <v>96</v>
      </c>
      <c r="D2803" s="41" t="s">
        <v>401</v>
      </c>
      <c r="E2803" s="134">
        <v>15</v>
      </c>
      <c r="F2803" s="48" t="s">
        <v>577</v>
      </c>
      <c r="G2803" s="53">
        <v>708000</v>
      </c>
      <c r="I2803" s="41">
        <v>20.170000000000002</v>
      </c>
      <c r="J2803" s="41">
        <v>13.31</v>
      </c>
      <c r="T2803" s="53">
        <f>439384*31.1/1000</f>
        <v>13664.8424</v>
      </c>
      <c r="U2803" s="53">
        <f>271342*31.1/1000</f>
        <v>8438.7362000000012</v>
      </c>
      <c r="AM2803" s="53">
        <f>7063000-708000</f>
        <v>6355000</v>
      </c>
      <c r="AO2803" s="53">
        <f t="shared" si="478"/>
        <v>0</v>
      </c>
      <c r="AP2803" s="53">
        <f t="shared" si="478"/>
        <v>14280360.000000002</v>
      </c>
      <c r="AQ2803" s="53">
        <f t="shared" si="478"/>
        <v>9423480</v>
      </c>
      <c r="AR2803" s="53">
        <f t="shared" si="478"/>
        <v>0</v>
      </c>
      <c r="AS2803" s="53">
        <f t="shared" si="478"/>
        <v>0</v>
      </c>
      <c r="AT2803" s="53">
        <f t="shared" si="478"/>
        <v>0</v>
      </c>
      <c r="AU2803" s="53">
        <f t="shared" si="478"/>
        <v>0</v>
      </c>
      <c r="AV2803" s="53">
        <f t="shared" si="478"/>
        <v>0</v>
      </c>
      <c r="AW2803" s="53">
        <f t="shared" si="478"/>
        <v>0</v>
      </c>
      <c r="AX2803" s="53">
        <f t="shared" si="479"/>
        <v>10620000</v>
      </c>
      <c r="AY2803" s="41" t="s">
        <v>557</v>
      </c>
    </row>
    <row r="2804" spans="1:51" x14ac:dyDescent="0.2">
      <c r="A2804" s="41" t="s">
        <v>439</v>
      </c>
      <c r="B2804" s="41" t="s">
        <v>573</v>
      </c>
      <c r="C2804" s="41" t="s">
        <v>96</v>
      </c>
      <c r="D2804" s="41" t="s">
        <v>401</v>
      </c>
      <c r="E2804" s="134">
        <v>25</v>
      </c>
      <c r="F2804" s="48" t="s">
        <v>577</v>
      </c>
      <c r="G2804" s="53">
        <v>869000</v>
      </c>
      <c r="I2804" s="41">
        <v>11.71</v>
      </c>
      <c r="J2804" s="41">
        <v>13.73</v>
      </c>
      <c r="T2804" s="53">
        <f>312711*31.1/1000</f>
        <v>9725.3120999999992</v>
      </c>
      <c r="U2804" s="53">
        <f>342835*31.1/1000</f>
        <v>10662.1685</v>
      </c>
      <c r="AM2804" s="53">
        <f>6793000-869000</f>
        <v>5924000</v>
      </c>
      <c r="AO2804" s="53">
        <f t="shared" si="478"/>
        <v>0</v>
      </c>
      <c r="AP2804" s="53">
        <f t="shared" si="478"/>
        <v>10175990</v>
      </c>
      <c r="AQ2804" s="53">
        <f t="shared" si="478"/>
        <v>11931370</v>
      </c>
      <c r="AR2804" s="53">
        <f t="shared" si="478"/>
        <v>0</v>
      </c>
      <c r="AS2804" s="53">
        <f t="shared" si="478"/>
        <v>0</v>
      </c>
      <c r="AT2804" s="53">
        <f t="shared" si="478"/>
        <v>0</v>
      </c>
      <c r="AU2804" s="53">
        <f t="shared" si="478"/>
        <v>0</v>
      </c>
      <c r="AV2804" s="53">
        <f t="shared" si="478"/>
        <v>0</v>
      </c>
      <c r="AW2804" s="53">
        <f t="shared" si="478"/>
        <v>0</v>
      </c>
      <c r="AX2804" s="53">
        <f t="shared" si="479"/>
        <v>21725000</v>
      </c>
      <c r="AY2804" s="41" t="s">
        <v>557</v>
      </c>
    </row>
    <row r="2805" spans="1:51" x14ac:dyDescent="0.2">
      <c r="A2805" s="41" t="s">
        <v>439</v>
      </c>
      <c r="B2805" s="41" t="s">
        <v>580</v>
      </c>
      <c r="C2805" s="41" t="s">
        <v>96</v>
      </c>
      <c r="D2805" s="41" t="s">
        <v>401</v>
      </c>
      <c r="E2805" s="134">
        <v>0</v>
      </c>
      <c r="F2805" s="48" t="s">
        <v>577</v>
      </c>
      <c r="G2805" s="53">
        <v>826000</v>
      </c>
      <c r="I2805" s="46">
        <v>13.5</v>
      </c>
      <c r="J2805" s="41">
        <v>21</v>
      </c>
      <c r="T2805" s="53">
        <f>344747*31.1/1000</f>
        <v>10721.631700000002</v>
      </c>
      <c r="U2805" s="53">
        <f>489724*31.1/1000</f>
        <v>15230.4164</v>
      </c>
      <c r="AM2805" s="53">
        <f>1042000-826000</f>
        <v>216000</v>
      </c>
      <c r="AO2805" s="53">
        <f t="shared" si="478"/>
        <v>0</v>
      </c>
      <c r="AP2805" s="53">
        <f t="shared" si="478"/>
        <v>11151000</v>
      </c>
      <c r="AQ2805" s="53">
        <f t="shared" si="478"/>
        <v>17346000</v>
      </c>
      <c r="AR2805" s="53">
        <f t="shared" si="478"/>
        <v>0</v>
      </c>
      <c r="AS2805" s="53">
        <f t="shared" si="478"/>
        <v>0</v>
      </c>
      <c r="AT2805" s="53">
        <f t="shared" si="478"/>
        <v>0</v>
      </c>
      <c r="AU2805" s="53">
        <f t="shared" si="478"/>
        <v>0</v>
      </c>
      <c r="AV2805" s="53">
        <f t="shared" si="478"/>
        <v>0</v>
      </c>
      <c r="AW2805" s="53">
        <f t="shared" si="478"/>
        <v>0</v>
      </c>
      <c r="AX2805" s="53">
        <f t="shared" si="479"/>
        <v>0</v>
      </c>
      <c r="AY2805" s="41" t="s">
        <v>557</v>
      </c>
    </row>
    <row r="2806" spans="1:51" x14ac:dyDescent="0.2">
      <c r="A2806" s="41" t="s">
        <v>439</v>
      </c>
      <c r="B2806" s="41" t="s">
        <v>581</v>
      </c>
      <c r="C2806" s="41" t="s">
        <v>96</v>
      </c>
      <c r="D2806" s="41" t="s">
        <v>401</v>
      </c>
      <c r="E2806" s="134">
        <v>0</v>
      </c>
      <c r="F2806" s="48" t="s">
        <v>577</v>
      </c>
      <c r="G2806" s="53">
        <v>738000</v>
      </c>
      <c r="I2806" s="41">
        <v>14.49</v>
      </c>
      <c r="J2806" s="41">
        <v>20</v>
      </c>
      <c r="T2806" s="53">
        <f>331555*31.1/1000</f>
        <v>10311.360500000001</v>
      </c>
      <c r="U2806" s="53">
        <f>410970*31.1/1000</f>
        <v>12781.166999999999</v>
      </c>
      <c r="AM2806" s="53">
        <f>878000-738000</f>
        <v>140000</v>
      </c>
      <c r="AO2806" s="53">
        <f t="shared" si="478"/>
        <v>0</v>
      </c>
      <c r="AP2806" s="53">
        <f t="shared" si="478"/>
        <v>10693620</v>
      </c>
      <c r="AQ2806" s="53">
        <f t="shared" si="478"/>
        <v>14760000</v>
      </c>
      <c r="AR2806" s="53">
        <f t="shared" si="478"/>
        <v>0</v>
      </c>
      <c r="AS2806" s="53">
        <f t="shared" si="478"/>
        <v>0</v>
      </c>
      <c r="AT2806" s="53">
        <f t="shared" si="478"/>
        <v>0</v>
      </c>
      <c r="AU2806" s="53">
        <f t="shared" si="478"/>
        <v>0</v>
      </c>
      <c r="AV2806" s="53">
        <f t="shared" si="478"/>
        <v>0</v>
      </c>
      <c r="AW2806" s="53">
        <f t="shared" si="478"/>
        <v>0</v>
      </c>
      <c r="AX2806" s="53">
        <f t="shared" si="479"/>
        <v>0</v>
      </c>
      <c r="AY2806" s="41" t="s">
        <v>557</v>
      </c>
    </row>
    <row r="2807" spans="1:51" x14ac:dyDescent="0.2">
      <c r="A2807" s="41" t="s">
        <v>439</v>
      </c>
      <c r="B2807" s="41" t="s">
        <v>597</v>
      </c>
      <c r="C2807" s="41" t="s">
        <v>96</v>
      </c>
      <c r="D2807" s="41" t="s">
        <v>401</v>
      </c>
      <c r="E2807" s="134">
        <v>0</v>
      </c>
      <c r="F2807" s="48" t="s">
        <v>577</v>
      </c>
      <c r="G2807" s="53">
        <v>479000</v>
      </c>
      <c r="I2807" s="41">
        <v>13.19</v>
      </c>
      <c r="J2807" s="41">
        <v>22</v>
      </c>
      <c r="T2807" s="53">
        <f>197463*31.1/1000</f>
        <v>6141.0993000000008</v>
      </c>
      <c r="U2807" s="53">
        <f>290530*31.1/1000</f>
        <v>9035.4830000000002</v>
      </c>
      <c r="AO2807" s="53">
        <f t="shared" si="478"/>
        <v>0</v>
      </c>
      <c r="AP2807" s="53">
        <f t="shared" si="478"/>
        <v>6318010</v>
      </c>
      <c r="AQ2807" s="53">
        <f t="shared" si="478"/>
        <v>10538000</v>
      </c>
      <c r="AR2807" s="53">
        <f t="shared" si="478"/>
        <v>0</v>
      </c>
      <c r="AS2807" s="53">
        <f t="shared" si="478"/>
        <v>0</v>
      </c>
      <c r="AT2807" s="53">
        <f t="shared" si="478"/>
        <v>0</v>
      </c>
      <c r="AU2807" s="53">
        <f t="shared" si="478"/>
        <v>0</v>
      </c>
      <c r="AV2807" s="53">
        <f t="shared" si="478"/>
        <v>0</v>
      </c>
      <c r="AW2807" s="53">
        <f t="shared" si="478"/>
        <v>0</v>
      </c>
      <c r="AX2807" s="53">
        <f t="shared" si="479"/>
        <v>0</v>
      </c>
      <c r="AY2807" s="41" t="s">
        <v>557</v>
      </c>
    </row>
    <row r="2808" spans="1:51" x14ac:dyDescent="0.2">
      <c r="A2808" s="41" t="s">
        <v>439</v>
      </c>
      <c r="B2808" s="60" t="s">
        <v>559</v>
      </c>
      <c r="C2808" s="60" t="s">
        <v>96</v>
      </c>
      <c r="D2808" s="60" t="s">
        <v>401</v>
      </c>
      <c r="E2808" s="78">
        <f>AX2808/$G2808</f>
        <v>27.933352545967391</v>
      </c>
      <c r="F2808" s="60" t="s">
        <v>577</v>
      </c>
      <c r="G2808" s="79">
        <f>SUM(G2791:G2807)</f>
        <v>7576000</v>
      </c>
      <c r="I2808" s="80">
        <f>AP2808/SUM($G2791:$G2807)</f>
        <v>21.321430834213306</v>
      </c>
      <c r="J2808" s="78">
        <f>AQ2808/SUM($G2791:$G2807)</f>
        <v>9.7525409186906025</v>
      </c>
      <c r="T2808" s="79">
        <f>SUM(T2791:T2807)</f>
        <v>153688.76710000003</v>
      </c>
      <c r="U2808" s="79">
        <f>SUM(U2791:U2807)</f>
        <v>64984.694000000003</v>
      </c>
      <c r="AM2808" s="79">
        <f>SUM(AM2791:AM2807)</f>
        <v>42518000</v>
      </c>
      <c r="AO2808" s="79">
        <f t="shared" ref="AO2808:AX2808" si="480">SUM(AO2791:AO2807)</f>
        <v>0</v>
      </c>
      <c r="AP2808" s="79">
        <f t="shared" si="480"/>
        <v>161531160</v>
      </c>
      <c r="AQ2808" s="79">
        <f t="shared" si="480"/>
        <v>73885250</v>
      </c>
      <c r="AR2808" s="79">
        <f t="shared" si="480"/>
        <v>0</v>
      </c>
      <c r="AS2808" s="79">
        <f t="shared" si="480"/>
        <v>0</v>
      </c>
      <c r="AT2808" s="79">
        <f t="shared" si="480"/>
        <v>0</v>
      </c>
      <c r="AU2808" s="79">
        <f t="shared" si="480"/>
        <v>0</v>
      </c>
      <c r="AV2808" s="79">
        <f t="shared" si="480"/>
        <v>0</v>
      </c>
      <c r="AW2808" s="79">
        <f t="shared" si="480"/>
        <v>0</v>
      </c>
      <c r="AX2808" s="79">
        <f t="shared" si="480"/>
        <v>211623078.88824895</v>
      </c>
      <c r="AY2808" s="41" t="s">
        <v>557</v>
      </c>
    </row>
    <row r="2809" spans="1:51" x14ac:dyDescent="0.2">
      <c r="A2809" s="41" t="s">
        <v>439</v>
      </c>
      <c r="B2809" s="43" t="s">
        <v>560</v>
      </c>
      <c r="G2809" s="53">
        <f>STDEV(G2791:G2807)</f>
        <v>232630.59267228557</v>
      </c>
      <c r="I2809" s="46">
        <f>STDEV(I2791:I2807)</f>
        <v>10.892238129539235</v>
      </c>
      <c r="J2809" s="47">
        <f>STDEV(J2791:J2807)</f>
        <v>3.7591062767631382</v>
      </c>
      <c r="T2809" s="53">
        <f>STDEV(T2791:T2807)</f>
        <v>3867.6175888852026</v>
      </c>
      <c r="U2809" s="53">
        <f>STDEV(U2791:U2807)</f>
        <v>2687.3953306970429</v>
      </c>
      <c r="AM2809" s="53">
        <f>STDEV(AM2791:AM2807)</f>
        <v>5021585.997329074</v>
      </c>
      <c r="AY2809" s="41" t="s">
        <v>557</v>
      </c>
    </row>
    <row r="2810" spans="1:51" x14ac:dyDescent="0.2">
      <c r="A2810" s="41" t="s">
        <v>439</v>
      </c>
      <c r="B2810" s="81" t="s">
        <v>249</v>
      </c>
      <c r="G2810" s="41">
        <f>COUNT(G2791:G2807)</f>
        <v>17</v>
      </c>
      <c r="I2810" s="41">
        <f>COUNT(I2791:I2807)</f>
        <v>17</v>
      </c>
      <c r="J2810" s="41">
        <f>COUNT(J2791:J2807)</f>
        <v>6</v>
      </c>
      <c r="T2810" s="41">
        <f>COUNT(T2791:T2807)</f>
        <v>17</v>
      </c>
      <c r="U2810" s="41">
        <f>COUNT(U2791:U2807)</f>
        <v>6</v>
      </c>
      <c r="AM2810" s="41">
        <f>COUNT(AM2791:AM2807)</f>
        <v>8</v>
      </c>
      <c r="AY2810" s="41" t="s">
        <v>557</v>
      </c>
    </row>
    <row r="2811" spans="1:51" x14ac:dyDescent="0.2">
      <c r="A2811" s="82"/>
      <c r="B2811" s="82"/>
      <c r="C2811" s="82"/>
      <c r="D2811" s="82"/>
      <c r="E2811" s="82"/>
      <c r="F2811" s="82"/>
      <c r="G2811" s="82"/>
      <c r="H2811" s="82"/>
      <c r="I2811" s="82"/>
      <c r="J2811" s="82"/>
      <c r="K2811" s="82"/>
      <c r="L2811" s="82"/>
      <c r="M2811" s="82"/>
      <c r="N2811" s="82"/>
      <c r="O2811" s="82"/>
      <c r="P2811" s="82"/>
      <c r="Q2811" s="82"/>
      <c r="R2811" s="82"/>
      <c r="S2811" s="82"/>
      <c r="T2811" s="82"/>
      <c r="U2811" s="82"/>
      <c r="V2811" s="82"/>
      <c r="W2811" s="82"/>
      <c r="X2811" s="82"/>
      <c r="Y2811" s="82"/>
      <c r="Z2811" s="82"/>
      <c r="AA2811" s="82"/>
      <c r="AB2811" s="82"/>
      <c r="AC2811" s="82"/>
      <c r="AD2811" s="82"/>
      <c r="AE2811" s="82"/>
      <c r="AF2811" s="82"/>
      <c r="AG2811" s="82"/>
      <c r="AH2811" s="82"/>
      <c r="AI2811" s="82"/>
      <c r="AJ2811" s="82"/>
      <c r="AK2811" s="82"/>
      <c r="AL2811" s="82"/>
      <c r="AM2811" s="82"/>
      <c r="AN2811" s="82"/>
      <c r="AO2811" s="82"/>
      <c r="AP2811" s="82"/>
      <c r="AQ2811" s="82"/>
      <c r="AR2811" s="82"/>
      <c r="AS2811" s="82"/>
      <c r="AT2811" s="82"/>
      <c r="AU2811" s="82"/>
      <c r="AV2811" s="82"/>
      <c r="AW2811" s="82"/>
      <c r="AX2811" s="82"/>
      <c r="AY2811" s="41" t="s">
        <v>557</v>
      </c>
    </row>
    <row r="2812" spans="1:51" x14ac:dyDescent="0.2">
      <c r="A2812" s="41" t="s">
        <v>163</v>
      </c>
      <c r="B2812" s="41">
        <v>2010</v>
      </c>
      <c r="C2812" s="41" t="s">
        <v>87</v>
      </c>
      <c r="D2812" s="41" t="s">
        <v>113</v>
      </c>
      <c r="E2812" s="41">
        <v>100</v>
      </c>
      <c r="F2812" s="41" t="s">
        <v>9</v>
      </c>
      <c r="AI2812" s="76">
        <f>AL2812/(AJ2812/100)/0.5</f>
        <v>40000</v>
      </c>
      <c r="AJ2812" s="58">
        <v>1.5</v>
      </c>
      <c r="AL2812" s="41">
        <v>300</v>
      </c>
      <c r="AM2812" s="76">
        <f t="shared" ref="AM2812:AM2817" si="481">AI2812*2</f>
        <v>80000</v>
      </c>
      <c r="AO2812" s="53">
        <f t="shared" ref="AO2812:AO2817" si="482">$AI2812*AJ2812</f>
        <v>60000</v>
      </c>
      <c r="AY2812" s="41" t="s">
        <v>557</v>
      </c>
    </row>
    <row r="2813" spans="1:51" x14ac:dyDescent="0.2">
      <c r="A2813" s="41" t="s">
        <v>163</v>
      </c>
      <c r="B2813" s="41">
        <v>2011</v>
      </c>
      <c r="C2813" s="41" t="s">
        <v>87</v>
      </c>
      <c r="D2813" s="41" t="s">
        <v>113</v>
      </c>
      <c r="E2813" s="41">
        <v>100</v>
      </c>
      <c r="F2813" s="41" t="s">
        <v>9</v>
      </c>
      <c r="AI2813" s="76">
        <f>AL2813/(AJ2813/100)/0.75</f>
        <v>791111.11111111112</v>
      </c>
      <c r="AJ2813" s="58">
        <v>1.5</v>
      </c>
      <c r="AL2813" s="53">
        <v>8900</v>
      </c>
      <c r="AM2813" s="76">
        <f t="shared" si="481"/>
        <v>1582222.2222222222</v>
      </c>
      <c r="AO2813" s="53">
        <f t="shared" si="482"/>
        <v>1186666.6666666667</v>
      </c>
      <c r="AY2813" s="41" t="s">
        <v>557</v>
      </c>
    </row>
    <row r="2814" spans="1:51" x14ac:dyDescent="0.2">
      <c r="A2814" s="41" t="s">
        <v>163</v>
      </c>
      <c r="B2814" s="41">
        <v>2012</v>
      </c>
      <c r="C2814" s="41" t="s">
        <v>87</v>
      </c>
      <c r="D2814" s="41" t="s">
        <v>113</v>
      </c>
      <c r="E2814" s="41">
        <v>100</v>
      </c>
      <c r="F2814" s="41" t="s">
        <v>9</v>
      </c>
      <c r="AI2814" s="76">
        <f>AL2814/(AJ2814/100)/0.75</f>
        <v>1235555.5555555557</v>
      </c>
      <c r="AJ2814" s="58">
        <v>1.5</v>
      </c>
      <c r="AL2814" s="53">
        <v>13900</v>
      </c>
      <c r="AM2814" s="76">
        <f t="shared" si="481"/>
        <v>2471111.1111111115</v>
      </c>
      <c r="AO2814" s="53">
        <f t="shared" si="482"/>
        <v>1853333.3333333335</v>
      </c>
      <c r="AY2814" s="41" t="s">
        <v>557</v>
      </c>
    </row>
    <row r="2815" spans="1:51" x14ac:dyDescent="0.2">
      <c r="A2815" s="41" t="s">
        <v>163</v>
      </c>
      <c r="B2815" s="41">
        <v>2013</v>
      </c>
      <c r="C2815" s="41" t="s">
        <v>87</v>
      </c>
      <c r="D2815" s="41" t="s">
        <v>113</v>
      </c>
      <c r="E2815" s="41">
        <v>100</v>
      </c>
      <c r="F2815" s="41" t="s">
        <v>9</v>
      </c>
      <c r="AI2815" s="76">
        <f>AL2815/(AJ2815/100)/0.75</f>
        <v>1111111.1111111112</v>
      </c>
      <c r="AJ2815" s="58">
        <v>1.5</v>
      </c>
      <c r="AL2815" s="53">
        <v>12500</v>
      </c>
      <c r="AM2815" s="76">
        <f t="shared" si="481"/>
        <v>2222222.2222222225</v>
      </c>
      <c r="AO2815" s="53">
        <f t="shared" si="482"/>
        <v>1666666.666666667</v>
      </c>
      <c r="AY2815" s="41" t="s">
        <v>557</v>
      </c>
    </row>
    <row r="2816" spans="1:51" x14ac:dyDescent="0.2">
      <c r="A2816" s="41" t="s">
        <v>163</v>
      </c>
      <c r="B2816" s="41">
        <v>2014</v>
      </c>
      <c r="C2816" s="41" t="s">
        <v>87</v>
      </c>
      <c r="D2816" s="41" t="s">
        <v>113</v>
      </c>
      <c r="E2816" s="41">
        <v>100</v>
      </c>
      <c r="F2816" s="41" t="s">
        <v>9</v>
      </c>
      <c r="AI2816" s="76">
        <f>AL2816/(AJ2816/100)/0.75</f>
        <v>728888.88888888899</v>
      </c>
      <c r="AJ2816" s="58">
        <v>1.5</v>
      </c>
      <c r="AL2816" s="53">
        <v>8200</v>
      </c>
      <c r="AM2816" s="76">
        <f t="shared" si="481"/>
        <v>1457777.777777778</v>
      </c>
      <c r="AO2816" s="53">
        <f t="shared" si="482"/>
        <v>1093333.3333333335</v>
      </c>
      <c r="AY2816" s="41" t="s">
        <v>557</v>
      </c>
    </row>
    <row r="2817" spans="1:51" x14ac:dyDescent="0.2">
      <c r="A2817" s="41" t="s">
        <v>163</v>
      </c>
      <c r="B2817" s="41">
        <v>2015</v>
      </c>
      <c r="C2817" s="41" t="s">
        <v>87</v>
      </c>
      <c r="D2817" s="41" t="s">
        <v>113</v>
      </c>
      <c r="E2817" s="41">
        <v>100</v>
      </c>
      <c r="F2817" s="41" t="s">
        <v>9</v>
      </c>
      <c r="AI2817" s="76">
        <f>AL2817/(AJ2817/100)/0.75</f>
        <v>515555.55555555556</v>
      </c>
      <c r="AJ2817" s="58">
        <v>1.5</v>
      </c>
      <c r="AK2817" s="46"/>
      <c r="AL2817" s="53">
        <v>5800</v>
      </c>
      <c r="AM2817" s="76">
        <f t="shared" si="481"/>
        <v>1031111.1111111111</v>
      </c>
      <c r="AO2817" s="53">
        <f t="shared" si="482"/>
        <v>773333.33333333337</v>
      </c>
      <c r="AY2817" s="41" t="s">
        <v>557</v>
      </c>
    </row>
    <row r="2818" spans="1:51" x14ac:dyDescent="0.2">
      <c r="A2818" s="41" t="s">
        <v>163</v>
      </c>
      <c r="B2818" s="60" t="s">
        <v>559</v>
      </c>
      <c r="C2818" s="60" t="s">
        <v>87</v>
      </c>
      <c r="D2818" s="60" t="s">
        <v>113</v>
      </c>
      <c r="E2818" s="107">
        <v>100</v>
      </c>
      <c r="F2818" s="60" t="s">
        <v>9</v>
      </c>
      <c r="AI2818" s="79">
        <f>SUM(AI2812:AI2817)</f>
        <v>4422222.2222222229</v>
      </c>
      <c r="AJ2818" s="80">
        <f>AO2818/AI2818</f>
        <v>1.4999999999999998</v>
      </c>
      <c r="AK2818" s="80"/>
      <c r="AL2818" s="79">
        <f>SUM(AL2812:AL2817)</f>
        <v>49600</v>
      </c>
      <c r="AM2818" s="79">
        <f>SUM(AM2812:AM2817)</f>
        <v>8844444.4444444459</v>
      </c>
      <c r="AO2818" s="79">
        <f>SUM(AO2812:AO2817)</f>
        <v>6633333.333333333</v>
      </c>
      <c r="AY2818" s="41" t="s">
        <v>557</v>
      </c>
    </row>
    <row r="2819" spans="1:51" x14ac:dyDescent="0.2">
      <c r="A2819" s="41" t="s">
        <v>163</v>
      </c>
      <c r="B2819" s="43" t="s">
        <v>560</v>
      </c>
      <c r="AI2819" s="53">
        <f>STDEV(AI2812:AI2817)</f>
        <v>430431.69066556665</v>
      </c>
      <c r="AJ2819" s="46"/>
      <c r="AK2819" s="46"/>
      <c r="AL2819" s="53">
        <f>STDEV(AL2812:AL2817)</f>
        <v>4891.0803169306746</v>
      </c>
      <c r="AM2819" s="53">
        <f>STDEV(AM2812:AM2817)</f>
        <v>860863.38133113331</v>
      </c>
      <c r="AY2819" s="41" t="s">
        <v>557</v>
      </c>
    </row>
    <row r="2820" spans="1:51" x14ac:dyDescent="0.2">
      <c r="A2820" s="41" t="s">
        <v>163</v>
      </c>
      <c r="B2820" s="81" t="s">
        <v>249</v>
      </c>
      <c r="AI2820" s="41">
        <f>COUNT(AI2812:AI2817)</f>
        <v>6</v>
      </c>
      <c r="AJ2820" s="46"/>
      <c r="AL2820" s="41">
        <f>COUNT(AL2812:AL2817)</f>
        <v>6</v>
      </c>
      <c r="AM2820" s="41">
        <f>COUNT(AM2812:AM2817)</f>
        <v>6</v>
      </c>
      <c r="AY2820" s="41" t="s">
        <v>557</v>
      </c>
    </row>
    <row r="2821" spans="1:51" x14ac:dyDescent="0.2">
      <c r="A2821" s="82"/>
      <c r="B2821" s="82"/>
      <c r="C2821" s="82"/>
      <c r="D2821" s="82"/>
      <c r="E2821" s="82"/>
      <c r="F2821" s="82"/>
      <c r="G2821" s="82"/>
      <c r="H2821" s="82"/>
      <c r="I2821" s="82"/>
      <c r="J2821" s="82"/>
      <c r="K2821" s="82"/>
      <c r="L2821" s="82"/>
      <c r="M2821" s="82"/>
      <c r="N2821" s="82"/>
      <c r="O2821" s="82"/>
      <c r="P2821" s="82"/>
      <c r="Q2821" s="82"/>
      <c r="R2821" s="82"/>
      <c r="S2821" s="82"/>
      <c r="T2821" s="82"/>
      <c r="U2821" s="82"/>
      <c r="V2821" s="82"/>
      <c r="W2821" s="82"/>
      <c r="X2821" s="82"/>
      <c r="Y2821" s="82"/>
      <c r="Z2821" s="82"/>
      <c r="AA2821" s="82"/>
      <c r="AB2821" s="82"/>
      <c r="AC2821" s="82"/>
      <c r="AD2821" s="82"/>
      <c r="AE2821" s="82"/>
      <c r="AF2821" s="82"/>
      <c r="AG2821" s="82"/>
      <c r="AH2821" s="82"/>
      <c r="AI2821" s="82"/>
      <c r="AJ2821" s="82"/>
      <c r="AK2821" s="82"/>
      <c r="AL2821" s="82"/>
      <c r="AM2821" s="82"/>
      <c r="AN2821" s="82"/>
      <c r="AO2821" s="82"/>
      <c r="AP2821" s="82"/>
      <c r="AQ2821" s="82"/>
      <c r="AR2821" s="82"/>
      <c r="AS2821" s="82"/>
      <c r="AT2821" s="82"/>
      <c r="AU2821" s="82"/>
      <c r="AV2821" s="82"/>
      <c r="AW2821" s="82"/>
      <c r="AX2821" s="82"/>
      <c r="AY2821" s="41" t="s">
        <v>557</v>
      </c>
    </row>
    <row r="2822" spans="1:51" x14ac:dyDescent="0.2">
      <c r="A2822" s="41" t="s">
        <v>107</v>
      </c>
      <c r="B2822" s="41">
        <v>2005</v>
      </c>
      <c r="C2822" s="41" t="s">
        <v>91</v>
      </c>
      <c r="D2822" s="41" t="s">
        <v>401</v>
      </c>
      <c r="E2822" s="41">
        <v>0</v>
      </c>
      <c r="F2822" s="41" t="s">
        <v>9</v>
      </c>
      <c r="G2822" s="53">
        <v>751364</v>
      </c>
      <c r="H2822" s="46">
        <v>2.2942895587225363</v>
      </c>
      <c r="I2822" s="56">
        <f>1000*T2822/G2822/0.5</f>
        <v>0.34636314755564546</v>
      </c>
      <c r="J2822" s="54">
        <f>1000*U2822/G2822/0.5</f>
        <v>8.923983581859126</v>
      </c>
      <c r="R2822" s="53">
        <v>75640</v>
      </c>
      <c r="S2822" s="53">
        <v>19296</v>
      </c>
      <c r="T2822" s="53">
        <v>130.1224</v>
      </c>
      <c r="U2822" s="53">
        <v>3352.58</v>
      </c>
      <c r="AH2822" s="53">
        <f t="shared" ref="AH2822:AH2831" si="483">G2822-R2822</f>
        <v>675724</v>
      </c>
      <c r="AO2822" s="53">
        <f t="shared" ref="AO2822:AW2832" si="484">$G2822*H2822</f>
        <v>1723846.5799999998</v>
      </c>
      <c r="AP2822" s="53">
        <f t="shared" si="484"/>
        <v>260244.8</v>
      </c>
      <c r="AQ2822" s="53">
        <f t="shared" si="484"/>
        <v>6705160</v>
      </c>
      <c r="AR2822" s="53">
        <f t="shared" si="484"/>
        <v>0</v>
      </c>
      <c r="AS2822" s="53">
        <f t="shared" si="484"/>
        <v>0</v>
      </c>
      <c r="AT2822" s="53">
        <f t="shared" si="484"/>
        <v>0</v>
      </c>
      <c r="AU2822" s="53">
        <f t="shared" si="484"/>
        <v>0</v>
      </c>
      <c r="AV2822" s="53">
        <f t="shared" si="484"/>
        <v>0</v>
      </c>
      <c r="AW2822" s="53">
        <f t="shared" si="484"/>
        <v>0</v>
      </c>
      <c r="AX2822" s="53">
        <f t="shared" ref="AX2822:AX2832" si="485">$G2822*E2822</f>
        <v>0</v>
      </c>
      <c r="AY2822" s="41" t="s">
        <v>557</v>
      </c>
    </row>
    <row r="2823" spans="1:51" x14ac:dyDescent="0.2">
      <c r="A2823" s="41" t="s">
        <v>107</v>
      </c>
      <c r="B2823" s="41">
        <v>2006</v>
      </c>
      <c r="C2823" s="41" t="s">
        <v>91</v>
      </c>
      <c r="D2823" s="41" t="s">
        <v>401</v>
      </c>
      <c r="E2823" s="41">
        <v>0</v>
      </c>
      <c r="F2823" s="41" t="s">
        <v>9</v>
      </c>
      <c r="G2823" s="53">
        <v>823642</v>
      </c>
      <c r="H2823" s="41">
        <v>3.01</v>
      </c>
      <c r="I2823" s="56">
        <f t="shared" ref="I2823:I2832" si="486">1000*T2823/G2823/0.5</f>
        <v>0.23971266642546157</v>
      </c>
      <c r="J2823" s="54">
        <f t="shared" ref="J2823:J2832" si="487">1000*U2823/G2823/0.5</f>
        <v>10.550046865021455</v>
      </c>
      <c r="R2823" s="53">
        <v>91569</v>
      </c>
      <c r="S2823" s="53">
        <v>23088</v>
      </c>
      <c r="T2823" s="53">
        <v>98.718710000000002</v>
      </c>
      <c r="U2823" s="53">
        <v>4344.7308500000008</v>
      </c>
      <c r="AH2823" s="53">
        <f t="shared" si="483"/>
        <v>732073</v>
      </c>
      <c r="AO2823" s="53">
        <f t="shared" si="484"/>
        <v>2479162.42</v>
      </c>
      <c r="AP2823" s="53">
        <f t="shared" si="484"/>
        <v>197437.42</v>
      </c>
      <c r="AQ2823" s="53">
        <f t="shared" si="484"/>
        <v>8689461.7000000011</v>
      </c>
      <c r="AR2823" s="53">
        <f t="shared" si="484"/>
        <v>0</v>
      </c>
      <c r="AS2823" s="53">
        <f t="shared" si="484"/>
        <v>0</v>
      </c>
      <c r="AT2823" s="53">
        <f t="shared" si="484"/>
        <v>0</v>
      </c>
      <c r="AU2823" s="53">
        <f t="shared" si="484"/>
        <v>0</v>
      </c>
      <c r="AV2823" s="53">
        <f t="shared" si="484"/>
        <v>0</v>
      </c>
      <c r="AW2823" s="53">
        <f t="shared" si="484"/>
        <v>0</v>
      </c>
      <c r="AX2823" s="53">
        <f t="shared" si="485"/>
        <v>0</v>
      </c>
      <c r="AY2823" s="41" t="s">
        <v>557</v>
      </c>
    </row>
    <row r="2824" spans="1:51" x14ac:dyDescent="0.2">
      <c r="A2824" s="41" t="s">
        <v>107</v>
      </c>
      <c r="B2824" s="41">
        <v>2007</v>
      </c>
      <c r="C2824" s="41" t="s">
        <v>91</v>
      </c>
      <c r="D2824" s="41" t="s">
        <v>401</v>
      </c>
      <c r="E2824" s="41">
        <v>0</v>
      </c>
      <c r="F2824" s="41" t="s">
        <v>9</v>
      </c>
      <c r="G2824" s="53">
        <v>733638</v>
      </c>
      <c r="H2824" s="46">
        <v>2.6942857921754326</v>
      </c>
      <c r="I2824" s="56">
        <f t="shared" si="486"/>
        <v>0.23796665385380797</v>
      </c>
      <c r="J2824" s="54">
        <f t="shared" si="487"/>
        <v>10.627445552166055</v>
      </c>
      <c r="R2824" s="53">
        <v>74445</v>
      </c>
      <c r="S2824" s="53">
        <v>18563.441999999999</v>
      </c>
      <c r="T2824" s="93">
        <v>87.290689999999984</v>
      </c>
      <c r="U2824" s="93">
        <v>3898.3489500000001</v>
      </c>
      <c r="AH2824" s="53">
        <f t="shared" si="483"/>
        <v>659193</v>
      </c>
      <c r="AO2824" s="53">
        <f t="shared" si="484"/>
        <v>1976630.44</v>
      </c>
      <c r="AP2824" s="53">
        <f t="shared" si="484"/>
        <v>174581.37999999998</v>
      </c>
      <c r="AQ2824" s="53">
        <f t="shared" si="484"/>
        <v>7796697.9000000004</v>
      </c>
      <c r="AR2824" s="53">
        <f t="shared" si="484"/>
        <v>0</v>
      </c>
      <c r="AS2824" s="53">
        <f t="shared" si="484"/>
        <v>0</v>
      </c>
      <c r="AT2824" s="53">
        <f t="shared" si="484"/>
        <v>0</v>
      </c>
      <c r="AU2824" s="53">
        <f t="shared" si="484"/>
        <v>0</v>
      </c>
      <c r="AV2824" s="53">
        <f t="shared" si="484"/>
        <v>0</v>
      </c>
      <c r="AW2824" s="53">
        <f t="shared" si="484"/>
        <v>0</v>
      </c>
      <c r="AX2824" s="53">
        <f t="shared" si="485"/>
        <v>0</v>
      </c>
      <c r="AY2824" s="41" t="s">
        <v>557</v>
      </c>
    </row>
    <row r="2825" spans="1:51" x14ac:dyDescent="0.2">
      <c r="A2825" s="41" t="s">
        <v>107</v>
      </c>
      <c r="B2825" s="41">
        <v>2008</v>
      </c>
      <c r="C2825" s="41" t="s">
        <v>91</v>
      </c>
      <c r="D2825" s="41" t="s">
        <v>401</v>
      </c>
      <c r="E2825" s="41">
        <v>0</v>
      </c>
      <c r="F2825" s="41" t="s">
        <v>9</v>
      </c>
      <c r="G2825" s="53">
        <v>885827</v>
      </c>
      <c r="H2825" s="46">
        <v>2.4629398855532743</v>
      </c>
      <c r="I2825" s="56">
        <f t="shared" si="486"/>
        <v>0.17066079494077285</v>
      </c>
      <c r="J2825" s="54">
        <f t="shared" si="487"/>
        <v>10.636491549704399</v>
      </c>
      <c r="R2825" s="53">
        <v>81770</v>
      </c>
      <c r="S2825" s="53">
        <v>20374</v>
      </c>
      <c r="T2825" s="53">
        <v>75.587969999999999</v>
      </c>
      <c r="U2825" s="53">
        <v>4711.0456999999997</v>
      </c>
      <c r="AH2825" s="53">
        <f t="shared" si="483"/>
        <v>804057</v>
      </c>
      <c r="AO2825" s="53">
        <f t="shared" si="484"/>
        <v>2181738.6500000004</v>
      </c>
      <c r="AP2825" s="53">
        <f t="shared" si="484"/>
        <v>151175.94</v>
      </c>
      <c r="AQ2825" s="53">
        <f t="shared" si="484"/>
        <v>9422091.3999999985</v>
      </c>
      <c r="AR2825" s="53">
        <f t="shared" si="484"/>
        <v>0</v>
      </c>
      <c r="AS2825" s="53">
        <f t="shared" si="484"/>
        <v>0</v>
      </c>
      <c r="AT2825" s="53">
        <f t="shared" si="484"/>
        <v>0</v>
      </c>
      <c r="AU2825" s="53">
        <f t="shared" si="484"/>
        <v>0</v>
      </c>
      <c r="AV2825" s="53">
        <f t="shared" si="484"/>
        <v>0</v>
      </c>
      <c r="AW2825" s="53">
        <f t="shared" si="484"/>
        <v>0</v>
      </c>
      <c r="AX2825" s="53">
        <f t="shared" si="485"/>
        <v>0</v>
      </c>
      <c r="AY2825" s="41" t="s">
        <v>557</v>
      </c>
    </row>
    <row r="2826" spans="1:51" x14ac:dyDescent="0.2">
      <c r="A2826" s="41" t="s">
        <v>107</v>
      </c>
      <c r="B2826" s="41">
        <v>2009</v>
      </c>
      <c r="C2826" s="41" t="s">
        <v>91</v>
      </c>
      <c r="D2826" s="41" t="s">
        <v>401</v>
      </c>
      <c r="E2826" s="41">
        <v>0</v>
      </c>
      <c r="F2826" s="41" t="s">
        <v>9</v>
      </c>
      <c r="G2826" s="53">
        <v>915793</v>
      </c>
      <c r="H2826" s="46">
        <v>2.686543727676451</v>
      </c>
      <c r="I2826" s="56">
        <f t="shared" si="486"/>
        <v>0.18618569917000893</v>
      </c>
      <c r="J2826" s="54">
        <f t="shared" si="487"/>
        <v>10.449479041661162</v>
      </c>
      <c r="R2826" s="53">
        <v>92680</v>
      </c>
      <c r="S2826" s="53">
        <v>23852</v>
      </c>
      <c r="T2826" s="53">
        <v>85.253779999999992</v>
      </c>
      <c r="U2826" s="53">
        <v>4784.77988</v>
      </c>
      <c r="AH2826" s="53">
        <f t="shared" si="483"/>
        <v>823113</v>
      </c>
      <c r="AO2826" s="53">
        <f t="shared" si="484"/>
        <v>2460317.94</v>
      </c>
      <c r="AP2826" s="53">
        <f t="shared" si="484"/>
        <v>170507.56</v>
      </c>
      <c r="AQ2826" s="53">
        <f t="shared" si="484"/>
        <v>9569559.7599999998</v>
      </c>
      <c r="AR2826" s="53">
        <f t="shared" si="484"/>
        <v>0</v>
      </c>
      <c r="AS2826" s="53">
        <f t="shared" si="484"/>
        <v>0</v>
      </c>
      <c r="AT2826" s="53">
        <f t="shared" si="484"/>
        <v>0</v>
      </c>
      <c r="AU2826" s="53">
        <f t="shared" si="484"/>
        <v>0</v>
      </c>
      <c r="AV2826" s="53">
        <f t="shared" si="484"/>
        <v>0</v>
      </c>
      <c r="AW2826" s="53">
        <f t="shared" si="484"/>
        <v>0</v>
      </c>
      <c r="AX2826" s="53">
        <f t="shared" si="485"/>
        <v>0</v>
      </c>
      <c r="AY2826" s="41" t="s">
        <v>557</v>
      </c>
    </row>
    <row r="2827" spans="1:51" x14ac:dyDescent="0.2">
      <c r="A2827" s="41" t="s">
        <v>107</v>
      </c>
      <c r="B2827" s="41">
        <v>2010</v>
      </c>
      <c r="C2827" s="41" t="s">
        <v>91</v>
      </c>
      <c r="D2827" s="41" t="s">
        <v>401</v>
      </c>
      <c r="E2827" s="41">
        <v>0</v>
      </c>
      <c r="F2827" s="41" t="s">
        <v>9</v>
      </c>
      <c r="G2827" s="53">
        <v>971259</v>
      </c>
      <c r="H2827" s="46">
        <v>2.1063520955790369</v>
      </c>
      <c r="I2827" s="56">
        <f t="shared" si="486"/>
        <v>0.15340316022811626</v>
      </c>
      <c r="J2827" s="54">
        <f t="shared" si="487"/>
        <v>8.0738505383219099</v>
      </c>
      <c r="R2827" s="53">
        <v>78418</v>
      </c>
      <c r="S2827" s="53">
        <v>19924</v>
      </c>
      <c r="T2827" s="76">
        <v>74.497099999999989</v>
      </c>
      <c r="U2827" s="76">
        <v>3920.9</v>
      </c>
      <c r="AH2827" s="53">
        <f t="shared" si="483"/>
        <v>892841</v>
      </c>
      <c r="AO2827" s="53">
        <f t="shared" si="484"/>
        <v>2045813.4299999997</v>
      </c>
      <c r="AP2827" s="53">
        <f t="shared" si="484"/>
        <v>148994.19999999998</v>
      </c>
      <c r="AQ2827" s="53">
        <f t="shared" si="484"/>
        <v>7841800</v>
      </c>
      <c r="AR2827" s="53">
        <f t="shared" si="484"/>
        <v>0</v>
      </c>
      <c r="AS2827" s="53">
        <f t="shared" si="484"/>
        <v>0</v>
      </c>
      <c r="AT2827" s="53">
        <f t="shared" si="484"/>
        <v>0</v>
      </c>
      <c r="AU2827" s="53">
        <f t="shared" si="484"/>
        <v>0</v>
      </c>
      <c r="AV2827" s="53">
        <f t="shared" si="484"/>
        <v>0</v>
      </c>
      <c r="AW2827" s="53">
        <f t="shared" si="484"/>
        <v>0</v>
      </c>
      <c r="AX2827" s="53">
        <f t="shared" si="485"/>
        <v>0</v>
      </c>
      <c r="AY2827" s="41" t="s">
        <v>557</v>
      </c>
    </row>
    <row r="2828" spans="1:51" x14ac:dyDescent="0.2">
      <c r="A2828" s="41" t="s">
        <v>107</v>
      </c>
      <c r="B2828" s="41">
        <v>2011</v>
      </c>
      <c r="C2828" s="41" t="s">
        <v>91</v>
      </c>
      <c r="D2828" s="41" t="s">
        <v>401</v>
      </c>
      <c r="E2828" s="41">
        <v>0</v>
      </c>
      <c r="F2828" s="41" t="s">
        <v>9</v>
      </c>
      <c r="G2828" s="53">
        <v>1261527</v>
      </c>
      <c r="H2828" s="46">
        <v>2.0618785487746201</v>
      </c>
      <c r="I2828" s="56">
        <f t="shared" si="486"/>
        <v>0.14872547317655507</v>
      </c>
      <c r="J2828" s="54">
        <f t="shared" si="487"/>
        <v>7.8276564829765833</v>
      </c>
      <c r="R2828" s="53">
        <v>98748</v>
      </c>
      <c r="S2828" s="53">
        <v>25387</v>
      </c>
      <c r="T2828" s="76">
        <v>93.810599999999994</v>
      </c>
      <c r="U2828" s="76">
        <v>4937.3999999999996</v>
      </c>
      <c r="AH2828" s="53">
        <f t="shared" si="483"/>
        <v>1162779</v>
      </c>
      <c r="AO2828" s="53">
        <f t="shared" si="484"/>
        <v>2601115.46</v>
      </c>
      <c r="AP2828" s="53">
        <f t="shared" si="484"/>
        <v>187621.19999999998</v>
      </c>
      <c r="AQ2828" s="53">
        <f t="shared" si="484"/>
        <v>9874800</v>
      </c>
      <c r="AR2828" s="53">
        <f t="shared" si="484"/>
        <v>0</v>
      </c>
      <c r="AS2828" s="53">
        <f t="shared" si="484"/>
        <v>0</v>
      </c>
      <c r="AT2828" s="53">
        <f t="shared" si="484"/>
        <v>0</v>
      </c>
      <c r="AU2828" s="53">
        <f t="shared" si="484"/>
        <v>0</v>
      </c>
      <c r="AV2828" s="53">
        <f t="shared" si="484"/>
        <v>0</v>
      </c>
      <c r="AW2828" s="53">
        <f t="shared" si="484"/>
        <v>0</v>
      </c>
      <c r="AX2828" s="53">
        <f t="shared" si="485"/>
        <v>0</v>
      </c>
      <c r="AY2828" s="41" t="s">
        <v>557</v>
      </c>
    </row>
    <row r="2829" spans="1:51" x14ac:dyDescent="0.2">
      <c r="A2829" s="41" t="s">
        <v>107</v>
      </c>
      <c r="B2829" s="41">
        <v>2013</v>
      </c>
      <c r="C2829" s="41" t="s">
        <v>91</v>
      </c>
      <c r="D2829" s="41" t="s">
        <v>401</v>
      </c>
      <c r="E2829" s="41">
        <v>0</v>
      </c>
      <c r="F2829" s="41" t="s">
        <v>9</v>
      </c>
      <c r="G2829" s="53">
        <v>1235046</v>
      </c>
      <c r="H2829" s="46">
        <v>1.9318912332010305</v>
      </c>
      <c r="I2829" s="56">
        <f t="shared" si="486"/>
        <v>0.1409701339059436</v>
      </c>
      <c r="J2829" s="54">
        <f t="shared" si="487"/>
        <v>7.4194807318917677</v>
      </c>
      <c r="R2829" s="53">
        <v>91634</v>
      </c>
      <c r="S2829" s="53">
        <v>22641</v>
      </c>
      <c r="T2829" s="76">
        <v>87.052300000000002</v>
      </c>
      <c r="U2829" s="76">
        <v>4581.7</v>
      </c>
      <c r="AH2829" s="53">
        <f t="shared" si="483"/>
        <v>1143412</v>
      </c>
      <c r="AO2829" s="53">
        <f t="shared" si="484"/>
        <v>2385974.54</v>
      </c>
      <c r="AP2829" s="53">
        <f t="shared" si="484"/>
        <v>174104.6</v>
      </c>
      <c r="AQ2829" s="53">
        <f t="shared" si="484"/>
        <v>9163400</v>
      </c>
      <c r="AR2829" s="53">
        <f t="shared" si="484"/>
        <v>0</v>
      </c>
      <c r="AS2829" s="53">
        <f t="shared" si="484"/>
        <v>0</v>
      </c>
      <c r="AT2829" s="53">
        <f t="shared" si="484"/>
        <v>0</v>
      </c>
      <c r="AU2829" s="53">
        <f t="shared" si="484"/>
        <v>0</v>
      </c>
      <c r="AV2829" s="53">
        <f t="shared" si="484"/>
        <v>0</v>
      </c>
      <c r="AW2829" s="53">
        <f t="shared" si="484"/>
        <v>0</v>
      </c>
      <c r="AX2829" s="53">
        <f t="shared" si="485"/>
        <v>0</v>
      </c>
      <c r="AY2829" s="41" t="s">
        <v>557</v>
      </c>
    </row>
    <row r="2830" spans="1:51" x14ac:dyDescent="0.2">
      <c r="A2830" s="41" t="s">
        <v>107</v>
      </c>
      <c r="B2830" s="41">
        <v>2013</v>
      </c>
      <c r="C2830" s="41" t="s">
        <v>91</v>
      </c>
      <c r="D2830" s="41" t="s">
        <v>401</v>
      </c>
      <c r="E2830" s="41">
        <v>0</v>
      </c>
      <c r="F2830" s="41" t="s">
        <v>9</v>
      </c>
      <c r="G2830" s="53">
        <v>1415263</v>
      </c>
      <c r="H2830" s="46">
        <v>1.8747979633467422</v>
      </c>
      <c r="I2830" s="56">
        <f t="shared" si="486"/>
        <v>0.14008519971199698</v>
      </c>
      <c r="J2830" s="54">
        <f t="shared" si="487"/>
        <v>7.3729052479998414</v>
      </c>
      <c r="R2830" s="53">
        <v>104346</v>
      </c>
      <c r="S2830" s="53">
        <v>25544</v>
      </c>
      <c r="T2830" s="76">
        <v>99.128699999999995</v>
      </c>
      <c r="U2830" s="76">
        <v>5217.3</v>
      </c>
      <c r="AH2830" s="53">
        <f t="shared" si="483"/>
        <v>1310917</v>
      </c>
      <c r="AO2830" s="53">
        <f t="shared" si="484"/>
        <v>2653332.1900000004</v>
      </c>
      <c r="AP2830" s="53">
        <f t="shared" si="484"/>
        <v>198257.4</v>
      </c>
      <c r="AQ2830" s="53">
        <f t="shared" si="484"/>
        <v>10434600</v>
      </c>
      <c r="AR2830" s="53">
        <f t="shared" si="484"/>
        <v>0</v>
      </c>
      <c r="AS2830" s="53">
        <f t="shared" si="484"/>
        <v>0</v>
      </c>
      <c r="AT2830" s="53">
        <f t="shared" si="484"/>
        <v>0</v>
      </c>
      <c r="AU2830" s="53">
        <f t="shared" si="484"/>
        <v>0</v>
      </c>
      <c r="AV2830" s="53">
        <f t="shared" si="484"/>
        <v>0</v>
      </c>
      <c r="AW2830" s="53">
        <f t="shared" si="484"/>
        <v>0</v>
      </c>
      <c r="AX2830" s="53">
        <f t="shared" si="485"/>
        <v>0</v>
      </c>
      <c r="AY2830" s="41" t="s">
        <v>557</v>
      </c>
    </row>
    <row r="2831" spans="1:51" x14ac:dyDescent="0.2">
      <c r="A2831" s="41" t="s">
        <v>107</v>
      </c>
      <c r="B2831" s="41">
        <v>2014</v>
      </c>
      <c r="C2831" s="41" t="s">
        <v>91</v>
      </c>
      <c r="D2831" s="41" t="s">
        <v>401</v>
      </c>
      <c r="E2831" s="41">
        <v>0</v>
      </c>
      <c r="F2831" s="41" t="s">
        <v>9</v>
      </c>
      <c r="G2831" s="53">
        <v>1633350</v>
      </c>
      <c r="H2831" s="46">
        <v>1.7905734288425628</v>
      </c>
      <c r="I2831" s="56">
        <f t="shared" si="486"/>
        <v>0.13362641197538799</v>
      </c>
      <c r="J2831" s="54">
        <f t="shared" si="487"/>
        <v>7.0329690513362104</v>
      </c>
      <c r="R2831" s="53">
        <v>114873</v>
      </c>
      <c r="S2831" s="53">
        <v>27777</v>
      </c>
      <c r="T2831" s="76">
        <v>109.12934999999999</v>
      </c>
      <c r="U2831" s="76">
        <v>5743.65</v>
      </c>
      <c r="AH2831" s="53">
        <f t="shared" si="483"/>
        <v>1518477</v>
      </c>
      <c r="AO2831" s="53">
        <f t="shared" si="484"/>
        <v>2924633.11</v>
      </c>
      <c r="AP2831" s="53">
        <f t="shared" si="484"/>
        <v>218258.69999999998</v>
      </c>
      <c r="AQ2831" s="53">
        <f t="shared" si="484"/>
        <v>11487300</v>
      </c>
      <c r="AR2831" s="53">
        <f t="shared" si="484"/>
        <v>0</v>
      </c>
      <c r="AS2831" s="53">
        <f t="shared" si="484"/>
        <v>0</v>
      </c>
      <c r="AT2831" s="53">
        <f t="shared" si="484"/>
        <v>0</v>
      </c>
      <c r="AU2831" s="53">
        <f t="shared" si="484"/>
        <v>0</v>
      </c>
      <c r="AV2831" s="53">
        <f t="shared" si="484"/>
        <v>0</v>
      </c>
      <c r="AW2831" s="53">
        <f t="shared" si="484"/>
        <v>0</v>
      </c>
      <c r="AX2831" s="53">
        <f t="shared" si="485"/>
        <v>0</v>
      </c>
      <c r="AY2831" s="41" t="s">
        <v>557</v>
      </c>
    </row>
    <row r="2832" spans="1:51" x14ac:dyDescent="0.2">
      <c r="A2832" s="41" t="s">
        <v>107</v>
      </c>
      <c r="B2832" s="41" t="s">
        <v>704</v>
      </c>
      <c r="C2832" s="41" t="s">
        <v>91</v>
      </c>
      <c r="D2832" s="41" t="s">
        <v>401</v>
      </c>
      <c r="E2832" s="41">
        <v>0</v>
      </c>
      <c r="F2832" s="41" t="s">
        <v>9</v>
      </c>
      <c r="G2832" s="53">
        <v>1209876</v>
      </c>
      <c r="H2832" s="46">
        <v>1.9631401895731464</v>
      </c>
      <c r="I2832" s="56">
        <f t="shared" si="486"/>
        <v>0.14506180798693419</v>
      </c>
      <c r="J2832" s="54">
        <f t="shared" si="487"/>
        <v>7.6348319993123264</v>
      </c>
      <c r="R2832" s="53">
        <v>92372</v>
      </c>
      <c r="S2832" s="53">
        <v>22512</v>
      </c>
      <c r="T2832" s="76">
        <f>0.95*(34157+28005+30210)/1000</f>
        <v>87.753399999999999</v>
      </c>
      <c r="U2832" s="76">
        <f>50*(34157+28005+30210)/1000</f>
        <v>4618.6000000000004</v>
      </c>
      <c r="AH2832" s="53">
        <f>G2832-R2832</f>
        <v>1117504</v>
      </c>
      <c r="AO2832" s="53">
        <f t="shared" si="484"/>
        <v>2375156.2000000002</v>
      </c>
      <c r="AP2832" s="53">
        <f t="shared" si="484"/>
        <v>175506.8</v>
      </c>
      <c r="AQ2832" s="53">
        <f t="shared" si="484"/>
        <v>9237200</v>
      </c>
      <c r="AR2832" s="53">
        <f t="shared" si="484"/>
        <v>0</v>
      </c>
      <c r="AS2832" s="53">
        <f t="shared" si="484"/>
        <v>0</v>
      </c>
      <c r="AT2832" s="53">
        <f t="shared" si="484"/>
        <v>0</v>
      </c>
      <c r="AU2832" s="53">
        <f t="shared" si="484"/>
        <v>0</v>
      </c>
      <c r="AV2832" s="53">
        <f t="shared" si="484"/>
        <v>0</v>
      </c>
      <c r="AW2832" s="53">
        <f t="shared" si="484"/>
        <v>0</v>
      </c>
      <c r="AX2832" s="53">
        <f t="shared" si="485"/>
        <v>0</v>
      </c>
      <c r="AY2832" s="41" t="s">
        <v>557</v>
      </c>
    </row>
    <row r="2833" spans="1:51" x14ac:dyDescent="0.2">
      <c r="A2833" s="84"/>
      <c r="B2833" s="85" t="s">
        <v>705</v>
      </c>
      <c r="C2833" s="60" t="s">
        <v>91</v>
      </c>
      <c r="D2833" s="60" t="s">
        <v>401</v>
      </c>
      <c r="E2833" s="78">
        <f>AX2833/$G2833</f>
        <v>0</v>
      </c>
      <c r="F2833" s="60" t="s">
        <v>390</v>
      </c>
      <c r="G2833" s="79">
        <f>SUM(G2822:G2832)</f>
        <v>11836585</v>
      </c>
      <c r="H2833" s="80">
        <f>AO2833/$G2833</f>
        <v>2.1803350341335781</v>
      </c>
      <c r="I2833" s="80">
        <f>AP2833/$G2833</f>
        <v>0.17375704225500851</v>
      </c>
      <c r="J2833" s="78">
        <f>AQ2833/$G2833</f>
        <v>8.4671440926584811</v>
      </c>
      <c r="R2833" s="79">
        <f>SUM(R2822:R2832)</f>
        <v>996495</v>
      </c>
      <c r="S2833" s="79">
        <f>SUM(S2822:S2832)</f>
        <v>248958.44199999998</v>
      </c>
      <c r="T2833" s="79">
        <f>SUM(T2822:T2832)</f>
        <v>1028.345</v>
      </c>
      <c r="U2833" s="79">
        <f>SUM(U2822:U2832)</f>
        <v>50111.035380000001</v>
      </c>
      <c r="AH2833" s="79">
        <f>SUM(AH2822:AH2832)</f>
        <v>10840090</v>
      </c>
      <c r="AO2833" s="79">
        <f>SUM(AO2822:AO2832)</f>
        <v>25807720.959999997</v>
      </c>
      <c r="AP2833" s="79">
        <f>SUM(AP2822:AP2832)</f>
        <v>2056690</v>
      </c>
      <c r="AQ2833" s="79">
        <f t="shared" ref="AQ2833:AX2833" si="488">SUM(AQ2822:AQ2832)</f>
        <v>100222070.75999999</v>
      </c>
      <c r="AR2833" s="79">
        <f t="shared" si="488"/>
        <v>0</v>
      </c>
      <c r="AS2833" s="79">
        <f t="shared" si="488"/>
        <v>0</v>
      </c>
      <c r="AT2833" s="79">
        <f t="shared" si="488"/>
        <v>0</v>
      </c>
      <c r="AU2833" s="79">
        <f t="shared" si="488"/>
        <v>0</v>
      </c>
      <c r="AV2833" s="79">
        <f t="shared" si="488"/>
        <v>0</v>
      </c>
      <c r="AW2833" s="79">
        <f t="shared" si="488"/>
        <v>0</v>
      </c>
      <c r="AX2833" s="79">
        <f t="shared" si="488"/>
        <v>0</v>
      </c>
      <c r="AY2833" s="41" t="s">
        <v>557</v>
      </c>
    </row>
    <row r="2834" spans="1:51" x14ac:dyDescent="0.2">
      <c r="A2834" s="41" t="s">
        <v>107</v>
      </c>
      <c r="B2834" s="43" t="s">
        <v>560</v>
      </c>
      <c r="G2834" s="53">
        <f>STDEV(G2822:G2832)</f>
        <v>293677.47910618491</v>
      </c>
      <c r="H2834" s="46">
        <f>STDEV(H2822:H2832)</f>
        <v>0.40034504541344779</v>
      </c>
      <c r="I2834" s="46">
        <f>STDEV(I2822:I2832)</f>
        <v>6.5225014460360706E-2</v>
      </c>
      <c r="J2834" s="47">
        <f>STDEV(J2822:J2832)</f>
        <v>1.496681237218356</v>
      </c>
      <c r="R2834" s="53">
        <f>STDEV(R2822:R2832)</f>
        <v>12510.595895988647</v>
      </c>
      <c r="S2834" s="53">
        <f>STDEV(S2822:S2832)</f>
        <v>2904.5739003629237</v>
      </c>
      <c r="T2834" s="53">
        <f>STDEV(T2822:T2832)</f>
        <v>15.835375581750823</v>
      </c>
      <c r="U2834" s="53">
        <f>STDEV(U2822:U2832)</f>
        <v>663.54832891897627</v>
      </c>
      <c r="AH2834" s="53">
        <f>STDEV(AH2822:AH2832)</f>
        <v>282540.13056381594</v>
      </c>
      <c r="AY2834" s="41" t="s">
        <v>557</v>
      </c>
    </row>
    <row r="2835" spans="1:51" x14ac:dyDescent="0.2">
      <c r="A2835" s="41" t="s">
        <v>107</v>
      </c>
      <c r="B2835" s="81" t="s">
        <v>249</v>
      </c>
      <c r="G2835" s="41">
        <f>COUNT(G2822:G2832)</f>
        <v>11</v>
      </c>
      <c r="H2835" s="41">
        <f>COUNT(H2822:H2832)</f>
        <v>11</v>
      </c>
      <c r="I2835" s="41">
        <f>COUNT(I2822:I2832)</f>
        <v>11</v>
      </c>
      <c r="J2835" s="41">
        <f>COUNT(J2822:J2832)</f>
        <v>11</v>
      </c>
      <c r="R2835" s="41">
        <f>COUNT(R2822:R2832)</f>
        <v>11</v>
      </c>
      <c r="S2835" s="41">
        <f>COUNT(S2822:S2832)</f>
        <v>11</v>
      </c>
      <c r="T2835" s="41">
        <f>COUNT(T2822:T2832)</f>
        <v>11</v>
      </c>
      <c r="U2835" s="41">
        <f>COUNT(U2822:U2832)</f>
        <v>11</v>
      </c>
      <c r="AH2835" s="41">
        <f>COUNT(AH2822:AH2832)</f>
        <v>11</v>
      </c>
      <c r="AY2835" s="41" t="s">
        <v>557</v>
      </c>
    </row>
    <row r="2836" spans="1:51" x14ac:dyDescent="0.2">
      <c r="A2836" s="82"/>
      <c r="B2836" s="82"/>
      <c r="C2836" s="82"/>
      <c r="D2836" s="82"/>
      <c r="E2836" s="82"/>
      <c r="F2836" s="82"/>
      <c r="G2836" s="82"/>
      <c r="H2836" s="82"/>
      <c r="I2836" s="82"/>
      <c r="J2836" s="82"/>
      <c r="K2836" s="82"/>
      <c r="L2836" s="82"/>
      <c r="M2836" s="82"/>
      <c r="N2836" s="82"/>
      <c r="O2836" s="82"/>
      <c r="P2836" s="82"/>
      <c r="Q2836" s="82"/>
      <c r="R2836" s="82"/>
      <c r="S2836" s="82"/>
      <c r="T2836" s="82"/>
      <c r="U2836" s="82"/>
      <c r="V2836" s="82"/>
      <c r="W2836" s="82"/>
      <c r="X2836" s="82"/>
      <c r="Y2836" s="82"/>
      <c r="Z2836" s="82"/>
      <c r="AA2836" s="82"/>
      <c r="AB2836" s="82"/>
      <c r="AC2836" s="82"/>
      <c r="AD2836" s="82"/>
      <c r="AE2836" s="82"/>
      <c r="AF2836" s="82"/>
      <c r="AG2836" s="82"/>
      <c r="AH2836" s="82"/>
      <c r="AI2836" s="82"/>
      <c r="AJ2836" s="82"/>
      <c r="AK2836" s="82"/>
      <c r="AL2836" s="82"/>
      <c r="AM2836" s="82"/>
      <c r="AN2836" s="82"/>
      <c r="AO2836" s="82"/>
      <c r="AP2836" s="82"/>
      <c r="AQ2836" s="82"/>
      <c r="AR2836" s="82"/>
      <c r="AS2836" s="82"/>
      <c r="AT2836" s="82"/>
      <c r="AU2836" s="82"/>
      <c r="AV2836" s="82"/>
      <c r="AW2836" s="82"/>
      <c r="AX2836" s="82"/>
      <c r="AY2836" s="41" t="s">
        <v>557</v>
      </c>
    </row>
    <row r="2837" spans="1:51" x14ac:dyDescent="0.2">
      <c r="A2837" s="41" t="s">
        <v>460</v>
      </c>
      <c r="B2837" s="41">
        <v>2005</v>
      </c>
      <c r="C2837" s="41" t="s">
        <v>96</v>
      </c>
      <c r="D2837" s="41" t="s">
        <v>401</v>
      </c>
      <c r="E2837" s="41">
        <v>100</v>
      </c>
      <c r="F2837" s="41" t="s">
        <v>390</v>
      </c>
      <c r="G2837" s="53">
        <f>322000*0.9072/0.7</f>
        <v>417312.00000000006</v>
      </c>
      <c r="I2837" s="46">
        <f>0.271*31.1/0.9072</f>
        <v>9.2902336860670207</v>
      </c>
      <c r="T2837" s="53">
        <f>87000*31.1/1000/0.7</f>
        <v>3865.2857142857142</v>
      </c>
      <c r="AM2837" s="53">
        <f>(6758000-322000)*0.9072/0.7</f>
        <v>8341056.0000000009</v>
      </c>
      <c r="AO2837" s="53">
        <f t="shared" ref="AO2837:AW2845" si="489">$G2837*H2837</f>
        <v>0</v>
      </c>
      <c r="AP2837" s="53">
        <f t="shared" si="489"/>
        <v>3876926.0000000009</v>
      </c>
      <c r="AQ2837" s="53">
        <f t="shared" si="489"/>
        <v>0</v>
      </c>
      <c r="AR2837" s="53">
        <f t="shared" si="489"/>
        <v>0</v>
      </c>
      <c r="AS2837" s="53">
        <f t="shared" si="489"/>
        <v>0</v>
      </c>
      <c r="AT2837" s="53">
        <f t="shared" si="489"/>
        <v>0</v>
      </c>
      <c r="AU2837" s="53">
        <f t="shared" si="489"/>
        <v>0</v>
      </c>
      <c r="AV2837" s="53">
        <f t="shared" si="489"/>
        <v>0</v>
      </c>
      <c r="AW2837" s="53">
        <f t="shared" si="489"/>
        <v>0</v>
      </c>
      <c r="AX2837" s="53">
        <f t="shared" ref="AX2837:AX2845" si="490">$G2837*E2837</f>
        <v>41731200.000000007</v>
      </c>
      <c r="AY2837" s="41" t="s">
        <v>557</v>
      </c>
    </row>
    <row r="2838" spans="1:51" x14ac:dyDescent="0.2">
      <c r="A2838" s="41" t="s">
        <v>460</v>
      </c>
      <c r="B2838" s="41">
        <v>2006</v>
      </c>
      <c r="C2838" s="41" t="s">
        <v>96</v>
      </c>
      <c r="D2838" s="41" t="s">
        <v>401</v>
      </c>
      <c r="E2838" s="41">
        <v>100</v>
      </c>
      <c r="F2838" s="41" t="s">
        <v>390</v>
      </c>
      <c r="G2838" s="53">
        <f>386000*0.9072/0.7</f>
        <v>500256.00000000006</v>
      </c>
      <c r="I2838" s="46">
        <f>0.267*31.1/0.9072</f>
        <v>9.1531084656084669</v>
      </c>
      <c r="T2838" s="53">
        <f>98000*31.1/1000/0.7</f>
        <v>4354.0000000000009</v>
      </c>
      <c r="AM2838" s="53">
        <f>(5791000-386000)*0.9072/0.7</f>
        <v>7004880</v>
      </c>
      <c r="AO2838" s="53">
        <f t="shared" si="489"/>
        <v>0</v>
      </c>
      <c r="AP2838" s="53">
        <f t="shared" si="489"/>
        <v>4578897.42857143</v>
      </c>
      <c r="AQ2838" s="53">
        <f t="shared" si="489"/>
        <v>0</v>
      </c>
      <c r="AR2838" s="53">
        <f t="shared" si="489"/>
        <v>0</v>
      </c>
      <c r="AS2838" s="53">
        <f t="shared" si="489"/>
        <v>0</v>
      </c>
      <c r="AT2838" s="53">
        <f t="shared" si="489"/>
        <v>0</v>
      </c>
      <c r="AU2838" s="53">
        <f t="shared" si="489"/>
        <v>0</v>
      </c>
      <c r="AV2838" s="53">
        <f t="shared" si="489"/>
        <v>0</v>
      </c>
      <c r="AW2838" s="53">
        <f t="shared" si="489"/>
        <v>0</v>
      </c>
      <c r="AX2838" s="53">
        <f t="shared" si="490"/>
        <v>50025600.000000007</v>
      </c>
      <c r="AY2838" s="41" t="s">
        <v>557</v>
      </c>
    </row>
    <row r="2839" spans="1:51" x14ac:dyDescent="0.2">
      <c r="A2839" s="41" t="s">
        <v>460</v>
      </c>
      <c r="B2839" s="41">
        <v>2007</v>
      </c>
      <c r="C2839" s="41" t="s">
        <v>96</v>
      </c>
      <c r="D2839" s="41" t="s">
        <v>401</v>
      </c>
      <c r="E2839" s="41">
        <v>100</v>
      </c>
      <c r="F2839" s="41" t="s">
        <v>390</v>
      </c>
      <c r="G2839" s="53">
        <f>332000*0.9072/0.7</f>
        <v>430272.00000000006</v>
      </c>
      <c r="I2839" s="46">
        <f>0.402*31.1/0.9072</f>
        <v>13.781084656084658</v>
      </c>
      <c r="T2839" s="53">
        <f>125000*31.1/1000/0.7</f>
        <v>5553.5714285714294</v>
      </c>
      <c r="AM2839" s="53">
        <f>(5997000-332000)*0.9072/0.7</f>
        <v>7341840.0000000009</v>
      </c>
      <c r="AO2839" s="53">
        <f t="shared" si="489"/>
        <v>0</v>
      </c>
      <c r="AP2839" s="53">
        <f t="shared" si="489"/>
        <v>5929614.8571428591</v>
      </c>
      <c r="AQ2839" s="53">
        <f t="shared" si="489"/>
        <v>0</v>
      </c>
      <c r="AR2839" s="53">
        <f t="shared" si="489"/>
        <v>0</v>
      </c>
      <c r="AS2839" s="53">
        <f t="shared" si="489"/>
        <v>0</v>
      </c>
      <c r="AT2839" s="53">
        <f t="shared" si="489"/>
        <v>0</v>
      </c>
      <c r="AU2839" s="53">
        <f t="shared" si="489"/>
        <v>0</v>
      </c>
      <c r="AV2839" s="53">
        <f t="shared" si="489"/>
        <v>0</v>
      </c>
      <c r="AW2839" s="53">
        <f t="shared" si="489"/>
        <v>0</v>
      </c>
      <c r="AX2839" s="53">
        <f t="shared" si="490"/>
        <v>43027200.000000007</v>
      </c>
      <c r="AY2839" s="41" t="s">
        <v>557</v>
      </c>
    </row>
    <row r="2840" spans="1:51" x14ac:dyDescent="0.2">
      <c r="A2840" s="41" t="s">
        <v>460</v>
      </c>
      <c r="B2840" s="41">
        <v>2008</v>
      </c>
      <c r="C2840" s="41" t="s">
        <v>96</v>
      </c>
      <c r="D2840" s="41" t="s">
        <v>401</v>
      </c>
      <c r="E2840" s="41">
        <v>100</v>
      </c>
      <c r="F2840" s="41" t="s">
        <v>390</v>
      </c>
      <c r="G2840" s="53">
        <f>295000*0.9072/0.7</f>
        <v>382320</v>
      </c>
      <c r="I2840" s="46">
        <f>0.526*31.1/0.9072</f>
        <v>18.031966490299826</v>
      </c>
      <c r="T2840" s="53">
        <f>148000*31.1/1000/0.7</f>
        <v>6575.4285714285725</v>
      </c>
      <c r="AM2840" s="53">
        <f>(1575000-295000)*0.9072/0.7</f>
        <v>1658880</v>
      </c>
      <c r="AO2840" s="53">
        <f t="shared" si="489"/>
        <v>0</v>
      </c>
      <c r="AP2840" s="53">
        <f t="shared" si="489"/>
        <v>6893981.4285714291</v>
      </c>
      <c r="AQ2840" s="53">
        <f t="shared" si="489"/>
        <v>0</v>
      </c>
      <c r="AR2840" s="53">
        <f t="shared" si="489"/>
        <v>0</v>
      </c>
      <c r="AS2840" s="53">
        <f t="shared" si="489"/>
        <v>0</v>
      </c>
      <c r="AT2840" s="53">
        <f t="shared" si="489"/>
        <v>0</v>
      </c>
      <c r="AU2840" s="53">
        <f t="shared" si="489"/>
        <v>0</v>
      </c>
      <c r="AV2840" s="53">
        <f t="shared" si="489"/>
        <v>0</v>
      </c>
      <c r="AW2840" s="53">
        <f t="shared" si="489"/>
        <v>0</v>
      </c>
      <c r="AX2840" s="53">
        <f t="shared" si="490"/>
        <v>38232000</v>
      </c>
      <c r="AY2840" s="41" t="s">
        <v>557</v>
      </c>
    </row>
    <row r="2841" spans="1:51" x14ac:dyDescent="0.2">
      <c r="A2841" s="41" t="s">
        <v>460</v>
      </c>
      <c r="B2841" s="41">
        <v>2009</v>
      </c>
      <c r="C2841" s="41" t="s">
        <v>96</v>
      </c>
      <c r="D2841" s="41" t="s">
        <v>401</v>
      </c>
      <c r="E2841" s="134">
        <v>50</v>
      </c>
      <c r="F2841" s="41" t="s">
        <v>390</v>
      </c>
      <c r="G2841" s="53">
        <f>344000*0.9072/0.7</f>
        <v>445824</v>
      </c>
      <c r="I2841" s="46">
        <f>0.204*31.1/0.9072</f>
        <v>6.9933862433862437</v>
      </c>
      <c r="T2841" s="53">
        <f>66000*31.1/1000/0.7</f>
        <v>2932.2857142857142</v>
      </c>
      <c r="AO2841" s="53">
        <f t="shared" si="489"/>
        <v>0</v>
      </c>
      <c r="AP2841" s="53">
        <f t="shared" si="489"/>
        <v>3117819.4285714286</v>
      </c>
      <c r="AQ2841" s="53">
        <f t="shared" si="489"/>
        <v>0</v>
      </c>
      <c r="AR2841" s="53">
        <f t="shared" si="489"/>
        <v>0</v>
      </c>
      <c r="AS2841" s="53">
        <f t="shared" si="489"/>
        <v>0</v>
      </c>
      <c r="AT2841" s="53">
        <f t="shared" si="489"/>
        <v>0</v>
      </c>
      <c r="AU2841" s="53">
        <f t="shared" si="489"/>
        <v>0</v>
      </c>
      <c r="AV2841" s="53">
        <f t="shared" si="489"/>
        <v>0</v>
      </c>
      <c r="AW2841" s="53">
        <f t="shared" si="489"/>
        <v>0</v>
      </c>
      <c r="AX2841" s="53">
        <f t="shared" si="490"/>
        <v>22291200</v>
      </c>
      <c r="AY2841" s="41" t="s">
        <v>557</v>
      </c>
    </row>
    <row r="2842" spans="1:51" x14ac:dyDescent="0.2">
      <c r="A2842" s="41" t="s">
        <v>460</v>
      </c>
      <c r="B2842" s="41">
        <v>2010</v>
      </c>
      <c r="C2842" s="41" t="s">
        <v>96</v>
      </c>
      <c r="D2842" s="41" t="s">
        <v>401</v>
      </c>
      <c r="E2842" s="134">
        <v>0</v>
      </c>
      <c r="F2842" s="41" t="s">
        <v>390</v>
      </c>
      <c r="G2842" s="53">
        <f>301000*0.9072/(0.25*1+0.75*0.739)/0.7</f>
        <v>485043.20795772457</v>
      </c>
      <c r="I2842" s="46">
        <f>0.12*31.1/0.9072</f>
        <v>4.1137566137566139</v>
      </c>
      <c r="T2842" s="53">
        <f>34000*31.1/1000/(0.25*1+0.75*0.739)/0.7</f>
        <v>1878.2361561348198</v>
      </c>
      <c r="AO2842" s="53">
        <f t="shared" si="489"/>
        <v>0</v>
      </c>
      <c r="AP2842" s="53">
        <f t="shared" si="489"/>
        <v>1995349.704693814</v>
      </c>
      <c r="AQ2842" s="53">
        <f t="shared" si="489"/>
        <v>0</v>
      </c>
      <c r="AR2842" s="53">
        <f t="shared" si="489"/>
        <v>0</v>
      </c>
      <c r="AS2842" s="53">
        <f t="shared" si="489"/>
        <v>0</v>
      </c>
      <c r="AT2842" s="53">
        <f t="shared" si="489"/>
        <v>0</v>
      </c>
      <c r="AU2842" s="53">
        <f t="shared" si="489"/>
        <v>0</v>
      </c>
      <c r="AV2842" s="53">
        <f t="shared" si="489"/>
        <v>0</v>
      </c>
      <c r="AW2842" s="53">
        <f t="shared" si="489"/>
        <v>0</v>
      </c>
      <c r="AX2842" s="53">
        <f t="shared" si="490"/>
        <v>0</v>
      </c>
      <c r="AY2842" s="41" t="s">
        <v>557</v>
      </c>
    </row>
    <row r="2843" spans="1:51" x14ac:dyDescent="0.2">
      <c r="A2843" s="41" t="s">
        <v>460</v>
      </c>
      <c r="B2843" s="41">
        <v>2011</v>
      </c>
      <c r="C2843" s="41" t="s">
        <v>96</v>
      </c>
      <c r="D2843" s="41" t="s">
        <v>401</v>
      </c>
      <c r="E2843" s="134">
        <v>0</v>
      </c>
      <c r="F2843" s="41" t="s">
        <v>390</v>
      </c>
      <c r="G2843" s="53">
        <f>(237000*0.9072)/(0.739*0.7)</f>
        <v>415631.9350473613</v>
      </c>
      <c r="I2843" s="46">
        <f>0.193*31.1/0.9072</f>
        <v>6.6162918871252216</v>
      </c>
      <c r="T2843" s="53">
        <f>44000*31.1/1000/(0.739*0.7)</f>
        <v>2645.2735356659582</v>
      </c>
      <c r="AM2843" s="53">
        <f>((540000-237000)*0.9072)/(0.739*0.7)</f>
        <v>531377.53721244924</v>
      </c>
      <c r="AO2843" s="53">
        <f t="shared" si="489"/>
        <v>0</v>
      </c>
      <c r="AP2843" s="53">
        <f t="shared" si="489"/>
        <v>2749942.1998840137</v>
      </c>
      <c r="AQ2843" s="53">
        <f t="shared" si="489"/>
        <v>0</v>
      </c>
      <c r="AR2843" s="53">
        <f t="shared" si="489"/>
        <v>0</v>
      </c>
      <c r="AS2843" s="53">
        <f t="shared" si="489"/>
        <v>0</v>
      </c>
      <c r="AT2843" s="53">
        <f t="shared" si="489"/>
        <v>0</v>
      </c>
      <c r="AU2843" s="53">
        <f t="shared" si="489"/>
        <v>0</v>
      </c>
      <c r="AV2843" s="53">
        <f t="shared" si="489"/>
        <v>0</v>
      </c>
      <c r="AW2843" s="53">
        <f t="shared" si="489"/>
        <v>0</v>
      </c>
      <c r="AX2843" s="53">
        <f t="shared" si="490"/>
        <v>0</v>
      </c>
      <c r="AY2843" s="41" t="s">
        <v>557</v>
      </c>
    </row>
    <row r="2844" spans="1:51" x14ac:dyDescent="0.2">
      <c r="A2844" s="41" t="s">
        <v>460</v>
      </c>
      <c r="B2844" s="41">
        <v>2012</v>
      </c>
      <c r="C2844" s="41" t="s">
        <v>96</v>
      </c>
      <c r="D2844" s="41" t="s">
        <v>401</v>
      </c>
      <c r="E2844" s="134">
        <v>0</v>
      </c>
      <c r="F2844" s="41" t="s">
        <v>390</v>
      </c>
      <c r="G2844" s="53">
        <f>(151000*0.9072)/(0.739*0.7)</f>
        <v>264811.90798376186</v>
      </c>
      <c r="I2844" s="46">
        <f>0.16*31.1/0.9072</f>
        <v>5.4850088183421519</v>
      </c>
      <c r="T2844" s="53">
        <f>23000*31.1/1000/(0.739*0.7)</f>
        <v>1382.756620916296</v>
      </c>
      <c r="AM2844" s="53">
        <f>((317000-151000)*0.9072)/(0.739*0.7)</f>
        <v>291117.72665764549</v>
      </c>
      <c r="AO2844" s="53">
        <f t="shared" si="489"/>
        <v>0</v>
      </c>
      <c r="AP2844" s="53">
        <f t="shared" si="489"/>
        <v>1452495.6504929443</v>
      </c>
      <c r="AQ2844" s="53">
        <f t="shared" si="489"/>
        <v>0</v>
      </c>
      <c r="AR2844" s="53">
        <f t="shared" si="489"/>
        <v>0</v>
      </c>
      <c r="AS2844" s="53">
        <f t="shared" si="489"/>
        <v>0</v>
      </c>
      <c r="AT2844" s="53">
        <f t="shared" si="489"/>
        <v>0</v>
      </c>
      <c r="AU2844" s="53">
        <f t="shared" si="489"/>
        <v>0</v>
      </c>
      <c r="AV2844" s="53">
        <f t="shared" si="489"/>
        <v>0</v>
      </c>
      <c r="AW2844" s="53">
        <f t="shared" si="489"/>
        <v>0</v>
      </c>
      <c r="AX2844" s="53">
        <f t="shared" si="490"/>
        <v>0</v>
      </c>
      <c r="AY2844" s="41" t="s">
        <v>557</v>
      </c>
    </row>
    <row r="2845" spans="1:51" x14ac:dyDescent="0.2">
      <c r="A2845" s="41" t="s">
        <v>460</v>
      </c>
      <c r="B2845" s="41">
        <v>2013</v>
      </c>
      <c r="C2845" s="41" t="s">
        <v>96</v>
      </c>
      <c r="D2845" s="41" t="s">
        <v>401</v>
      </c>
      <c r="E2845" s="134">
        <v>0</v>
      </c>
      <c r="F2845" s="41" t="s">
        <v>390</v>
      </c>
      <c r="G2845" s="53">
        <f>(20000*0.9072)/(0.739*0.7)</f>
        <v>35074.424898511505</v>
      </c>
      <c r="I2845" s="46">
        <f>0.06*31.1/0.9072</f>
        <v>2.056878306878307</v>
      </c>
      <c r="T2845" s="53">
        <f>4000*31.1/1000/(0.739*0.7)</f>
        <v>240.47941233326893</v>
      </c>
      <c r="AO2845" s="53">
        <f t="shared" si="489"/>
        <v>0</v>
      </c>
      <c r="AP2845" s="53">
        <f t="shared" si="489"/>
        <v>72143.823699980683</v>
      </c>
      <c r="AQ2845" s="53">
        <f t="shared" si="489"/>
        <v>0</v>
      </c>
      <c r="AR2845" s="53">
        <f t="shared" si="489"/>
        <v>0</v>
      </c>
      <c r="AS2845" s="53">
        <f t="shared" si="489"/>
        <v>0</v>
      </c>
      <c r="AT2845" s="53">
        <f t="shared" si="489"/>
        <v>0</v>
      </c>
      <c r="AU2845" s="53">
        <f t="shared" si="489"/>
        <v>0</v>
      </c>
      <c r="AV2845" s="53">
        <f t="shared" si="489"/>
        <v>0</v>
      </c>
      <c r="AW2845" s="53">
        <f t="shared" si="489"/>
        <v>0</v>
      </c>
      <c r="AX2845" s="53">
        <f t="shared" si="490"/>
        <v>0</v>
      </c>
      <c r="AY2845" s="41" t="s">
        <v>557</v>
      </c>
    </row>
    <row r="2846" spans="1:51" x14ac:dyDescent="0.2">
      <c r="A2846" s="41" t="s">
        <v>460</v>
      </c>
      <c r="B2846" s="60" t="s">
        <v>559</v>
      </c>
      <c r="C2846" s="60" t="s">
        <v>96</v>
      </c>
      <c r="D2846" s="60" t="s">
        <v>401</v>
      </c>
      <c r="E2846" s="78">
        <f>AX2846/$G2846</f>
        <v>57.842312918552679</v>
      </c>
      <c r="F2846" s="60" t="s">
        <v>390</v>
      </c>
      <c r="G2846" s="79">
        <f>SUM(G2837:G2845)</f>
        <v>3376545.4758873596</v>
      </c>
      <c r="I2846" s="80">
        <f>AP2846/$G2846</f>
        <v>9.0824100373084811</v>
      </c>
      <c r="T2846" s="79">
        <f>SUM(T2837:T2845)</f>
        <v>29427.317153621771</v>
      </c>
      <c r="AM2846" s="79">
        <f>SUM(AM2837:AM2845)</f>
        <v>25169151.263870094</v>
      </c>
      <c r="AO2846" s="79">
        <f>SUM(AO2837:AO2845)</f>
        <v>0</v>
      </c>
      <c r="AP2846" s="79">
        <f>SUM(AP2837:AP2845)</f>
        <v>30667170.521627899</v>
      </c>
      <c r="AQ2846" s="79">
        <f t="shared" ref="AQ2846:AX2846" si="491">SUM(AQ2837:AQ2845)</f>
        <v>0</v>
      </c>
      <c r="AR2846" s="79">
        <f t="shared" si="491"/>
        <v>0</v>
      </c>
      <c r="AS2846" s="79">
        <f t="shared" si="491"/>
        <v>0</v>
      </c>
      <c r="AT2846" s="79">
        <f t="shared" si="491"/>
        <v>0</v>
      </c>
      <c r="AU2846" s="79">
        <f t="shared" si="491"/>
        <v>0</v>
      </c>
      <c r="AV2846" s="79">
        <f t="shared" si="491"/>
        <v>0</v>
      </c>
      <c r="AW2846" s="79">
        <f t="shared" si="491"/>
        <v>0</v>
      </c>
      <c r="AX2846" s="79">
        <f t="shared" si="491"/>
        <v>195307200.00000003</v>
      </c>
      <c r="AY2846" s="41" t="s">
        <v>557</v>
      </c>
    </row>
    <row r="2847" spans="1:51" x14ac:dyDescent="0.2">
      <c r="A2847" s="41" t="s">
        <v>460</v>
      </c>
      <c r="B2847" s="43" t="s">
        <v>560</v>
      </c>
      <c r="G2847" s="53">
        <f>STDEV(G2837:G2845)</f>
        <v>144505.62049846165</v>
      </c>
      <c r="I2847" s="46">
        <f>STDEV(I2837:I2845)</f>
        <v>4.9415873416104574</v>
      </c>
      <c r="T2847" s="53">
        <f>STDEV(T2837:T2845)</f>
        <v>2026.4192571563672</v>
      </c>
      <c r="AM2847" s="53">
        <f>STDEV(AM2837:AM2845)</f>
        <v>3743851.9960980131</v>
      </c>
      <c r="AY2847" s="41" t="s">
        <v>557</v>
      </c>
    </row>
    <row r="2848" spans="1:51" x14ac:dyDescent="0.2">
      <c r="A2848" s="41" t="s">
        <v>460</v>
      </c>
      <c r="B2848" s="81" t="s">
        <v>249</v>
      </c>
      <c r="G2848" s="41">
        <f>COUNT(G2837:G2845)</f>
        <v>9</v>
      </c>
      <c r="I2848" s="41">
        <f>COUNT(I2837:I2845)</f>
        <v>9</v>
      </c>
      <c r="T2848" s="41">
        <f>COUNT(T2837:T2845)</f>
        <v>9</v>
      </c>
      <c r="AM2848" s="41">
        <f>COUNT(AM2837:AM2845)</f>
        <v>6</v>
      </c>
      <c r="AY2848" s="41" t="s">
        <v>557</v>
      </c>
    </row>
    <row r="2849" spans="1:51" x14ac:dyDescent="0.2">
      <c r="A2849" s="82"/>
      <c r="B2849" s="82"/>
      <c r="C2849" s="82"/>
      <c r="D2849" s="82"/>
      <c r="E2849" s="82"/>
      <c r="F2849" s="82"/>
      <c r="G2849" s="82"/>
      <c r="H2849" s="82"/>
      <c r="I2849" s="82"/>
      <c r="J2849" s="82"/>
      <c r="K2849" s="82"/>
      <c r="L2849" s="82"/>
      <c r="M2849" s="82"/>
      <c r="N2849" s="82"/>
      <c r="O2849" s="82"/>
      <c r="P2849" s="82"/>
      <c r="Q2849" s="82"/>
      <c r="R2849" s="82"/>
      <c r="S2849" s="82"/>
      <c r="T2849" s="82"/>
      <c r="U2849" s="82"/>
      <c r="V2849" s="82"/>
      <c r="W2849" s="82"/>
      <c r="X2849" s="82"/>
      <c r="Y2849" s="82"/>
      <c r="Z2849" s="82"/>
      <c r="AA2849" s="82"/>
      <c r="AB2849" s="82"/>
      <c r="AC2849" s="82"/>
      <c r="AD2849" s="82"/>
      <c r="AE2849" s="82"/>
      <c r="AF2849" s="82"/>
      <c r="AG2849" s="82"/>
      <c r="AH2849" s="82"/>
      <c r="AI2849" s="82"/>
      <c r="AJ2849" s="82"/>
      <c r="AK2849" s="82"/>
      <c r="AL2849" s="82"/>
      <c r="AM2849" s="82"/>
      <c r="AN2849" s="82"/>
      <c r="AO2849" s="82"/>
      <c r="AP2849" s="82"/>
      <c r="AQ2849" s="82"/>
      <c r="AR2849" s="82"/>
      <c r="AS2849" s="82"/>
      <c r="AT2849" s="82"/>
      <c r="AU2849" s="82"/>
      <c r="AV2849" s="82"/>
      <c r="AW2849" s="82"/>
      <c r="AX2849" s="82"/>
      <c r="AY2849" s="41" t="s">
        <v>557</v>
      </c>
    </row>
    <row r="2850" spans="1:51" x14ac:dyDescent="0.2">
      <c r="A2850" s="41" t="s">
        <v>391</v>
      </c>
      <c r="B2850" s="41">
        <v>2005</v>
      </c>
      <c r="C2850" s="41" t="s">
        <v>87</v>
      </c>
      <c r="D2850" s="41" t="s">
        <v>113</v>
      </c>
      <c r="E2850" s="41">
        <v>100</v>
      </c>
      <c r="F2850" s="41" t="s">
        <v>390</v>
      </c>
      <c r="G2850" s="53">
        <f>4513000*0.9072</f>
        <v>4094193.6</v>
      </c>
      <c r="I2850" s="46">
        <f>0.021*31.1/0.9072</f>
        <v>0.71990740740740755</v>
      </c>
      <c r="T2850" s="53">
        <f>56000*31.1/1000</f>
        <v>1741.6</v>
      </c>
      <c r="AM2850" s="53">
        <f>(63514000-4513000)*0.9072</f>
        <v>53525707.200000003</v>
      </c>
      <c r="AO2850" s="53">
        <f t="shared" ref="AO2850:AW2859" si="492">$G2850*H2850</f>
        <v>0</v>
      </c>
      <c r="AP2850" s="53">
        <f t="shared" si="492"/>
        <v>2947440.3000000007</v>
      </c>
      <c r="AQ2850" s="53">
        <f t="shared" si="492"/>
        <v>0</v>
      </c>
      <c r="AR2850" s="53">
        <f t="shared" si="492"/>
        <v>0</v>
      </c>
      <c r="AS2850" s="53">
        <f t="shared" si="492"/>
        <v>0</v>
      </c>
      <c r="AT2850" s="53">
        <f t="shared" si="492"/>
        <v>0</v>
      </c>
      <c r="AU2850" s="53">
        <f t="shared" si="492"/>
        <v>0</v>
      </c>
      <c r="AV2850" s="53">
        <f t="shared" si="492"/>
        <v>0</v>
      </c>
      <c r="AW2850" s="53">
        <f t="shared" si="492"/>
        <v>0</v>
      </c>
      <c r="AX2850" s="53">
        <f t="shared" ref="AX2850:AX2859" si="493">$G2850*E2850</f>
        <v>409419360</v>
      </c>
      <c r="AY2850" s="41" t="s">
        <v>557</v>
      </c>
    </row>
    <row r="2851" spans="1:51" x14ac:dyDescent="0.2">
      <c r="A2851" s="41" t="s">
        <v>391</v>
      </c>
      <c r="B2851" s="41">
        <v>2006</v>
      </c>
      <c r="C2851" s="41" t="s">
        <v>87</v>
      </c>
      <c r="D2851" s="41" t="s">
        <v>113</v>
      </c>
      <c r="E2851" s="41">
        <v>100</v>
      </c>
      <c r="F2851" s="41" t="s">
        <v>390</v>
      </c>
      <c r="G2851" s="53">
        <f>15070000*0.9072</f>
        <v>13671504</v>
      </c>
      <c r="I2851" s="46">
        <f>0.059*31.1/0.9072</f>
        <v>2.0225970017636685</v>
      </c>
      <c r="T2851" s="53">
        <f>511000*31.1/1000</f>
        <v>15892.1</v>
      </c>
      <c r="AM2851" s="53">
        <f>(81996000-15070000)*0.9072</f>
        <v>60715267.200000003</v>
      </c>
      <c r="AO2851" s="53">
        <f t="shared" si="492"/>
        <v>0</v>
      </c>
      <c r="AP2851" s="53">
        <f t="shared" si="492"/>
        <v>27651943</v>
      </c>
      <c r="AQ2851" s="53">
        <f t="shared" si="492"/>
        <v>0</v>
      </c>
      <c r="AR2851" s="53">
        <f t="shared" si="492"/>
        <v>0</v>
      </c>
      <c r="AS2851" s="53">
        <f t="shared" si="492"/>
        <v>0</v>
      </c>
      <c r="AT2851" s="53">
        <f t="shared" si="492"/>
        <v>0</v>
      </c>
      <c r="AU2851" s="53">
        <f t="shared" si="492"/>
        <v>0</v>
      </c>
      <c r="AV2851" s="53">
        <f t="shared" si="492"/>
        <v>0</v>
      </c>
      <c r="AW2851" s="53">
        <f t="shared" si="492"/>
        <v>0</v>
      </c>
      <c r="AX2851" s="53">
        <f t="shared" si="493"/>
        <v>1367150400</v>
      </c>
      <c r="AY2851" s="41" t="s">
        <v>557</v>
      </c>
    </row>
    <row r="2852" spans="1:51" x14ac:dyDescent="0.2">
      <c r="A2852" s="41" t="s">
        <v>391</v>
      </c>
      <c r="B2852" s="41">
        <v>2007</v>
      </c>
      <c r="C2852" s="41" t="s">
        <v>87</v>
      </c>
      <c r="D2852" s="41" t="s">
        <v>113</v>
      </c>
      <c r="E2852" s="41">
        <v>100</v>
      </c>
      <c r="F2852" s="41" t="s">
        <v>390</v>
      </c>
      <c r="G2852" s="53">
        <f>19607000*0.9072</f>
        <v>17787470.399999999</v>
      </c>
      <c r="I2852" s="46">
        <f>0.027*31.1/0.9072</f>
        <v>0.92559523809523814</v>
      </c>
      <c r="T2852" s="53">
        <f>473000*31.1/1000</f>
        <v>14710.3</v>
      </c>
      <c r="AM2852" s="53">
        <f>(76529000-19607000)*0.9072</f>
        <v>51639638.399999999</v>
      </c>
      <c r="AO2852" s="53">
        <f t="shared" si="492"/>
        <v>0</v>
      </c>
      <c r="AP2852" s="53">
        <f t="shared" si="492"/>
        <v>16463997.899999999</v>
      </c>
      <c r="AQ2852" s="53">
        <f t="shared" si="492"/>
        <v>0</v>
      </c>
      <c r="AR2852" s="53">
        <f t="shared" si="492"/>
        <v>0</v>
      </c>
      <c r="AS2852" s="53">
        <f t="shared" si="492"/>
        <v>0</v>
      </c>
      <c r="AT2852" s="53">
        <f t="shared" si="492"/>
        <v>0</v>
      </c>
      <c r="AU2852" s="53">
        <f t="shared" si="492"/>
        <v>0</v>
      </c>
      <c r="AV2852" s="53">
        <f t="shared" si="492"/>
        <v>0</v>
      </c>
      <c r="AW2852" s="53">
        <f t="shared" si="492"/>
        <v>0</v>
      </c>
      <c r="AX2852" s="53">
        <f t="shared" si="493"/>
        <v>1778747039.9999998</v>
      </c>
      <c r="AY2852" s="41" t="s">
        <v>557</v>
      </c>
    </row>
    <row r="2853" spans="1:51" x14ac:dyDescent="0.2">
      <c r="A2853" s="41" t="s">
        <v>391</v>
      </c>
      <c r="B2853" s="41">
        <v>2008</v>
      </c>
      <c r="C2853" s="41" t="s">
        <v>87</v>
      </c>
      <c r="D2853" s="41" t="s">
        <v>113</v>
      </c>
      <c r="E2853" s="41">
        <v>100</v>
      </c>
      <c r="F2853" s="41" t="s">
        <v>390</v>
      </c>
      <c r="G2853" s="53">
        <f>23408000*0.9072</f>
        <v>21235737.600000001</v>
      </c>
      <c r="I2853" s="46">
        <f>0.025*31.1/0.9072</f>
        <v>0.85703262786596124</v>
      </c>
      <c r="T2853" s="53">
        <f>536000*31.1/1000</f>
        <v>16669.599999999999</v>
      </c>
      <c r="AM2853" s="53">
        <f>(93544000-23408000)*0.9072</f>
        <v>63627379.200000003</v>
      </c>
      <c r="AO2853" s="53">
        <f t="shared" si="492"/>
        <v>0</v>
      </c>
      <c r="AP2853" s="53">
        <f t="shared" si="492"/>
        <v>18199720.000000004</v>
      </c>
      <c r="AQ2853" s="53">
        <f t="shared" si="492"/>
        <v>0</v>
      </c>
      <c r="AR2853" s="53">
        <f t="shared" si="492"/>
        <v>0</v>
      </c>
      <c r="AS2853" s="53">
        <f t="shared" si="492"/>
        <v>0</v>
      </c>
      <c r="AT2853" s="53">
        <f t="shared" si="492"/>
        <v>0</v>
      </c>
      <c r="AU2853" s="53">
        <f t="shared" si="492"/>
        <v>0</v>
      </c>
      <c r="AV2853" s="53">
        <f t="shared" si="492"/>
        <v>0</v>
      </c>
      <c r="AW2853" s="53">
        <f t="shared" si="492"/>
        <v>0</v>
      </c>
      <c r="AX2853" s="53">
        <f t="shared" si="493"/>
        <v>2123573760.0000002</v>
      </c>
      <c r="AY2853" s="41" t="s">
        <v>557</v>
      </c>
    </row>
    <row r="2854" spans="1:51" x14ac:dyDescent="0.2">
      <c r="A2854" s="41" t="s">
        <v>391</v>
      </c>
      <c r="B2854" s="41">
        <v>2009</v>
      </c>
      <c r="C2854" s="41" t="s">
        <v>87</v>
      </c>
      <c r="D2854" s="41" t="s">
        <v>113</v>
      </c>
      <c r="E2854" s="41">
        <v>100</v>
      </c>
      <c r="F2854" s="41" t="s">
        <v>390</v>
      </c>
      <c r="G2854" s="53">
        <f>31127000*0.9072</f>
        <v>28238414.399999999</v>
      </c>
      <c r="I2854" s="46">
        <f>0.034*31.1/0.9072</f>
        <v>1.1655643738977073</v>
      </c>
      <c r="T2854" s="53">
        <f>611000*31.1/1000</f>
        <v>19002.099999999999</v>
      </c>
      <c r="AM2854" s="53">
        <f>(99793000-31127000)*0.9072</f>
        <v>62293795.200000003</v>
      </c>
      <c r="AO2854" s="53">
        <f t="shared" si="492"/>
        <v>0</v>
      </c>
      <c r="AP2854" s="53">
        <f t="shared" si="492"/>
        <v>32913689.800000001</v>
      </c>
      <c r="AQ2854" s="53">
        <f t="shared" si="492"/>
        <v>0</v>
      </c>
      <c r="AR2854" s="53">
        <f t="shared" si="492"/>
        <v>0</v>
      </c>
      <c r="AS2854" s="53">
        <f t="shared" si="492"/>
        <v>0</v>
      </c>
      <c r="AT2854" s="53">
        <f t="shared" si="492"/>
        <v>0</v>
      </c>
      <c r="AU2854" s="53">
        <f t="shared" si="492"/>
        <v>0</v>
      </c>
      <c r="AV2854" s="53">
        <f t="shared" si="492"/>
        <v>0</v>
      </c>
      <c r="AW2854" s="53">
        <f t="shared" si="492"/>
        <v>0</v>
      </c>
      <c r="AX2854" s="53">
        <f t="shared" si="493"/>
        <v>2823841440</v>
      </c>
      <c r="AY2854" s="41" t="s">
        <v>557</v>
      </c>
    </row>
    <row r="2855" spans="1:51" x14ac:dyDescent="0.2">
      <c r="A2855" s="41" t="s">
        <v>391</v>
      </c>
      <c r="B2855" s="41">
        <v>2010</v>
      </c>
      <c r="C2855" s="41" t="s">
        <v>87</v>
      </c>
      <c r="D2855" s="41" t="s">
        <v>113</v>
      </c>
      <c r="E2855" s="41">
        <v>100</v>
      </c>
      <c r="F2855" s="41" t="s">
        <v>390</v>
      </c>
      <c r="G2855" s="53">
        <f>33837000*0.9072</f>
        <v>30696926.399999999</v>
      </c>
      <c r="I2855" s="46">
        <f>0.044*31.1/0.9072</f>
        <v>1.5083774250440918</v>
      </c>
      <c r="T2855" s="53">
        <f>1121000*31.1/1000</f>
        <v>34863.1</v>
      </c>
      <c r="AM2855" s="53">
        <f>(79995000-33837000)*0.9072</f>
        <v>41874537.600000001</v>
      </c>
      <c r="AO2855" s="53">
        <f t="shared" si="492"/>
        <v>0</v>
      </c>
      <c r="AP2855" s="53">
        <f t="shared" si="492"/>
        <v>46302550.799999997</v>
      </c>
      <c r="AQ2855" s="53">
        <f t="shared" si="492"/>
        <v>0</v>
      </c>
      <c r="AR2855" s="53">
        <f t="shared" si="492"/>
        <v>0</v>
      </c>
      <c r="AS2855" s="53">
        <f t="shared" si="492"/>
        <v>0</v>
      </c>
      <c r="AT2855" s="53">
        <f t="shared" si="492"/>
        <v>0</v>
      </c>
      <c r="AU2855" s="53">
        <f t="shared" si="492"/>
        <v>0</v>
      </c>
      <c r="AV2855" s="53">
        <f t="shared" si="492"/>
        <v>0</v>
      </c>
      <c r="AW2855" s="53">
        <f t="shared" si="492"/>
        <v>0</v>
      </c>
      <c r="AX2855" s="53">
        <f t="shared" si="493"/>
        <v>3069692640</v>
      </c>
      <c r="AY2855" s="41" t="s">
        <v>557</v>
      </c>
    </row>
    <row r="2856" spans="1:51" x14ac:dyDescent="0.2">
      <c r="A2856" s="41" t="s">
        <v>391</v>
      </c>
      <c r="B2856" s="41">
        <v>2011</v>
      </c>
      <c r="C2856" s="41" t="s">
        <v>87</v>
      </c>
      <c r="D2856" s="41" t="s">
        <v>113</v>
      </c>
      <c r="E2856" s="41">
        <v>100</v>
      </c>
      <c r="F2856" s="41" t="s">
        <v>390</v>
      </c>
      <c r="G2856" s="53">
        <f>34937000*0.9072</f>
        <v>31694846.399999999</v>
      </c>
      <c r="I2856" s="46">
        <f>0.037*31.1/0.9072</f>
        <v>1.2684082892416226</v>
      </c>
      <c r="T2856" s="53">
        <f>957000*31.1/1000</f>
        <v>29762.7</v>
      </c>
      <c r="AM2856" s="53">
        <f>(97138000-34937000)*0.9072</f>
        <v>56428747.200000003</v>
      </c>
      <c r="AO2856" s="53">
        <f t="shared" si="492"/>
        <v>0</v>
      </c>
      <c r="AP2856" s="53">
        <f t="shared" si="492"/>
        <v>40202005.899999999</v>
      </c>
      <c r="AQ2856" s="53">
        <f t="shared" si="492"/>
        <v>0</v>
      </c>
      <c r="AR2856" s="53">
        <f t="shared" si="492"/>
        <v>0</v>
      </c>
      <c r="AS2856" s="53">
        <f t="shared" si="492"/>
        <v>0</v>
      </c>
      <c r="AT2856" s="53">
        <f t="shared" si="492"/>
        <v>0</v>
      </c>
      <c r="AU2856" s="53">
        <f t="shared" si="492"/>
        <v>0</v>
      </c>
      <c r="AV2856" s="53">
        <f t="shared" si="492"/>
        <v>0</v>
      </c>
      <c r="AW2856" s="53">
        <f t="shared" si="492"/>
        <v>0</v>
      </c>
      <c r="AX2856" s="53">
        <f t="shared" si="493"/>
        <v>3169484640</v>
      </c>
      <c r="AY2856" s="41" t="s">
        <v>557</v>
      </c>
    </row>
    <row r="2857" spans="1:51" x14ac:dyDescent="0.2">
      <c r="A2857" s="41" t="s">
        <v>391</v>
      </c>
      <c r="B2857" s="41">
        <v>2012</v>
      </c>
      <c r="C2857" s="41" t="s">
        <v>87</v>
      </c>
      <c r="D2857" s="41" t="s">
        <v>113</v>
      </c>
      <c r="E2857" s="41">
        <v>100</v>
      </c>
      <c r="F2857" s="41" t="s">
        <v>390</v>
      </c>
      <c r="G2857" s="53">
        <f>30528000*0.9072</f>
        <v>27695001.600000001</v>
      </c>
      <c r="I2857" s="46">
        <f>0.032*31.1/0.9072</f>
        <v>1.0970017636684304</v>
      </c>
      <c r="T2857" s="53">
        <f>766000*31.1/1000</f>
        <v>23822.6</v>
      </c>
      <c r="AM2857" s="53">
        <f>(92475000-30528000)*0.9072</f>
        <v>56198318.399999999</v>
      </c>
      <c r="AO2857" s="53">
        <f t="shared" si="492"/>
        <v>0</v>
      </c>
      <c r="AP2857" s="53">
        <f t="shared" si="492"/>
        <v>30381465.600000001</v>
      </c>
      <c r="AQ2857" s="53">
        <f t="shared" si="492"/>
        <v>0</v>
      </c>
      <c r="AR2857" s="53">
        <f t="shared" si="492"/>
        <v>0</v>
      </c>
      <c r="AS2857" s="53">
        <f t="shared" si="492"/>
        <v>0</v>
      </c>
      <c r="AT2857" s="53">
        <f t="shared" si="492"/>
        <v>0</v>
      </c>
      <c r="AU2857" s="53">
        <f t="shared" si="492"/>
        <v>0</v>
      </c>
      <c r="AV2857" s="53">
        <f t="shared" si="492"/>
        <v>0</v>
      </c>
      <c r="AW2857" s="53">
        <f t="shared" si="492"/>
        <v>0</v>
      </c>
      <c r="AX2857" s="53">
        <f t="shared" si="493"/>
        <v>2769500160</v>
      </c>
      <c r="AY2857" s="41" t="s">
        <v>557</v>
      </c>
    </row>
    <row r="2858" spans="1:51" x14ac:dyDescent="0.2">
      <c r="A2858" s="41" t="s">
        <v>391</v>
      </c>
      <c r="B2858" s="41">
        <v>2013</v>
      </c>
      <c r="C2858" s="41" t="s">
        <v>87</v>
      </c>
      <c r="D2858" s="41" t="s">
        <v>113</v>
      </c>
      <c r="E2858" s="41">
        <v>100</v>
      </c>
      <c r="F2858" s="41" t="s">
        <v>390</v>
      </c>
      <c r="G2858" s="53">
        <v>29086000</v>
      </c>
      <c r="I2858" s="41">
        <v>0.94</v>
      </c>
      <c r="T2858" s="53">
        <f>641000*31.1/1000</f>
        <v>19935.099999999999</v>
      </c>
      <c r="AM2858" s="53">
        <f>78592000-29086000</f>
        <v>49506000</v>
      </c>
      <c r="AO2858" s="53">
        <f t="shared" si="492"/>
        <v>0</v>
      </c>
      <c r="AP2858" s="53">
        <f t="shared" si="492"/>
        <v>27340840</v>
      </c>
      <c r="AQ2858" s="53">
        <f t="shared" si="492"/>
        <v>0</v>
      </c>
      <c r="AR2858" s="53">
        <f t="shared" si="492"/>
        <v>0</v>
      </c>
      <c r="AS2858" s="53">
        <f t="shared" si="492"/>
        <v>0</v>
      </c>
      <c r="AT2858" s="53">
        <f t="shared" si="492"/>
        <v>0</v>
      </c>
      <c r="AU2858" s="53">
        <f t="shared" si="492"/>
        <v>0</v>
      </c>
      <c r="AV2858" s="53">
        <f t="shared" si="492"/>
        <v>0</v>
      </c>
      <c r="AW2858" s="53">
        <f t="shared" si="492"/>
        <v>0</v>
      </c>
      <c r="AX2858" s="53">
        <f t="shared" si="493"/>
        <v>2908600000</v>
      </c>
      <c r="AY2858" s="41" t="s">
        <v>557</v>
      </c>
    </row>
    <row r="2859" spans="1:51" x14ac:dyDescent="0.2">
      <c r="A2859" s="41" t="s">
        <v>391</v>
      </c>
      <c r="B2859" s="41">
        <v>2014</v>
      </c>
      <c r="C2859" s="41" t="s">
        <v>87</v>
      </c>
      <c r="D2859" s="41" t="s">
        <v>113</v>
      </c>
      <c r="E2859" s="41">
        <v>100</v>
      </c>
      <c r="F2859" s="41" t="s">
        <v>390</v>
      </c>
      <c r="G2859" s="53">
        <v>29500000</v>
      </c>
      <c r="I2859" s="46">
        <v>1</v>
      </c>
      <c r="T2859" s="53">
        <f>722000*31.1/1000</f>
        <v>22454.2</v>
      </c>
      <c r="AM2859" s="53">
        <f>67686000-29500000</f>
        <v>38186000</v>
      </c>
      <c r="AO2859" s="53">
        <f t="shared" si="492"/>
        <v>0</v>
      </c>
      <c r="AP2859" s="53">
        <f t="shared" si="492"/>
        <v>29500000</v>
      </c>
      <c r="AQ2859" s="53">
        <f t="shared" si="492"/>
        <v>0</v>
      </c>
      <c r="AR2859" s="53">
        <f t="shared" si="492"/>
        <v>0</v>
      </c>
      <c r="AS2859" s="53">
        <f t="shared" si="492"/>
        <v>0</v>
      </c>
      <c r="AT2859" s="53">
        <f t="shared" si="492"/>
        <v>0</v>
      </c>
      <c r="AU2859" s="53">
        <f t="shared" si="492"/>
        <v>0</v>
      </c>
      <c r="AV2859" s="53">
        <f t="shared" si="492"/>
        <v>0</v>
      </c>
      <c r="AW2859" s="53">
        <f t="shared" si="492"/>
        <v>0</v>
      </c>
      <c r="AX2859" s="53">
        <f t="shared" si="493"/>
        <v>2950000000</v>
      </c>
      <c r="AY2859" s="41" t="s">
        <v>557</v>
      </c>
    </row>
    <row r="2860" spans="1:51" x14ac:dyDescent="0.2">
      <c r="A2860" s="41" t="s">
        <v>391</v>
      </c>
      <c r="B2860" s="60" t="s">
        <v>559</v>
      </c>
      <c r="C2860" s="60" t="s">
        <v>87</v>
      </c>
      <c r="D2860" s="60" t="s">
        <v>113</v>
      </c>
      <c r="E2860" s="107">
        <v>100</v>
      </c>
      <c r="F2860" s="60" t="s">
        <v>390</v>
      </c>
      <c r="G2860" s="79">
        <f>SUM(G2850:G2859)</f>
        <v>233700094.40000001</v>
      </c>
      <c r="I2860" s="80">
        <f>AP2860/$G2860</f>
        <v>1.1634725865134268</v>
      </c>
      <c r="T2860" s="79">
        <f>SUM(T2850:T2859)</f>
        <v>198853.40000000002</v>
      </c>
      <c r="AM2860" s="79">
        <f>SUM(AM2850:AM2859)</f>
        <v>533995390.39999998</v>
      </c>
      <c r="AO2860" s="79">
        <f t="shared" ref="AO2860:AX2860" si="494">SUM(AO2850:AO2859)</f>
        <v>0</v>
      </c>
      <c r="AP2860" s="79">
        <f t="shared" si="494"/>
        <v>271903653.30000001</v>
      </c>
      <c r="AQ2860" s="79">
        <f t="shared" si="494"/>
        <v>0</v>
      </c>
      <c r="AR2860" s="79">
        <f t="shared" si="494"/>
        <v>0</v>
      </c>
      <c r="AS2860" s="79">
        <f t="shared" si="494"/>
        <v>0</v>
      </c>
      <c r="AT2860" s="79">
        <f t="shared" si="494"/>
        <v>0</v>
      </c>
      <c r="AU2860" s="79">
        <f t="shared" si="494"/>
        <v>0</v>
      </c>
      <c r="AV2860" s="79">
        <f t="shared" si="494"/>
        <v>0</v>
      </c>
      <c r="AW2860" s="79">
        <f t="shared" si="494"/>
        <v>0</v>
      </c>
      <c r="AX2860" s="79">
        <f t="shared" si="494"/>
        <v>23370009440</v>
      </c>
      <c r="AY2860" s="41" t="s">
        <v>557</v>
      </c>
    </row>
    <row r="2861" spans="1:51" x14ac:dyDescent="0.2">
      <c r="A2861" s="41" t="s">
        <v>391</v>
      </c>
      <c r="B2861" s="43" t="s">
        <v>560</v>
      </c>
      <c r="G2861" s="53">
        <f>STDEV(G2850:G2859)</f>
        <v>9049130.230906019</v>
      </c>
      <c r="I2861" s="46">
        <f>STDEV(I2850:I2859)</f>
        <v>0.37928243621381574</v>
      </c>
      <c r="T2861" s="53">
        <f>STDEV(T2850:T2859)</f>
        <v>8987.9083698538416</v>
      </c>
      <c r="AM2861" s="53">
        <f>STDEV(AM2850:AM2859)</f>
        <v>8411605.056961352</v>
      </c>
      <c r="AY2861" s="41" t="s">
        <v>557</v>
      </c>
    </row>
    <row r="2862" spans="1:51" x14ac:dyDescent="0.2">
      <c r="A2862" s="41" t="s">
        <v>391</v>
      </c>
      <c r="B2862" s="81" t="s">
        <v>249</v>
      </c>
      <c r="G2862" s="41">
        <f>COUNT(G2850:G2859)</f>
        <v>10</v>
      </c>
      <c r="I2862" s="41">
        <f>COUNT(I2850:I2859)</f>
        <v>10</v>
      </c>
      <c r="T2862" s="41">
        <f>COUNT(T2850:T2859)</f>
        <v>10</v>
      </c>
      <c r="AM2862" s="41">
        <f>COUNT(AM2850:AM2859)</f>
        <v>10</v>
      </c>
      <c r="AY2862" s="41" t="s">
        <v>557</v>
      </c>
    </row>
    <row r="2863" spans="1:51" x14ac:dyDescent="0.2">
      <c r="A2863" s="82"/>
      <c r="B2863" s="82"/>
      <c r="C2863" s="82"/>
      <c r="D2863" s="82"/>
      <c r="E2863" s="82"/>
      <c r="F2863" s="82"/>
      <c r="G2863" s="82"/>
      <c r="H2863" s="82"/>
      <c r="I2863" s="82"/>
      <c r="J2863" s="82"/>
      <c r="K2863" s="82"/>
      <c r="L2863" s="82"/>
      <c r="M2863" s="82"/>
      <c r="N2863" s="82"/>
      <c r="O2863" s="82"/>
      <c r="P2863" s="82"/>
      <c r="Q2863" s="82"/>
      <c r="R2863" s="82"/>
      <c r="S2863" s="82"/>
      <c r="T2863" s="82"/>
      <c r="U2863" s="82"/>
      <c r="V2863" s="82"/>
      <c r="W2863" s="82"/>
      <c r="X2863" s="82"/>
      <c r="Y2863" s="82"/>
      <c r="Z2863" s="82"/>
      <c r="AA2863" s="82"/>
      <c r="AB2863" s="82"/>
      <c r="AC2863" s="82"/>
      <c r="AD2863" s="82"/>
      <c r="AE2863" s="82"/>
      <c r="AF2863" s="82"/>
      <c r="AG2863" s="82"/>
      <c r="AH2863" s="82"/>
      <c r="AI2863" s="82"/>
      <c r="AJ2863" s="82"/>
      <c r="AK2863" s="82"/>
      <c r="AL2863" s="82"/>
      <c r="AM2863" s="82"/>
      <c r="AN2863" s="82"/>
      <c r="AO2863" s="82"/>
      <c r="AP2863" s="82"/>
      <c r="AQ2863" s="82"/>
      <c r="AR2863" s="82"/>
      <c r="AS2863" s="82"/>
      <c r="AT2863" s="82"/>
      <c r="AU2863" s="82"/>
      <c r="AV2863" s="82"/>
      <c r="AW2863" s="82"/>
      <c r="AX2863" s="82"/>
      <c r="AY2863" s="41" t="s">
        <v>557</v>
      </c>
    </row>
    <row r="2864" spans="1:51" x14ac:dyDescent="0.2">
      <c r="A2864" s="41" t="s">
        <v>186</v>
      </c>
      <c r="B2864" s="41">
        <v>2014</v>
      </c>
      <c r="C2864" s="41" t="s">
        <v>87</v>
      </c>
      <c r="D2864" s="41" t="s">
        <v>113</v>
      </c>
      <c r="E2864" s="41">
        <v>100</v>
      </c>
      <c r="F2864" s="41" t="s">
        <v>9</v>
      </c>
      <c r="AI2864" s="53">
        <v>139587</v>
      </c>
      <c r="AJ2864" s="41">
        <v>2.42</v>
      </c>
      <c r="AL2864" s="53">
        <v>1416</v>
      </c>
      <c r="AM2864" s="76">
        <f>0.9*AI2864</f>
        <v>125628.3</v>
      </c>
      <c r="AO2864" s="53">
        <f>$AI2864*AJ2864</f>
        <v>337800.54</v>
      </c>
      <c r="AX2864" s="53">
        <f>$AI2864*E2864</f>
        <v>13958700</v>
      </c>
      <c r="AY2864" s="41" t="s">
        <v>557</v>
      </c>
    </row>
    <row r="2865" spans="1:51" x14ac:dyDescent="0.2">
      <c r="A2865" s="41" t="s">
        <v>186</v>
      </c>
      <c r="B2865" s="41">
        <v>2015</v>
      </c>
      <c r="C2865" s="41" t="s">
        <v>87</v>
      </c>
      <c r="D2865" s="41" t="s">
        <v>113</v>
      </c>
      <c r="E2865" s="41">
        <v>100</v>
      </c>
      <c r="F2865" s="41" t="s">
        <v>9</v>
      </c>
      <c r="AI2865" s="53">
        <v>184557</v>
      </c>
      <c r="AJ2865" s="41">
        <v>1.83</v>
      </c>
      <c r="AL2865" s="53">
        <v>1226</v>
      </c>
      <c r="AM2865" s="76">
        <f>0.9*AI2865</f>
        <v>166101.30000000002</v>
      </c>
      <c r="AO2865" s="53">
        <f>$AI2865*AJ2865</f>
        <v>337739.31</v>
      </c>
      <c r="AX2865" s="53">
        <f>$AI2865*E2865</f>
        <v>18455700</v>
      </c>
      <c r="AY2865" s="41" t="s">
        <v>557</v>
      </c>
    </row>
    <row r="2866" spans="1:51" x14ac:dyDescent="0.2">
      <c r="A2866" s="41" t="s">
        <v>186</v>
      </c>
      <c r="B2866" s="41">
        <v>2016</v>
      </c>
      <c r="C2866" s="41" t="s">
        <v>87</v>
      </c>
      <c r="D2866" s="41" t="s">
        <v>113</v>
      </c>
      <c r="E2866" s="41">
        <v>100</v>
      </c>
      <c r="F2866" s="41" t="s">
        <v>9</v>
      </c>
      <c r="AI2866" s="53">
        <v>2152574</v>
      </c>
      <c r="AJ2866" s="41">
        <v>2.19</v>
      </c>
      <c r="AL2866" s="53">
        <v>11760</v>
      </c>
      <c r="AM2866" s="76">
        <f>0.9*AI2866</f>
        <v>1937316.6</v>
      </c>
      <c r="AO2866" s="53">
        <f>$AI2866*AJ2866</f>
        <v>4714137.0599999996</v>
      </c>
      <c r="AX2866" s="53">
        <f>$AI2866*E2866</f>
        <v>215257400</v>
      </c>
      <c r="AY2866" s="41" t="s">
        <v>557</v>
      </c>
    </row>
    <row r="2867" spans="1:51" x14ac:dyDescent="0.2">
      <c r="A2867" s="84"/>
      <c r="B2867" s="85" t="s">
        <v>706</v>
      </c>
      <c r="C2867" s="60" t="s">
        <v>87</v>
      </c>
      <c r="D2867" s="60" t="s">
        <v>113</v>
      </c>
      <c r="E2867" s="107">
        <v>100</v>
      </c>
      <c r="F2867" s="60" t="s">
        <v>9</v>
      </c>
      <c r="AI2867" s="79">
        <f>SUM(AI2864:AI2865)+0.5*AI2866</f>
        <v>1400431</v>
      </c>
      <c r="AJ2867" s="80">
        <f>AO2867/AI2867</f>
        <v>2.1654821836991611</v>
      </c>
      <c r="AL2867" s="79">
        <f>SUM(AL2864:AL2865)+0.5*AL2866</f>
        <v>8522</v>
      </c>
      <c r="AM2867" s="79">
        <f>SUM(AM2864:AM2865)+0.5*AM2866</f>
        <v>1260387.9000000001</v>
      </c>
      <c r="AO2867" s="79">
        <f>SUM(AO2864:AO2865)+0.5*AO2866</f>
        <v>3032608.38</v>
      </c>
      <c r="AX2867" s="79">
        <f>SUM(AX2864:AX2865)+0.5*AX2866</f>
        <v>140043100</v>
      </c>
      <c r="AY2867" s="41" t="s">
        <v>557</v>
      </c>
    </row>
    <row r="2868" spans="1:51" x14ac:dyDescent="0.2">
      <c r="A2868" s="41" t="s">
        <v>186</v>
      </c>
      <c r="AI2868" s="53">
        <f>STDEV(AI2864:AI2866)</f>
        <v>1149436.8095838646</v>
      </c>
      <c r="AJ2868" s="46">
        <f>STDEV(AJ2864:AJ2866)</f>
        <v>0.29737742572921599</v>
      </c>
      <c r="AL2868" s="53">
        <f>STDEV(AL2864:AL2866)</f>
        <v>6027.7081327261803</v>
      </c>
      <c r="AM2868" s="53">
        <f>STDEV(AM2864:AM2866)</f>
        <v>1034493.1286254782</v>
      </c>
      <c r="AY2868" s="41" t="s">
        <v>557</v>
      </c>
    </row>
    <row r="2869" spans="1:51" x14ac:dyDescent="0.2">
      <c r="A2869" s="41" t="s">
        <v>186</v>
      </c>
      <c r="AI2869" s="41">
        <f>COUNT(AI2864:AI2866)</f>
        <v>3</v>
      </c>
      <c r="AJ2869" s="59">
        <f>COUNT(AJ2864:AJ2866)</f>
        <v>3</v>
      </c>
      <c r="AL2869" s="41">
        <f>COUNT(AL2864:AL2866)</f>
        <v>3</v>
      </c>
      <c r="AM2869" s="41">
        <f>COUNT(AM2864:AM2866)</f>
        <v>3</v>
      </c>
      <c r="AY2869" s="41" t="s">
        <v>557</v>
      </c>
    </row>
    <row r="2870" spans="1:51" x14ac:dyDescent="0.2">
      <c r="A2870" s="82"/>
      <c r="B2870" s="82"/>
      <c r="C2870" s="82"/>
      <c r="D2870" s="82"/>
      <c r="E2870" s="82"/>
      <c r="F2870" s="82"/>
      <c r="G2870" s="82"/>
      <c r="H2870" s="82"/>
      <c r="I2870" s="82"/>
      <c r="J2870" s="82"/>
      <c r="K2870" s="82"/>
      <c r="L2870" s="82"/>
      <c r="M2870" s="82"/>
      <c r="N2870" s="82"/>
      <c r="O2870" s="82"/>
      <c r="P2870" s="82"/>
      <c r="Q2870" s="82"/>
      <c r="R2870" s="82"/>
      <c r="S2870" s="82"/>
      <c r="T2870" s="82"/>
      <c r="U2870" s="82"/>
      <c r="V2870" s="82"/>
      <c r="W2870" s="82"/>
      <c r="X2870" s="82"/>
      <c r="Y2870" s="82"/>
      <c r="Z2870" s="82"/>
      <c r="AA2870" s="82"/>
      <c r="AB2870" s="82"/>
      <c r="AC2870" s="82"/>
      <c r="AD2870" s="82"/>
      <c r="AE2870" s="82"/>
      <c r="AF2870" s="82"/>
      <c r="AG2870" s="82"/>
      <c r="AH2870" s="82"/>
      <c r="AI2870" s="82"/>
      <c r="AJ2870" s="82"/>
      <c r="AK2870" s="82"/>
      <c r="AL2870" s="82"/>
      <c r="AM2870" s="82"/>
      <c r="AN2870" s="82"/>
      <c r="AO2870" s="82"/>
      <c r="AP2870" s="82"/>
      <c r="AQ2870" s="82"/>
      <c r="AR2870" s="82"/>
      <c r="AS2870" s="82"/>
      <c r="AT2870" s="82"/>
      <c r="AU2870" s="82"/>
      <c r="AV2870" s="82"/>
      <c r="AW2870" s="82"/>
      <c r="AX2870" s="82"/>
      <c r="AY2870" s="41" t="s">
        <v>557</v>
      </c>
    </row>
    <row r="2871" spans="1:51" x14ac:dyDescent="0.2">
      <c r="A2871" s="41" t="s">
        <v>149</v>
      </c>
      <c r="B2871" s="41">
        <v>1995</v>
      </c>
      <c r="C2871" s="41" t="s">
        <v>87</v>
      </c>
      <c r="D2871" s="41" t="s">
        <v>113</v>
      </c>
      <c r="E2871" s="41">
        <v>100</v>
      </c>
      <c r="F2871" s="41" t="s">
        <v>9</v>
      </c>
      <c r="AI2871" s="53">
        <v>2350000</v>
      </c>
      <c r="AJ2871" s="41">
        <v>0.93</v>
      </c>
      <c r="AL2871" s="53">
        <v>19914</v>
      </c>
      <c r="AM2871" s="53">
        <v>7050000</v>
      </c>
      <c r="AO2871" s="53">
        <f t="shared" ref="AO2871:AO2891" si="495">$AI2871*AJ2871</f>
        <v>2185500</v>
      </c>
      <c r="AX2871" s="53">
        <f>$AI2871*E2871</f>
        <v>235000000</v>
      </c>
      <c r="AY2871" s="41" t="s">
        <v>557</v>
      </c>
    </row>
    <row r="2872" spans="1:51" x14ac:dyDescent="0.2">
      <c r="A2872" s="41" t="s">
        <v>149</v>
      </c>
      <c r="B2872" s="41">
        <v>1996</v>
      </c>
      <c r="C2872" s="41" t="s">
        <v>87</v>
      </c>
      <c r="D2872" s="41" t="s">
        <v>113</v>
      </c>
      <c r="E2872" s="41">
        <v>100</v>
      </c>
      <c r="F2872" s="41" t="s">
        <v>9</v>
      </c>
      <c r="AI2872" s="53">
        <v>13128000</v>
      </c>
      <c r="AJ2872" s="41">
        <v>1.04</v>
      </c>
      <c r="AL2872" s="53">
        <v>77514</v>
      </c>
      <c r="AM2872" s="53">
        <v>39384000</v>
      </c>
      <c r="AO2872" s="53">
        <f t="shared" si="495"/>
        <v>13653120</v>
      </c>
      <c r="AX2872" s="53">
        <f t="shared" ref="AX2872:AX2893" si="496">$AI2872*E2872</f>
        <v>1312800000</v>
      </c>
      <c r="AY2872" s="41" t="s">
        <v>557</v>
      </c>
    </row>
    <row r="2873" spans="1:51" x14ac:dyDescent="0.2">
      <c r="A2873" s="41" t="s">
        <v>149</v>
      </c>
      <c r="B2873" s="41">
        <v>1997</v>
      </c>
      <c r="C2873" s="41" t="s">
        <v>87</v>
      </c>
      <c r="D2873" s="41" t="s">
        <v>113</v>
      </c>
      <c r="E2873" s="41">
        <v>100</v>
      </c>
      <c r="F2873" s="41" t="s">
        <v>9</v>
      </c>
      <c r="AI2873" s="53">
        <v>12692000</v>
      </c>
      <c r="AJ2873" s="41">
        <v>1.3</v>
      </c>
      <c r="AL2873" s="53">
        <v>96218</v>
      </c>
      <c r="AM2873" s="53">
        <v>38076000</v>
      </c>
      <c r="AO2873" s="53">
        <f t="shared" si="495"/>
        <v>16499600</v>
      </c>
      <c r="AX2873" s="53">
        <f t="shared" si="496"/>
        <v>1269200000</v>
      </c>
      <c r="AY2873" s="41" t="s">
        <v>557</v>
      </c>
    </row>
    <row r="2874" spans="1:51" x14ac:dyDescent="0.2">
      <c r="A2874" s="41" t="s">
        <v>149</v>
      </c>
      <c r="B2874" s="41">
        <v>1998</v>
      </c>
      <c r="C2874" s="41" t="s">
        <v>87</v>
      </c>
      <c r="D2874" s="41" t="s">
        <v>113</v>
      </c>
      <c r="E2874" s="41">
        <v>100</v>
      </c>
      <c r="F2874" s="41" t="s">
        <v>9</v>
      </c>
      <c r="AI2874" s="53">
        <v>13536000</v>
      </c>
      <c r="AJ2874" s="41">
        <v>1.6</v>
      </c>
      <c r="AL2874" s="53">
        <v>135204</v>
      </c>
      <c r="AM2874" s="53">
        <v>40608000</v>
      </c>
      <c r="AO2874" s="53">
        <f t="shared" si="495"/>
        <v>21657600</v>
      </c>
      <c r="AX2874" s="53">
        <f t="shared" si="496"/>
        <v>1353600000</v>
      </c>
      <c r="AY2874" s="41" t="s">
        <v>557</v>
      </c>
    </row>
    <row r="2875" spans="1:51" x14ac:dyDescent="0.2">
      <c r="A2875" s="41" t="s">
        <v>149</v>
      </c>
      <c r="B2875" s="41">
        <v>1999</v>
      </c>
      <c r="C2875" s="41" t="s">
        <v>87</v>
      </c>
      <c r="D2875" s="41" t="s">
        <v>113</v>
      </c>
      <c r="E2875" s="41">
        <v>100</v>
      </c>
      <c r="F2875" s="41" t="s">
        <v>9</v>
      </c>
      <c r="AI2875" s="53">
        <v>15708000</v>
      </c>
      <c r="AJ2875" s="41">
        <v>1.3</v>
      </c>
      <c r="AL2875" s="53">
        <v>157782</v>
      </c>
      <c r="AM2875" s="53">
        <v>47124000</v>
      </c>
      <c r="AO2875" s="53">
        <f t="shared" si="495"/>
        <v>20420400</v>
      </c>
      <c r="AX2875" s="53">
        <f t="shared" si="496"/>
        <v>1570800000</v>
      </c>
      <c r="AY2875" s="41" t="s">
        <v>557</v>
      </c>
    </row>
    <row r="2876" spans="1:51" x14ac:dyDescent="0.2">
      <c r="A2876" s="41" t="s">
        <v>149</v>
      </c>
      <c r="B2876" s="41">
        <v>2000</v>
      </c>
      <c r="C2876" s="41" t="s">
        <v>87</v>
      </c>
      <c r="D2876" s="41" t="s">
        <v>113</v>
      </c>
      <c r="E2876" s="41">
        <v>100</v>
      </c>
      <c r="F2876" s="41" t="s">
        <v>9</v>
      </c>
      <c r="AI2876" s="53">
        <v>16458000</v>
      </c>
      <c r="AJ2876" s="41">
        <v>1.2</v>
      </c>
      <c r="AL2876" s="53">
        <v>147705.66893424036</v>
      </c>
      <c r="AM2876" s="53">
        <v>55957200</v>
      </c>
      <c r="AO2876" s="53">
        <f t="shared" si="495"/>
        <v>19749600</v>
      </c>
      <c r="AX2876" s="53">
        <f t="shared" si="496"/>
        <v>1645800000</v>
      </c>
      <c r="AY2876" s="41" t="s">
        <v>557</v>
      </c>
    </row>
    <row r="2877" spans="1:51" x14ac:dyDescent="0.2">
      <c r="A2877" s="41" t="s">
        <v>149</v>
      </c>
      <c r="B2877" s="41">
        <v>2001</v>
      </c>
      <c r="C2877" s="41" t="s">
        <v>87</v>
      </c>
      <c r="D2877" s="41" t="s">
        <v>113</v>
      </c>
      <c r="E2877" s="41">
        <v>100</v>
      </c>
      <c r="F2877" s="41" t="s">
        <v>9</v>
      </c>
      <c r="AI2877" s="53">
        <v>16458000</v>
      </c>
      <c r="AJ2877" s="41">
        <v>1.2</v>
      </c>
      <c r="AL2877" s="53">
        <v>139983.67346938775</v>
      </c>
      <c r="AM2877" s="53">
        <v>47728200</v>
      </c>
      <c r="AO2877" s="53">
        <f t="shared" si="495"/>
        <v>19749600</v>
      </c>
      <c r="AX2877" s="53">
        <f t="shared" si="496"/>
        <v>1645800000</v>
      </c>
      <c r="AY2877" s="41" t="s">
        <v>557</v>
      </c>
    </row>
    <row r="2878" spans="1:51" x14ac:dyDescent="0.2">
      <c r="A2878" s="41" t="s">
        <v>149</v>
      </c>
      <c r="B2878" s="41">
        <v>2002</v>
      </c>
      <c r="C2878" s="41" t="s">
        <v>87</v>
      </c>
      <c r="D2878" s="41" t="s">
        <v>113</v>
      </c>
      <c r="E2878" s="41">
        <v>100</v>
      </c>
      <c r="F2878" s="41" t="s">
        <v>9</v>
      </c>
      <c r="AI2878" s="53">
        <v>15961000</v>
      </c>
      <c r="AJ2878" s="47">
        <v>1</v>
      </c>
      <c r="AK2878" s="47"/>
      <c r="AL2878" s="53">
        <v>147766.43990929704</v>
      </c>
      <c r="AM2878" s="53">
        <v>54267400</v>
      </c>
      <c r="AO2878" s="53">
        <f t="shared" si="495"/>
        <v>15961000</v>
      </c>
      <c r="AX2878" s="53">
        <f t="shared" si="496"/>
        <v>1596100000</v>
      </c>
      <c r="AY2878" s="41" t="s">
        <v>557</v>
      </c>
    </row>
    <row r="2879" spans="1:51" x14ac:dyDescent="0.2">
      <c r="A2879" s="41" t="s">
        <v>149</v>
      </c>
      <c r="B2879" s="41">
        <v>2003</v>
      </c>
      <c r="C2879" s="41" t="s">
        <v>87</v>
      </c>
      <c r="D2879" s="41" t="s">
        <v>113</v>
      </c>
      <c r="E2879" s="41">
        <v>100</v>
      </c>
      <c r="F2879" s="41" t="s">
        <v>9</v>
      </c>
      <c r="AI2879" s="53">
        <v>16942000</v>
      </c>
      <c r="AJ2879" s="41">
        <v>1.1000000000000001</v>
      </c>
      <c r="AL2879" s="53">
        <v>150439.90929705216</v>
      </c>
      <c r="AM2879" s="53">
        <v>49131800</v>
      </c>
      <c r="AO2879" s="53">
        <f t="shared" si="495"/>
        <v>18636200</v>
      </c>
      <c r="AX2879" s="53">
        <f t="shared" si="496"/>
        <v>1694200000</v>
      </c>
      <c r="AY2879" s="41" t="s">
        <v>557</v>
      </c>
    </row>
    <row r="2880" spans="1:51" x14ac:dyDescent="0.2">
      <c r="A2880" s="41" t="s">
        <v>149</v>
      </c>
      <c r="B2880" s="41">
        <v>2004</v>
      </c>
      <c r="C2880" s="41" t="s">
        <v>87</v>
      </c>
      <c r="D2880" s="41" t="s">
        <v>113</v>
      </c>
      <c r="E2880" s="41">
        <v>100</v>
      </c>
      <c r="F2880" s="41" t="s">
        <v>9</v>
      </c>
      <c r="AI2880" s="53">
        <v>18169000</v>
      </c>
      <c r="AJ2880" s="47">
        <v>1</v>
      </c>
      <c r="AK2880" s="47"/>
      <c r="AL2880" s="53">
        <v>147576.41723356009</v>
      </c>
      <c r="AM2880" s="53">
        <v>54507000</v>
      </c>
      <c r="AO2880" s="53">
        <f t="shared" si="495"/>
        <v>18169000</v>
      </c>
      <c r="AX2880" s="53">
        <f t="shared" si="496"/>
        <v>1816900000</v>
      </c>
      <c r="AY2880" s="41" t="s">
        <v>557</v>
      </c>
    </row>
    <row r="2881" spans="1:51" x14ac:dyDescent="0.2">
      <c r="A2881" s="41" t="s">
        <v>149</v>
      </c>
      <c r="B2881" s="41">
        <v>2005</v>
      </c>
      <c r="C2881" s="41" t="s">
        <v>87</v>
      </c>
      <c r="D2881" s="41" t="s">
        <v>113</v>
      </c>
      <c r="E2881" s="41">
        <v>100</v>
      </c>
      <c r="F2881" s="41" t="s">
        <v>9</v>
      </c>
      <c r="AI2881" s="53">
        <v>17811000</v>
      </c>
      <c r="AJ2881" s="41">
        <v>0.9</v>
      </c>
      <c r="AL2881" s="53">
        <v>123265.30612244898</v>
      </c>
      <c r="AM2881" s="53">
        <v>53433000</v>
      </c>
      <c r="AO2881" s="53">
        <f t="shared" si="495"/>
        <v>16029900</v>
      </c>
      <c r="AX2881" s="53">
        <f t="shared" si="496"/>
        <v>1781100000</v>
      </c>
      <c r="AY2881" s="41" t="s">
        <v>557</v>
      </c>
    </row>
    <row r="2882" spans="1:51" x14ac:dyDescent="0.2">
      <c r="A2882" s="41" t="s">
        <v>149</v>
      </c>
      <c r="B2882" s="41">
        <v>2006</v>
      </c>
      <c r="C2882" s="41" t="s">
        <v>87</v>
      </c>
      <c r="D2882" s="41" t="s">
        <v>113</v>
      </c>
      <c r="E2882" s="41">
        <v>100</v>
      </c>
      <c r="F2882" s="41" t="s">
        <v>9</v>
      </c>
      <c r="AI2882" s="53">
        <v>23953708.800000001</v>
      </c>
      <c r="AJ2882" s="41">
        <v>0.92</v>
      </c>
      <c r="AL2882" s="53">
        <v>146485.26077097506</v>
      </c>
      <c r="AM2882" s="53">
        <v>51051772.799999997</v>
      </c>
      <c r="AO2882" s="53">
        <f t="shared" si="495"/>
        <v>22037412.096000001</v>
      </c>
      <c r="AX2882" s="53">
        <f t="shared" si="496"/>
        <v>2395370880</v>
      </c>
      <c r="AY2882" s="41" t="s">
        <v>557</v>
      </c>
    </row>
    <row r="2883" spans="1:51" x14ac:dyDescent="0.2">
      <c r="A2883" s="41" t="s">
        <v>149</v>
      </c>
      <c r="B2883" s="41">
        <v>2007</v>
      </c>
      <c r="C2883" s="41" t="s">
        <v>87</v>
      </c>
      <c r="D2883" s="41" t="s">
        <v>113</v>
      </c>
      <c r="E2883" s="41">
        <v>100</v>
      </c>
      <c r="F2883" s="41" t="s">
        <v>9</v>
      </c>
      <c r="AI2883" s="53">
        <v>33392217.600000001</v>
      </c>
      <c r="AJ2883" s="41">
        <v>0.62</v>
      </c>
      <c r="AL2883" s="53">
        <v>142857.14285714287</v>
      </c>
      <c r="AM2883" s="53">
        <v>40396708.800000004</v>
      </c>
      <c r="AO2883" s="53">
        <f t="shared" si="495"/>
        <v>20703174.912</v>
      </c>
      <c r="AX2883" s="53">
        <f t="shared" si="496"/>
        <v>3339221760</v>
      </c>
      <c r="AY2883" s="41" t="s">
        <v>557</v>
      </c>
    </row>
    <row r="2884" spans="1:51" x14ac:dyDescent="0.2">
      <c r="A2884" s="41" t="s">
        <v>149</v>
      </c>
      <c r="B2884" s="41">
        <v>2008</v>
      </c>
      <c r="C2884" s="41" t="s">
        <v>87</v>
      </c>
      <c r="D2884" s="41" t="s">
        <v>113</v>
      </c>
      <c r="E2884" s="41">
        <v>100</v>
      </c>
      <c r="F2884" s="41" t="s">
        <v>9</v>
      </c>
      <c r="AI2884" s="53">
        <v>38538763.200000003</v>
      </c>
      <c r="AJ2884" s="41">
        <v>0.56999999999999995</v>
      </c>
      <c r="AL2884" s="53">
        <v>133786.84807256237</v>
      </c>
      <c r="AM2884" s="53">
        <v>29953929.599999994</v>
      </c>
      <c r="AO2884" s="53">
        <f t="shared" si="495"/>
        <v>21967095.024</v>
      </c>
      <c r="AX2884" s="53">
        <f t="shared" si="496"/>
        <v>3853876320.0000005</v>
      </c>
      <c r="AY2884" s="41" t="s">
        <v>557</v>
      </c>
    </row>
    <row r="2885" spans="1:51" x14ac:dyDescent="0.2">
      <c r="A2885" s="41" t="s">
        <v>149</v>
      </c>
      <c r="B2885" s="41">
        <v>2009</v>
      </c>
      <c r="C2885" s="41" t="s">
        <v>87</v>
      </c>
      <c r="D2885" s="41" t="s">
        <v>113</v>
      </c>
      <c r="E2885" s="41">
        <v>100</v>
      </c>
      <c r="F2885" s="41" t="s">
        <v>9</v>
      </c>
      <c r="AI2885" s="53">
        <v>42948662.399999999</v>
      </c>
      <c r="AJ2885" s="41">
        <v>0.55000000000000004</v>
      </c>
      <c r="AL2885" s="53">
        <v>136961.45124716553</v>
      </c>
      <c r="AM2885" s="53">
        <v>26275233.600000001</v>
      </c>
      <c r="AO2885" s="53">
        <f t="shared" si="495"/>
        <v>23621764.32</v>
      </c>
      <c r="AX2885" s="53">
        <f t="shared" si="496"/>
        <v>4294866240</v>
      </c>
      <c r="AY2885" s="41" t="s">
        <v>557</v>
      </c>
    </row>
    <row r="2886" spans="1:51" x14ac:dyDescent="0.2">
      <c r="A2886" s="41" t="s">
        <v>149</v>
      </c>
      <c r="B2886" s="41">
        <v>2010</v>
      </c>
      <c r="C2886" s="41" t="s">
        <v>87</v>
      </c>
      <c r="D2886" s="41" t="s">
        <v>113</v>
      </c>
      <c r="E2886" s="41">
        <v>100</v>
      </c>
      <c r="F2886" s="41" t="s">
        <v>9</v>
      </c>
      <c r="AI2886" s="53">
        <v>40598107.200000003</v>
      </c>
      <c r="AJ2886" s="41">
        <v>0.57999999999999996</v>
      </c>
      <c r="AL2886" s="53">
        <v>144243.85376031933</v>
      </c>
      <c r="AM2886" s="53">
        <v>28625788.800000001</v>
      </c>
      <c r="AO2886" s="53">
        <f t="shared" si="495"/>
        <v>23546902.175999999</v>
      </c>
      <c r="AX2886" s="53">
        <f t="shared" si="496"/>
        <v>4059810720.0000005</v>
      </c>
      <c r="AY2886" s="41" t="s">
        <v>557</v>
      </c>
    </row>
    <row r="2887" spans="1:51" x14ac:dyDescent="0.2">
      <c r="A2887" s="41" t="s">
        <v>149</v>
      </c>
      <c r="B2887" s="41">
        <v>2011</v>
      </c>
      <c r="C2887" s="41" t="s">
        <v>87</v>
      </c>
      <c r="D2887" s="41" t="s">
        <v>113</v>
      </c>
      <c r="E2887" s="41">
        <v>100</v>
      </c>
      <c r="F2887" s="41" t="s">
        <v>9</v>
      </c>
      <c r="AI2887" s="53">
        <v>44428305.600000001</v>
      </c>
      <c r="AJ2887" s="41">
        <v>0.52</v>
      </c>
      <c r="AL2887" s="53">
        <v>132450.33112582783</v>
      </c>
      <c r="AM2887" s="53">
        <v>21194913.600000001</v>
      </c>
      <c r="AO2887" s="53">
        <f t="shared" si="495"/>
        <v>23102718.912</v>
      </c>
      <c r="AX2887" s="53">
        <f t="shared" si="496"/>
        <v>4442830560</v>
      </c>
      <c r="AY2887" s="41" t="s">
        <v>557</v>
      </c>
    </row>
    <row r="2888" spans="1:51" x14ac:dyDescent="0.2">
      <c r="A2888" s="41" t="s">
        <v>149</v>
      </c>
      <c r="B2888" s="41">
        <v>2012</v>
      </c>
      <c r="C2888" s="41" t="s">
        <v>87</v>
      </c>
      <c r="D2888" s="41" t="s">
        <v>113</v>
      </c>
      <c r="E2888" s="41">
        <v>100</v>
      </c>
      <c r="F2888" s="41" t="s">
        <v>9</v>
      </c>
      <c r="AI2888" s="53">
        <v>45616737.600000001</v>
      </c>
      <c r="AJ2888" s="41">
        <v>0.5</v>
      </c>
      <c r="AL2888" s="53">
        <v>131089.54005261726</v>
      </c>
      <c r="AM2888" s="53">
        <v>22048588.800000001</v>
      </c>
      <c r="AO2888" s="53">
        <f t="shared" si="495"/>
        <v>22808368.800000001</v>
      </c>
      <c r="AX2888" s="53">
        <f t="shared" si="496"/>
        <v>4561673760</v>
      </c>
      <c r="AY2888" s="41" t="s">
        <v>557</v>
      </c>
    </row>
    <row r="2889" spans="1:51" x14ac:dyDescent="0.2">
      <c r="A2889" s="41" t="s">
        <v>149</v>
      </c>
      <c r="B2889" s="41">
        <v>2013</v>
      </c>
      <c r="C2889" s="41" t="s">
        <v>87</v>
      </c>
      <c r="D2889" s="41" t="s">
        <v>113</v>
      </c>
      <c r="E2889" s="41">
        <v>100</v>
      </c>
      <c r="F2889" s="41" t="s">
        <v>9</v>
      </c>
      <c r="AI2889" s="53">
        <v>47733235.200000003</v>
      </c>
      <c r="AJ2889" s="41">
        <v>0.5</v>
      </c>
      <c r="AL2889" s="53">
        <v>126553.56980858206</v>
      </c>
      <c r="AM2889" s="53">
        <v>19687147.199999999</v>
      </c>
      <c r="AO2889" s="53">
        <f t="shared" si="495"/>
        <v>23866617.600000001</v>
      </c>
      <c r="AX2889" s="53">
        <f t="shared" si="496"/>
        <v>4773323520</v>
      </c>
      <c r="AY2889" s="41" t="s">
        <v>557</v>
      </c>
    </row>
    <row r="2890" spans="1:51" x14ac:dyDescent="0.2">
      <c r="A2890" s="41" t="s">
        <v>149</v>
      </c>
      <c r="B2890" s="41">
        <v>2014</v>
      </c>
      <c r="C2890" s="41" t="s">
        <v>87</v>
      </c>
      <c r="D2890" s="41" t="s">
        <v>113</v>
      </c>
      <c r="E2890" s="41">
        <v>100</v>
      </c>
      <c r="F2890" s="41" t="s">
        <v>9</v>
      </c>
      <c r="AI2890" s="53">
        <v>39827000</v>
      </c>
      <c r="AJ2890" s="46">
        <v>0.5</v>
      </c>
      <c r="AK2890" s="46"/>
      <c r="AL2890" s="53">
        <v>100698.53941758143</v>
      </c>
      <c r="AM2890" s="53">
        <v>20942000</v>
      </c>
      <c r="AO2890" s="53">
        <f t="shared" si="495"/>
        <v>19913500</v>
      </c>
      <c r="AX2890" s="53">
        <f t="shared" si="496"/>
        <v>3982700000</v>
      </c>
      <c r="AY2890" s="41" t="s">
        <v>557</v>
      </c>
    </row>
    <row r="2891" spans="1:51" x14ac:dyDescent="0.2">
      <c r="A2891" s="41" t="s">
        <v>149</v>
      </c>
      <c r="B2891" s="41">
        <v>2015</v>
      </c>
      <c r="C2891" s="41" t="s">
        <v>87</v>
      </c>
      <c r="D2891" s="41" t="s">
        <v>113</v>
      </c>
      <c r="E2891" s="41">
        <v>100</v>
      </c>
      <c r="F2891" s="41" t="s">
        <v>9</v>
      </c>
      <c r="AI2891" s="53">
        <v>36914583.333333336</v>
      </c>
      <c r="AJ2891" s="41">
        <v>0.53</v>
      </c>
      <c r="AL2891" s="53">
        <v>103004.32429163266</v>
      </c>
      <c r="AM2891" s="53">
        <v>22484375</v>
      </c>
      <c r="AO2891" s="53">
        <f t="shared" si="495"/>
        <v>19564729.166666668</v>
      </c>
      <c r="AX2891" s="53">
        <f t="shared" si="496"/>
        <v>3691458333.3333335</v>
      </c>
      <c r="AY2891" s="41" t="s">
        <v>557</v>
      </c>
    </row>
    <row r="2892" spans="1:51" x14ac:dyDescent="0.2">
      <c r="A2892" s="41" t="s">
        <v>149</v>
      </c>
      <c r="B2892" s="41">
        <v>2016</v>
      </c>
      <c r="C2892" s="41" t="s">
        <v>87</v>
      </c>
      <c r="D2892" s="41" t="s">
        <v>113</v>
      </c>
      <c r="E2892" s="41">
        <v>100</v>
      </c>
      <c r="F2892" s="41" t="s">
        <v>9</v>
      </c>
      <c r="AI2892" s="53">
        <v>36326000</v>
      </c>
      <c r="AJ2892" s="46">
        <v>0.5</v>
      </c>
      <c r="AK2892" s="46"/>
      <c r="AL2892" s="53">
        <v>103420.12156400255</v>
      </c>
      <c r="AM2892" s="53">
        <v>32374000</v>
      </c>
      <c r="AO2892" s="53">
        <f>$AI2892*AJ2892</f>
        <v>18163000</v>
      </c>
      <c r="AX2892" s="53">
        <f t="shared" si="496"/>
        <v>3632600000</v>
      </c>
      <c r="AY2892" s="41" t="s">
        <v>557</v>
      </c>
    </row>
    <row r="2893" spans="1:51" x14ac:dyDescent="0.2">
      <c r="A2893" s="41" t="s">
        <v>149</v>
      </c>
      <c r="B2893" s="41" t="s">
        <v>707</v>
      </c>
      <c r="C2893" s="41" t="s">
        <v>87</v>
      </c>
      <c r="D2893" s="41" t="s">
        <v>113</v>
      </c>
      <c r="E2893" s="41">
        <v>100</v>
      </c>
      <c r="F2893" s="41" t="s">
        <v>9</v>
      </c>
      <c r="AI2893" s="53">
        <f>2*7285000</f>
        <v>14570000</v>
      </c>
      <c r="AJ2893" s="46">
        <v>0.5</v>
      </c>
      <c r="AK2893" s="46"/>
      <c r="AL2893" s="53">
        <f>2*57000000/2204.6</f>
        <v>51710.060782001274</v>
      </c>
      <c r="AM2893" s="53">
        <f>2*(15390000-7285000)</f>
        <v>16210000</v>
      </c>
      <c r="AO2893" s="53">
        <f>$AI2893*AJ2893</f>
        <v>7285000</v>
      </c>
      <c r="AX2893" s="53">
        <f t="shared" si="496"/>
        <v>1457000000</v>
      </c>
      <c r="AY2893" s="41" t="s">
        <v>557</v>
      </c>
    </row>
    <row r="2894" spans="1:51" x14ac:dyDescent="0.2">
      <c r="A2894" s="41" t="s">
        <v>149</v>
      </c>
      <c r="B2894" s="60" t="s">
        <v>559</v>
      </c>
      <c r="C2894" s="60" t="s">
        <v>87</v>
      </c>
      <c r="D2894" s="60" t="s">
        <v>113</v>
      </c>
      <c r="E2894" s="60">
        <v>100</v>
      </c>
      <c r="F2894" s="60" t="s">
        <v>9</v>
      </c>
      <c r="AI2894" s="79">
        <f>SUM(AI2871:AI2893)</f>
        <v>604060320.9333334</v>
      </c>
      <c r="AJ2894" s="80">
        <f>AO2894/AI2894</f>
        <v>0.71067704354983641</v>
      </c>
      <c r="AK2894" s="80"/>
      <c r="AL2894" s="79">
        <f>SUM(AL2871:AL2893)</f>
        <v>2796630.4587163967</v>
      </c>
      <c r="AM2894" s="79">
        <f>SUM(AM2871:AM2893)</f>
        <v>818511058.19999993</v>
      </c>
      <c r="AO2894" s="79">
        <f>SUM(AO2871:AO2893)</f>
        <v>429291803.00666672</v>
      </c>
      <c r="AX2894" s="79">
        <f>SUM(AX2871:AX2893)</f>
        <v>60406032093.333336</v>
      </c>
      <c r="AY2894" s="41" t="s">
        <v>557</v>
      </c>
    </row>
    <row r="2895" spans="1:51" x14ac:dyDescent="0.2">
      <c r="A2895" s="41" t="s">
        <v>149</v>
      </c>
      <c r="B2895" s="43" t="s">
        <v>560</v>
      </c>
      <c r="AI2895" s="53">
        <f>STDEV(AI2871:AI2893)</f>
        <v>13677882.620972557</v>
      </c>
      <c r="AJ2895" s="46">
        <f>STDEV(AJ2871:AJ2893)</f>
        <v>0.33617706608697379</v>
      </c>
      <c r="AK2895" s="46"/>
      <c r="AL2895" s="53">
        <f>STDEV(AL2871:AL2893)</f>
        <v>34267.653076577604</v>
      </c>
      <c r="AM2895" s="53">
        <f>STDEV(AM2871:AM2893)</f>
        <v>14473907.783390466</v>
      </c>
      <c r="AY2895" s="41" t="s">
        <v>557</v>
      </c>
    </row>
    <row r="2896" spans="1:51" x14ac:dyDescent="0.2">
      <c r="A2896" s="41" t="s">
        <v>149</v>
      </c>
      <c r="B2896" s="81" t="s">
        <v>249</v>
      </c>
      <c r="AI2896" s="41">
        <f>COUNT(AI2871:AI2893)</f>
        <v>23</v>
      </c>
      <c r="AJ2896" s="41">
        <f>COUNT(AJ2871:AJ2893)</f>
        <v>23</v>
      </c>
      <c r="AL2896" s="41">
        <f>COUNT(AL2871:AL2893)</f>
        <v>23</v>
      </c>
      <c r="AM2896" s="41">
        <f>COUNT(AM2871:AM2893)</f>
        <v>23</v>
      </c>
      <c r="AY2896" s="41" t="s">
        <v>557</v>
      </c>
    </row>
    <row r="2897" spans="1:51" x14ac:dyDescent="0.2">
      <c r="A2897" s="82"/>
      <c r="B2897" s="82"/>
      <c r="C2897" s="82"/>
      <c r="D2897" s="82"/>
      <c r="E2897" s="82"/>
      <c r="F2897" s="82"/>
      <c r="G2897" s="82"/>
      <c r="H2897" s="82"/>
      <c r="I2897" s="82"/>
      <c r="J2897" s="82"/>
      <c r="K2897" s="82"/>
      <c r="L2897" s="82"/>
      <c r="M2897" s="82"/>
      <c r="N2897" s="82"/>
      <c r="O2897" s="82"/>
      <c r="P2897" s="82"/>
      <c r="Q2897" s="82"/>
      <c r="R2897" s="82"/>
      <c r="S2897" s="82"/>
      <c r="T2897" s="82"/>
      <c r="U2897" s="82"/>
      <c r="V2897" s="82"/>
      <c r="W2897" s="82"/>
      <c r="X2897" s="82"/>
      <c r="Y2897" s="82"/>
      <c r="Z2897" s="82"/>
      <c r="AA2897" s="82"/>
      <c r="AB2897" s="82"/>
      <c r="AC2897" s="82"/>
      <c r="AD2897" s="82"/>
      <c r="AE2897" s="82"/>
      <c r="AF2897" s="82"/>
      <c r="AG2897" s="82"/>
      <c r="AH2897" s="82"/>
      <c r="AI2897" s="82"/>
      <c r="AJ2897" s="82"/>
      <c r="AK2897" s="82"/>
      <c r="AL2897" s="82"/>
      <c r="AM2897" s="82"/>
      <c r="AN2897" s="82"/>
      <c r="AO2897" s="82"/>
      <c r="AP2897" s="82"/>
      <c r="AQ2897" s="82"/>
      <c r="AR2897" s="82"/>
      <c r="AS2897" s="82"/>
      <c r="AT2897" s="82"/>
      <c r="AU2897" s="82"/>
      <c r="AV2897" s="82"/>
      <c r="AW2897" s="82"/>
      <c r="AX2897" s="82"/>
      <c r="AY2897" s="41" t="s">
        <v>557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5F97B340426D4F999AF36E0EE7EEB3" ma:contentTypeVersion="11" ma:contentTypeDescription="Create a new document." ma:contentTypeScope="" ma:versionID="a9ce57f8616a81ee4084d1fc412ee15e">
  <xsd:schema xmlns:xsd="http://www.w3.org/2001/XMLSchema" xmlns:xs="http://www.w3.org/2001/XMLSchema" xmlns:p="http://schemas.microsoft.com/office/2006/metadata/properties" xmlns:ns3="37f28f4d-9bf7-4c51-8cd1-7befb11021b6" xmlns:ns4="190d7a84-daab-4184-8931-fda0d740bcb8" targetNamespace="http://schemas.microsoft.com/office/2006/metadata/properties" ma:root="true" ma:fieldsID="442011407d1feadc33f3e8fed75cd9d1" ns3:_="" ns4:_="">
    <xsd:import namespace="37f28f4d-9bf7-4c51-8cd1-7befb11021b6"/>
    <xsd:import namespace="190d7a84-daab-4184-8931-fda0d740bc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28f4d-9bf7-4c51-8cd1-7befb11021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d7a84-daab-4184-8931-fda0d740bcb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B334BC-E562-407C-BEBB-F1FE211766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28f4d-9bf7-4c51-8cd1-7befb11021b6"/>
    <ds:schemaRef ds:uri="190d7a84-daab-4184-8931-fda0d740bc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52917D-A63D-41FD-806D-678E2E39CA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1DBDBA-F81D-40BE-9D04-F3B8A5C44F62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37f28f4d-9bf7-4c51-8cd1-7befb11021b6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190d7a84-daab-4184-8931-fda0d740bc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IV - Production and Areas</vt:lpstr>
      <vt:lpstr>IV - Cumulative Prod.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Werner</dc:creator>
  <cp:lastModifiedBy>Tim Werner</cp:lastModifiedBy>
  <dcterms:created xsi:type="dcterms:W3CDTF">2019-02-12T09:44:51Z</dcterms:created>
  <dcterms:modified xsi:type="dcterms:W3CDTF">2019-08-06T09:06:55Z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0x010100105F97B340426D4F999AF36E0EE7EEB3</vt:lpwstr>
  </property>
</Properties>
</file>