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13_ncr:1_{F4D45504-6F41-474A-BCCF-C0C4EDC4CE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meance and Selectivity" sheetId="1" r:id="rId1"/>
    <sheet name="Sheet1" sheetId="2" r:id="rId2"/>
    <sheet name="Flux" sheetId="5" r:id="rId3"/>
    <sheet name="data graph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0" i="5" l="1"/>
  <c r="P60" i="5" s="1"/>
  <c r="N59" i="5"/>
  <c r="P59" i="5" s="1"/>
  <c r="N58" i="5"/>
  <c r="P58" i="5" s="1"/>
  <c r="Q57" i="5" s="1"/>
  <c r="E58" i="5"/>
  <c r="E59" i="5" s="1"/>
  <c r="E60" i="5" s="1"/>
  <c r="N57" i="5"/>
  <c r="P57" i="5" s="1"/>
  <c r="N54" i="5"/>
  <c r="P54" i="5" s="1"/>
  <c r="N53" i="5"/>
  <c r="P53" i="5" s="1"/>
  <c r="N52" i="5"/>
  <c r="P52" i="5" s="1"/>
  <c r="E52" i="5"/>
  <c r="E53" i="5" s="1"/>
  <c r="E54" i="5" s="1"/>
  <c r="N51" i="5"/>
  <c r="P51" i="5" s="1"/>
  <c r="N48" i="5"/>
  <c r="P48" i="5" s="1"/>
  <c r="N47" i="5"/>
  <c r="P47" i="5" s="1"/>
  <c r="N46" i="5"/>
  <c r="P46" i="5" s="1"/>
  <c r="E46" i="5"/>
  <c r="E47" i="5" s="1"/>
  <c r="E48" i="5" s="1"/>
  <c r="N45" i="5"/>
  <c r="P45" i="5" s="1"/>
  <c r="N42" i="5"/>
  <c r="P42" i="5" s="1"/>
  <c r="N41" i="5"/>
  <c r="P41" i="5" s="1"/>
  <c r="N40" i="5"/>
  <c r="P40" i="5" s="1"/>
  <c r="Q39" i="5" s="1"/>
  <c r="E40" i="5"/>
  <c r="E41" i="5" s="1"/>
  <c r="E42" i="5" s="1"/>
  <c r="N39" i="5"/>
  <c r="P39" i="5" s="1"/>
  <c r="N12" i="5"/>
  <c r="P12" i="5" s="1"/>
  <c r="N11" i="5"/>
  <c r="P11" i="5" s="1"/>
  <c r="N10" i="5"/>
  <c r="P10" i="5" s="1"/>
  <c r="N9" i="5"/>
  <c r="P9" i="5" s="1"/>
  <c r="E9" i="5"/>
  <c r="E10" i="5" s="1"/>
  <c r="E11" i="5" s="1"/>
  <c r="N8" i="5"/>
  <c r="P8" i="5" s="1"/>
  <c r="N24" i="5"/>
  <c r="P24" i="5" s="1"/>
  <c r="N23" i="5"/>
  <c r="P23" i="5" s="1"/>
  <c r="N22" i="5"/>
  <c r="P22" i="5" s="1"/>
  <c r="E22" i="5"/>
  <c r="E23" i="5" s="1"/>
  <c r="E24" i="5" s="1"/>
  <c r="N21" i="5"/>
  <c r="P21" i="5" s="1"/>
  <c r="N5" i="5"/>
  <c r="P5" i="5" s="1"/>
  <c r="N4" i="5"/>
  <c r="P4" i="5" s="1"/>
  <c r="N3" i="5"/>
  <c r="P3" i="5" s="1"/>
  <c r="E3" i="5"/>
  <c r="E4" i="5" s="1"/>
  <c r="E5" i="5" s="1"/>
  <c r="N2" i="5"/>
  <c r="P2" i="5" s="1"/>
  <c r="N36" i="5"/>
  <c r="P36" i="5" s="1"/>
  <c r="N35" i="5"/>
  <c r="P35" i="5" s="1"/>
  <c r="N34" i="5"/>
  <c r="P34" i="5" s="1"/>
  <c r="E34" i="5"/>
  <c r="E35" i="5" s="1"/>
  <c r="E36" i="5" s="1"/>
  <c r="N33" i="5"/>
  <c r="P33" i="5" s="1"/>
  <c r="N30" i="5"/>
  <c r="P30" i="5" s="1"/>
  <c r="N29" i="5"/>
  <c r="P29" i="5" s="1"/>
  <c r="N28" i="5"/>
  <c r="P28" i="5" s="1"/>
  <c r="E28" i="5"/>
  <c r="E29" i="5" s="1"/>
  <c r="E30" i="5" s="1"/>
  <c r="N27" i="5"/>
  <c r="P27" i="5" s="1"/>
  <c r="N16" i="5"/>
  <c r="P16" i="5" s="1"/>
  <c r="N17" i="5"/>
  <c r="P17" i="5" s="1"/>
  <c r="N18" i="5"/>
  <c r="P18" i="5" s="1"/>
  <c r="N15" i="5"/>
  <c r="P15" i="5" s="1"/>
  <c r="E16" i="5"/>
  <c r="E17" i="5" s="1"/>
  <c r="E18" i="5" s="1"/>
  <c r="Q8" i="5" l="1"/>
  <c r="Q21" i="5"/>
  <c r="Q45" i="5"/>
  <c r="Q51" i="5"/>
  <c r="Q27" i="5"/>
  <c r="Q15" i="5"/>
  <c r="Q33" i="5"/>
  <c r="Q2" i="5"/>
  <c r="S14" i="1" l="1"/>
  <c r="U14" i="1" s="1"/>
  <c r="AI14" i="1" s="1"/>
  <c r="L14" i="1"/>
  <c r="AT14" i="1" s="1"/>
  <c r="AV14" i="1" s="1"/>
  <c r="H14" i="1"/>
  <c r="I14" i="1" s="1"/>
  <c r="E14" i="1"/>
  <c r="F14" i="1" s="1"/>
  <c r="S13" i="1"/>
  <c r="U13" i="1" s="1"/>
  <c r="AI13" i="1" s="1"/>
  <c r="L13" i="1"/>
  <c r="AT13" i="1" s="1"/>
  <c r="H13" i="1"/>
  <c r="I13" i="1" s="1"/>
  <c r="E13" i="1"/>
  <c r="F13" i="1" s="1"/>
  <c r="S12" i="1"/>
  <c r="L12" i="1"/>
  <c r="H12" i="1"/>
  <c r="I12" i="1" s="1"/>
  <c r="E12" i="1"/>
  <c r="F12" i="1" s="1"/>
  <c r="T12" i="1" l="1"/>
  <c r="AH12" i="1" s="1"/>
  <c r="AV13" i="1"/>
  <c r="T13" i="1"/>
  <c r="AH13" i="1" s="1"/>
  <c r="U12" i="1"/>
  <c r="AI12" i="1" s="1"/>
  <c r="X12" i="1"/>
  <c r="Z12" i="1" s="1"/>
  <c r="X13" i="1"/>
  <c r="Z13" i="1" s="1"/>
  <c r="X14" i="1"/>
  <c r="Z14" i="1" s="1"/>
  <c r="AT12" i="1"/>
  <c r="AV12" i="1" s="1"/>
  <c r="T14" i="1"/>
  <c r="AH14" i="1" s="1"/>
  <c r="Y12" i="1" l="1"/>
  <c r="AA12" i="1" s="1"/>
  <c r="AC12" i="1" s="1"/>
  <c r="Y13" i="1"/>
  <c r="AE13" i="1" s="1"/>
  <c r="AB14" i="1"/>
  <c r="AD14" i="1" s="1"/>
  <c r="AF14" i="1"/>
  <c r="AK14" i="1" s="1"/>
  <c r="AB13" i="1"/>
  <c r="AD13" i="1" s="1"/>
  <c r="AF13" i="1"/>
  <c r="AK13" i="1" s="1"/>
  <c r="AB12" i="1"/>
  <c r="AD12" i="1" s="1"/>
  <c r="AF12" i="1"/>
  <c r="AK12" i="1" s="1"/>
  <c r="Y14" i="1"/>
  <c r="AA13" i="1" l="1"/>
  <c r="AC13" i="1" s="1"/>
  <c r="AE12" i="1"/>
  <c r="AJ12" i="1" s="1"/>
  <c r="AP13" i="1"/>
  <c r="AR13" i="1" s="1"/>
  <c r="AM13" i="1"/>
  <c r="AJ13" i="1"/>
  <c r="AG13" i="1"/>
  <c r="AP12" i="1"/>
  <c r="AR12" i="1" s="1"/>
  <c r="AM12" i="1"/>
  <c r="AA14" i="1"/>
  <c r="AC14" i="1" s="1"/>
  <c r="AE14" i="1"/>
  <c r="AP14" i="1"/>
  <c r="AR14" i="1" s="1"/>
  <c r="AM14" i="1"/>
  <c r="X6" i="1"/>
  <c r="X7" i="1"/>
  <c r="X5" i="1"/>
  <c r="Y5" i="1" l="1"/>
  <c r="Z5" i="1"/>
  <c r="AG12" i="1"/>
  <c r="AO12" i="1"/>
  <c r="AQ12" i="1" s="1"/>
  <c r="AL12" i="1"/>
  <c r="AS12" i="1" s="1"/>
  <c r="AU12" i="1" s="1"/>
  <c r="AJ14" i="1"/>
  <c r="AG14" i="1"/>
  <c r="AO13" i="1"/>
  <c r="AQ13" i="1" s="1"/>
  <c r="AL13" i="1"/>
  <c r="AS13" i="1" s="1"/>
  <c r="AU13" i="1" s="1"/>
  <c r="AL14" i="1" l="1"/>
  <c r="AS14" i="1" s="1"/>
  <c r="AU14" i="1" s="1"/>
  <c r="AO14" i="1"/>
  <c r="AQ14" i="1" s="1"/>
  <c r="E6" i="1"/>
  <c r="F6" i="1" s="1"/>
  <c r="E7" i="1"/>
  <c r="F7" i="1" s="1"/>
  <c r="AT6" i="1" l="1"/>
  <c r="AV6" i="1" s="1"/>
  <c r="AT7" i="1"/>
  <c r="AV7" i="1" s="1"/>
  <c r="AT5" i="1"/>
  <c r="AV5" i="1" s="1"/>
  <c r="E5" i="1"/>
  <c r="F5" i="1" s="1"/>
  <c r="S7" i="1" l="1"/>
  <c r="T7" i="1" s="1"/>
  <c r="AH7" i="1" s="1"/>
  <c r="U7" i="1" l="1"/>
  <c r="AI7" i="1" s="1"/>
  <c r="S6" i="1" l="1"/>
  <c r="T6" i="1" l="1"/>
  <c r="AH6" i="1" s="1"/>
  <c r="U6" i="1"/>
  <c r="AI6" i="1" l="1"/>
  <c r="S5" i="1" l="1"/>
  <c r="U5" i="1" l="1"/>
  <c r="AI5" i="1" s="1"/>
  <c r="T5" i="1"/>
  <c r="AH5" i="1" s="1"/>
  <c r="Z7" i="1" l="1"/>
  <c r="AF7" i="1" s="1"/>
  <c r="AK7" i="1" s="1"/>
  <c r="H7" i="1"/>
  <c r="I7" i="1" s="1"/>
  <c r="Y7" i="1"/>
  <c r="AA7" i="1" s="1"/>
  <c r="AC7" i="1" s="1"/>
  <c r="AB5" i="1"/>
  <c r="AD5" i="1" s="1"/>
  <c r="Y6" i="1"/>
  <c r="AA6" i="1" s="1"/>
  <c r="AC6" i="1" s="1"/>
  <c r="H6" i="1"/>
  <c r="I6" i="1" s="1"/>
  <c r="Z6" i="1"/>
  <c r="AB6" i="1" s="1"/>
  <c r="AD6" i="1" s="1"/>
  <c r="H5" i="1"/>
  <c r="I5" i="1" s="1"/>
  <c r="AE5" i="1"/>
  <c r="AE6" i="1" l="1"/>
  <c r="AJ6" i="1" s="1"/>
  <c r="AF6" i="1"/>
  <c r="AK6" i="1" s="1"/>
  <c r="AP6" i="1" s="1"/>
  <c r="AR6" i="1" s="1"/>
  <c r="AF5" i="1"/>
  <c r="AK5" i="1" s="1"/>
  <c r="AP5" i="1" s="1"/>
  <c r="AR5" i="1" s="1"/>
  <c r="AE7" i="1"/>
  <c r="AJ7" i="1" s="1"/>
  <c r="AL7" i="1" s="1"/>
  <c r="AB7" i="1"/>
  <c r="AD7" i="1" s="1"/>
  <c r="AJ5" i="1"/>
  <c r="AP7" i="1"/>
  <c r="AR7" i="1" s="1"/>
  <c r="AM7" i="1"/>
  <c r="AS7" i="1" s="1"/>
  <c r="AU7" i="1" s="1"/>
  <c r="AA5" i="1"/>
  <c r="AC5" i="1" s="1"/>
  <c r="AM6" i="1" l="1"/>
  <c r="AG5" i="1"/>
  <c r="AG7" i="1"/>
  <c r="AG6" i="1"/>
  <c r="AO6" i="1"/>
  <c r="AQ6" i="1" s="1"/>
  <c r="AL6" i="1"/>
  <c r="AS6" i="1" s="1"/>
  <c r="AU6" i="1" s="1"/>
  <c r="AM5" i="1"/>
  <c r="AO7" i="1"/>
  <c r="AQ7" i="1" s="1"/>
  <c r="AL5" i="1"/>
  <c r="AO5" i="1"/>
  <c r="AQ5" i="1" s="1"/>
  <c r="AS5" i="1" l="1"/>
  <c r="AU5" i="1" s="1"/>
</calcChain>
</file>

<file path=xl/sharedStrings.xml><?xml version="1.0" encoding="utf-8"?>
<sst xmlns="http://schemas.openxmlformats.org/spreadsheetml/2006/main" count="257" uniqueCount="133">
  <si>
    <t>PERMEATE</t>
  </si>
  <si>
    <t>Membrane</t>
  </si>
  <si>
    <t>Conc</t>
  </si>
  <si>
    <t>Temperature</t>
  </si>
  <si>
    <t>Real T (oC)</t>
  </si>
  <si>
    <t>T (K)</t>
  </si>
  <si>
    <t>1000/RT (mol/J)</t>
  </si>
  <si>
    <t>Flux (g/h m²)</t>
  </si>
  <si>
    <t>Flux (kg/h m²)</t>
  </si>
  <si>
    <t>ln Flux</t>
  </si>
  <si>
    <t>Ptotal (mbar)</t>
  </si>
  <si>
    <t>Ptotal (atm)</t>
  </si>
  <si>
    <t>MW mix (g/mol)</t>
  </si>
  <si>
    <t>Flux methanol (g/h m2)</t>
  </si>
  <si>
    <t>Flux methanol (cm3/cm2 s)</t>
  </si>
  <si>
    <t>Total flux (cm3/cm2 s)</t>
  </si>
  <si>
    <t>Permeance P/l methanol (GPU)</t>
  </si>
  <si>
    <t>Membrane thickness (mm)</t>
  </si>
  <si>
    <t>Permeability methanol (cm3 cm/cm2 s atm)</t>
  </si>
  <si>
    <t>x Methanol</t>
  </si>
  <si>
    <t>y Methanol</t>
  </si>
  <si>
    <t>Gamma Methanol</t>
  </si>
  <si>
    <t>Pvap Methanol (atm)</t>
  </si>
  <si>
    <t>P Methanol (atm)</t>
  </si>
  <si>
    <t>Molecular weight</t>
  </si>
  <si>
    <t>g/mol</t>
  </si>
  <si>
    <t xml:space="preserve">driving force methanol </t>
  </si>
  <si>
    <t>Permeance P/l methanol  (cm3/cm2 s atm)</t>
  </si>
  <si>
    <t>Permeance P/l n-Butanol (GPU)</t>
  </si>
  <si>
    <t>Permeability methanol(Barrer)</t>
  </si>
  <si>
    <t xml:space="preserve"> </t>
  </si>
  <si>
    <t>x DMC</t>
  </si>
  <si>
    <t>y DMC</t>
  </si>
  <si>
    <t>Gamma DMC</t>
  </si>
  <si>
    <t>Pvap DMC(atm)</t>
  </si>
  <si>
    <t>P DMC (atm)</t>
  </si>
  <si>
    <t>Flux DMC (g/h m2)</t>
  </si>
  <si>
    <t>Permeability DMC  (cm3 cm/cm2 s atm)</t>
  </si>
  <si>
    <t>Permeability DMC (Barrer)</t>
  </si>
  <si>
    <t xml:space="preserve"> lnFlux DMC (kg/h m2)</t>
  </si>
  <si>
    <t>Flux DMC (cm3/cm2 s)</t>
  </si>
  <si>
    <t>driving force DMC</t>
  </si>
  <si>
    <t>Permeance P/l DMC (cm3/cm2 s atm)</t>
  </si>
  <si>
    <t>Permeance P/l DMC (GPU)</t>
  </si>
  <si>
    <t>GC</t>
  </si>
  <si>
    <t>DMC</t>
  </si>
  <si>
    <t>Separation Factor Methanol /DMC</t>
  </si>
  <si>
    <r>
      <t>Flux DMC (</t>
    </r>
    <r>
      <rPr>
        <b/>
        <sz val="11"/>
        <color rgb="FFFF0000"/>
        <rFont val="Arial"/>
        <family val="2"/>
      </rPr>
      <t>kg</t>
    </r>
    <r>
      <rPr>
        <b/>
        <sz val="11"/>
        <color theme="1"/>
        <rFont val="Arial"/>
        <family val="2"/>
      </rPr>
      <t>/h m2)</t>
    </r>
  </si>
  <si>
    <r>
      <t>Flux methanol (</t>
    </r>
    <r>
      <rPr>
        <b/>
        <sz val="11"/>
        <color rgb="FFFF0000"/>
        <rFont val="Arial"/>
        <family val="2"/>
      </rPr>
      <t>kg</t>
    </r>
    <r>
      <rPr>
        <b/>
        <sz val="11"/>
        <color theme="1"/>
        <rFont val="Arial"/>
        <family val="2"/>
      </rPr>
      <t>/h m2)</t>
    </r>
  </si>
  <si>
    <r>
      <t>ln Flux methanol (</t>
    </r>
    <r>
      <rPr>
        <b/>
        <sz val="11"/>
        <color rgb="FFFF0000"/>
        <rFont val="Arial"/>
        <family val="2"/>
      </rPr>
      <t>kg</t>
    </r>
    <r>
      <rPr>
        <b/>
        <sz val="11"/>
        <color theme="1"/>
        <rFont val="Arial"/>
        <family val="2"/>
      </rPr>
      <t>/h m2)</t>
    </r>
  </si>
  <si>
    <t>Selectivity methanol/DMC</t>
    <phoneticPr fontId="2" type="noConversion"/>
  </si>
  <si>
    <t>MW DMC</t>
    <phoneticPr fontId="2" type="noConversion"/>
  </si>
  <si>
    <t>MW Methanol</t>
    <phoneticPr fontId="2" type="noConversion"/>
  </si>
  <si>
    <t>Pure DMC</t>
    <phoneticPr fontId="2" type="noConversion"/>
  </si>
  <si>
    <t>Pure MeOH</t>
    <phoneticPr fontId="2" type="noConversion"/>
  </si>
  <si>
    <t>Aspen calculation</t>
  </si>
  <si>
    <t>Concentration</t>
  </si>
  <si>
    <t>Methanol</t>
  </si>
  <si>
    <t>activity coefficient</t>
  </si>
  <si>
    <t>vapor pressure</t>
  </si>
  <si>
    <t>X</t>
  </si>
  <si>
    <t>Temperature</t>
    <phoneticPr fontId="2" type="noConversion"/>
  </si>
  <si>
    <t>Pure DMC</t>
    <phoneticPr fontId="2" type="noConversion"/>
  </si>
  <si>
    <t>0.1MeOH+0.9DMC</t>
    <phoneticPr fontId="2" type="noConversion"/>
  </si>
  <si>
    <t>0.3MeOH+0.7DMC</t>
    <phoneticPr fontId="2" type="noConversion"/>
  </si>
  <si>
    <t>0.5MeOH+0.5DMC</t>
    <phoneticPr fontId="2" type="noConversion"/>
  </si>
  <si>
    <t>0.7MeOH+0.3DMC</t>
    <phoneticPr fontId="2" type="noConversion"/>
  </si>
  <si>
    <t>0.9MeOH+0.1DMC</t>
    <phoneticPr fontId="2" type="noConversion"/>
  </si>
  <si>
    <t>Pure MeOH</t>
    <phoneticPr fontId="2" type="noConversion"/>
  </si>
  <si>
    <t>FLUX</t>
    <phoneticPr fontId="2" type="noConversion"/>
  </si>
  <si>
    <t>Temperature</t>
    <phoneticPr fontId="2" type="noConversion"/>
  </si>
  <si>
    <t>Temperature</t>
    <phoneticPr fontId="2" type="noConversion"/>
  </si>
  <si>
    <t>Permeance</t>
    <phoneticPr fontId="2" type="noConversion"/>
  </si>
  <si>
    <t>DMC (0.9MeOH+0.1DMC)</t>
    <phoneticPr fontId="2" type="noConversion"/>
  </si>
  <si>
    <t>MeOH (0.9MeOH+0.1DMC)</t>
    <phoneticPr fontId="2" type="noConversion"/>
  </si>
  <si>
    <t>DMC (0.7MeOH+0.3DMC)</t>
    <phoneticPr fontId="2" type="noConversion"/>
  </si>
  <si>
    <t>MeOH (0.7MeOH+0.3DMC)</t>
    <phoneticPr fontId="2" type="noConversion"/>
  </si>
  <si>
    <t>DMC (0.5MeOH+0.5DMC)</t>
    <phoneticPr fontId="2" type="noConversion"/>
  </si>
  <si>
    <t>MeOH (0.5MeOH+0.5DMC)</t>
    <phoneticPr fontId="2" type="noConversion"/>
  </si>
  <si>
    <t>DMC (0.3MeOH+0.7DMC)</t>
    <phoneticPr fontId="2" type="noConversion"/>
  </si>
  <si>
    <t>MeOH (0.3MeOH+0.7DMC)</t>
    <phoneticPr fontId="2" type="noConversion"/>
  </si>
  <si>
    <t>DMC (0.1MeOH+0.9DMC)</t>
    <phoneticPr fontId="2" type="noConversion"/>
  </si>
  <si>
    <t>MeOH (0.1MeOH+0.9DMC)</t>
    <phoneticPr fontId="2" type="noConversion"/>
  </si>
  <si>
    <t>Permeance MeOH</t>
    <phoneticPr fontId="2" type="noConversion"/>
  </si>
  <si>
    <t>Permeance DMC</t>
    <phoneticPr fontId="2" type="noConversion"/>
  </si>
  <si>
    <t>MeOH (0.1MeOH+0.9DMC)</t>
    <phoneticPr fontId="2" type="noConversion"/>
  </si>
  <si>
    <t>Temperature</t>
    <phoneticPr fontId="2" type="noConversion"/>
  </si>
  <si>
    <t>0.3MeOH+0.7DMC</t>
    <phoneticPr fontId="2" type="noConversion"/>
  </si>
  <si>
    <t>Pure MeOH/Pure DMC</t>
    <phoneticPr fontId="2" type="noConversion"/>
  </si>
  <si>
    <t>Separation Factor Methanol /DMC</t>
    <phoneticPr fontId="2" type="noConversion"/>
  </si>
  <si>
    <t>C8MIM NTf2</t>
  </si>
  <si>
    <t>2 hr 50 mbar</t>
  </si>
  <si>
    <t>Conc DMC/MeOH</t>
  </si>
  <si>
    <t>20/80</t>
  </si>
  <si>
    <t>50/50</t>
  </si>
  <si>
    <t>80/20</t>
  </si>
  <si>
    <t xml:space="preserve"> C1C8Pyrro  NTf2</t>
  </si>
  <si>
    <t>C8MIM NTf2 PAN 2H 50 mBar</t>
  </si>
  <si>
    <t>20 DMC + 80 MeOH</t>
  </si>
  <si>
    <t>50 DMC + 50 MeOH</t>
  </si>
  <si>
    <t>80 DMC + 20 MeOH</t>
  </si>
  <si>
    <t>NA</t>
  </si>
  <si>
    <t xml:space="preserve"> C1C8Pyrro  NTf2  2H 50 mBar</t>
  </si>
  <si>
    <t>Selectivity DMC/Methanol</t>
  </si>
  <si>
    <t>Separation Factor DMC/Methanol</t>
  </si>
  <si>
    <t>Selectivity DMC/methanol</t>
  </si>
  <si>
    <t>selectivity</t>
  </si>
  <si>
    <t>MeOH Concentration</t>
  </si>
  <si>
    <t>No</t>
  </si>
  <si>
    <t>membrane</t>
  </si>
  <si>
    <t>Duration (min)</t>
  </si>
  <si>
    <t>Acum time</t>
  </si>
  <si>
    <t>Permeate pressure (mbar)</t>
  </si>
  <si>
    <t>temperature (°C)</t>
  </si>
  <si>
    <t>weight of initial glas (g)</t>
  </si>
  <si>
    <t>weight of final glas(g)</t>
  </si>
  <si>
    <t>weight of permeate (g)</t>
  </si>
  <si>
    <t>flux (g/h m²)</t>
  </si>
  <si>
    <t>Average flux (g/h m²)</t>
  </si>
  <si>
    <t>[OMIM][NTf2]</t>
  </si>
  <si>
    <t>Conc. MeOH/DMC (mol%)</t>
  </si>
  <si>
    <t>Permeate Pressure average</t>
  </si>
  <si>
    <t>Temperature average</t>
  </si>
  <si>
    <t>area (m²)</t>
  </si>
  <si>
    <t>10/90</t>
  </si>
  <si>
    <t>90/10</t>
  </si>
  <si>
    <t>REPEAT</t>
  </si>
  <si>
    <t>10 DMC + 90 MeOH</t>
  </si>
  <si>
    <t>90 DMC + 10 MeOH</t>
  </si>
  <si>
    <t>R</t>
  </si>
  <si>
    <t>[OMPyrr][NTf2]</t>
  </si>
  <si>
    <t>90Me/10DMC</t>
  </si>
  <si>
    <t>50Me/50DMC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</si>
</sst>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0.000000"/>
    <numFmt numFmtId="177" formatCode="0.0000"/>
    <numFmt numFmtId="178" formatCode="0.00000"/>
    <numFmt numFmtId="179" formatCode="0.00000000"/>
    <numFmt numFmtId="180" formatCode="0.000"/>
  </numFmts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宋体"/>
      <family val="2"/>
      <scheme val="minor"/>
    </font>
    <font>
      <b/>
      <sz val="11"/>
      <color theme="3" tint="-0.249977111117893"/>
      <name val="宋体"/>
      <family val="2"/>
      <scheme val="minor"/>
    </font>
    <font>
      <sz val="11"/>
      <color theme="3" tint="-0.249977111117893"/>
      <name val="宋体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0" xfId="0" applyFont="1" applyFill="1"/>
    <xf numFmtId="0" fontId="3" fillId="3" borderId="0" xfId="0" applyFont="1" applyFill="1"/>
    <xf numFmtId="0" fontId="3" fillId="8" borderId="0" xfId="0" applyFont="1" applyFill="1"/>
    <xf numFmtId="176" fontId="3" fillId="0" borderId="0" xfId="0" applyNumberFormat="1" applyFont="1" applyAlignment="1">
      <alignment horizontal="center"/>
    </xf>
    <xf numFmtId="177" fontId="3" fillId="0" borderId="0" xfId="0" applyNumberFormat="1" applyFont="1"/>
    <xf numFmtId="0" fontId="5" fillId="2" borderId="0" xfId="0" applyFont="1" applyFill="1"/>
    <xf numFmtId="0" fontId="3" fillId="0" borderId="0" xfId="0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176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/>
    <xf numFmtId="0" fontId="5" fillId="0" borderId="0" xfId="0" applyFont="1" applyFill="1"/>
    <xf numFmtId="0" fontId="5" fillId="2" borderId="0" xfId="0" applyFont="1" applyFill="1" applyAlignment="1">
      <alignment horizontal="left"/>
    </xf>
    <xf numFmtId="0" fontId="5" fillId="5" borderId="0" xfId="0" applyFont="1" applyFill="1"/>
    <xf numFmtId="0" fontId="5" fillId="3" borderId="0" xfId="0" applyFont="1" applyFill="1"/>
    <xf numFmtId="176" fontId="5" fillId="2" borderId="0" xfId="0" applyNumberFormat="1" applyFont="1" applyFill="1" applyAlignment="1">
      <alignment horizontal="center"/>
    </xf>
    <xf numFmtId="177" fontId="5" fillId="2" borderId="0" xfId="0" applyNumberFormat="1" applyFont="1" applyFill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5" borderId="0" xfId="0" applyFont="1" applyFill="1" applyBorder="1"/>
    <xf numFmtId="0" fontId="3" fillId="3" borderId="0" xfId="0" applyFont="1" applyFill="1" applyBorder="1"/>
    <xf numFmtId="176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/>
    <xf numFmtId="0" fontId="5" fillId="2" borderId="0" xfId="0" applyFont="1" applyFill="1" applyBorder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9" borderId="0" xfId="0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9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Comma 2" xfId="1" xr:uid="{00000000-0005-0000-0000-000000000000}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'Permeance and Selectivity'!$AK$74:$AK$75</c:f>
              <c:numCache>
                <c:formatCode>General</c:formatCode>
                <c:ptCount val="2"/>
                <c:pt idx="0">
                  <c:v>40</c:v>
                </c:pt>
                <c:pt idx="1">
                  <c:v>50</c:v>
                </c:pt>
              </c:numCache>
            </c:numRef>
          </c:xVal>
          <c:yVal>
            <c:numRef>
              <c:f>'Permeance and Selectivity'!$AM$74:$AM$75</c:f>
              <c:numCache>
                <c:formatCode>General</c:formatCode>
                <c:ptCount val="2"/>
                <c:pt idx="0">
                  <c:v>8.4127778576531593</c:v>
                </c:pt>
                <c:pt idx="1">
                  <c:v>10.74179353681904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42-451D-B93D-68DF22753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3976"/>
        <c:axId val="649866328"/>
      </c:scatterChart>
      <c:valAx>
        <c:axId val="64986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6328"/>
        <c:crosses val="autoZero"/>
        <c:crossBetween val="midCat"/>
      </c:valAx>
      <c:valAx>
        <c:axId val="64986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3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Selectivity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[C8MIm][NTf2] 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graph'!$D$42:$D$44</c:f>
              <c:numCache>
                <c:formatCode>General</c:formatCode>
                <c:ptCount val="3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</c:numCache>
            </c:numRef>
          </c:xVal>
          <c:yVal>
            <c:numRef>
              <c:f>'data graph'!$E$42:$E$44</c:f>
              <c:numCache>
                <c:formatCode>General</c:formatCode>
                <c:ptCount val="3"/>
                <c:pt idx="0">
                  <c:v>1.7454876204731704</c:v>
                </c:pt>
                <c:pt idx="1">
                  <c:v>3.4504177552282886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F4-42EE-B858-5FE99A08E77F}"/>
            </c:ext>
          </c:extLst>
        </c:ser>
        <c:ser>
          <c:idx val="1"/>
          <c:order val="1"/>
          <c:tx>
            <c:v>[C1C8Pyrr][NTf2]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graph'!$D$42:$D$44</c:f>
              <c:numCache>
                <c:formatCode>General</c:formatCode>
                <c:ptCount val="3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</c:numCache>
            </c:numRef>
          </c:xVal>
          <c:yVal>
            <c:numRef>
              <c:f>'data graph'!$F$42:$F$44</c:f>
              <c:numCache>
                <c:formatCode>General</c:formatCode>
                <c:ptCount val="3"/>
                <c:pt idx="0">
                  <c:v>1.8890824061430378</c:v>
                </c:pt>
                <c:pt idx="1">
                  <c:v>48.41488177232263</c:v>
                </c:pt>
                <c:pt idx="2">
                  <c:v>37.252588441890062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F4-42EE-B858-5FE99A08E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1232"/>
        <c:axId val="649863584"/>
      </c:scatterChart>
      <c:valAx>
        <c:axId val="64986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DMC</a:t>
                </a:r>
                <a:r>
                  <a:rPr lang="fr-BE" baseline="0"/>
                  <a:t> 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3584"/>
        <c:crosses val="autoZero"/>
        <c:crossBetween val="midCat"/>
      </c:valAx>
      <c:valAx>
        <c:axId val="6498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Selectivity</a:t>
                </a:r>
                <a:r>
                  <a:rPr lang="fr-BE" baseline="0"/>
                  <a:t> DMC/MeOH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52</xdr:row>
      <xdr:rowOff>166686</xdr:rowOff>
    </xdr:from>
    <xdr:to>
      <xdr:col>36</xdr:col>
      <xdr:colOff>0</xdr:colOff>
      <xdr:row>80</xdr:row>
      <xdr:rowOff>95249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1562100</xdr:colOff>
      <xdr:row>36</xdr:row>
      <xdr:rowOff>23811</xdr:rowOff>
    </xdr:from>
    <xdr:to>
      <xdr:col>7</xdr:col>
      <xdr:colOff>1647825</xdr:colOff>
      <xdr:row>58</xdr:row>
      <xdr:rowOff>104774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5"/>
  <sheetViews>
    <sheetView tabSelected="1" topLeftCell="F1" zoomScaleNormal="100" workbookViewId="0">
      <selection activeCell="M26" sqref="M26"/>
    </sheetView>
  </sheetViews>
  <sheetFormatPr defaultColWidth="9.125" defaultRowHeight="14.25"/>
  <cols>
    <col min="1" max="1" width="22.125" style="1" bestFit="1" customWidth="1"/>
    <col min="2" max="2" width="18.375" style="2" customWidth="1"/>
    <col min="3" max="3" width="12.75" style="2" bestFit="1" customWidth="1"/>
    <col min="4" max="4" width="16.625" style="2" customWidth="1"/>
    <col min="5" max="6" width="16.625" style="3" customWidth="1"/>
    <col min="7" max="9" width="14.875" style="2" customWidth="1"/>
    <col min="10" max="11" width="13" style="2" bestFit="1" customWidth="1"/>
    <col min="12" max="12" width="12.25" style="2" customWidth="1"/>
    <col min="13" max="13" width="11.125" style="2" customWidth="1"/>
    <col min="14" max="14" width="16.625" style="3" customWidth="1"/>
    <col min="15" max="15" width="13.625" style="3" customWidth="1"/>
    <col min="16" max="16" width="14.375" style="2" customWidth="1"/>
    <col min="17" max="17" width="12.875" style="2" customWidth="1"/>
    <col min="18" max="19" width="9.125" style="2"/>
    <col min="20" max="20" width="16.625" style="2" bestFit="1" customWidth="1"/>
    <col min="21" max="21" width="12" style="2" bestFit="1" customWidth="1"/>
    <col min="22" max="23" width="12" style="2" customWidth="1"/>
    <col min="24" max="24" width="14.625" style="2" bestFit="1" customWidth="1"/>
    <col min="25" max="25" width="14.625" style="2" customWidth="1"/>
    <col min="26" max="26" width="12" style="2" customWidth="1"/>
    <col min="27" max="30" width="12.25" style="2" customWidth="1"/>
    <col min="31" max="31" width="12.75" style="2" customWidth="1"/>
    <col min="32" max="32" width="15.125" style="2" customWidth="1"/>
    <col min="33" max="33" width="22" style="2" customWidth="1"/>
    <col min="34" max="34" width="12.125" style="2" customWidth="1"/>
    <col min="35" max="35" width="13.75" style="2" customWidth="1"/>
    <col min="36" max="37" width="16.625" style="2" customWidth="1"/>
    <col min="38" max="38" width="32.75" style="2" bestFit="1" customWidth="1"/>
    <col min="39" max="40" width="13.25" style="2" customWidth="1"/>
    <col min="41" max="42" width="16.25" style="2" customWidth="1"/>
    <col min="43" max="44" width="15.125" style="2" bestFit="1" customWidth="1"/>
    <col min="45" max="45" width="18.25" style="2" customWidth="1"/>
    <col min="46" max="46" width="17.25" style="2" customWidth="1"/>
    <col min="47" max="48" width="16.375" style="2" customWidth="1"/>
    <col min="49" max="16384" width="9.125" style="2"/>
  </cols>
  <sheetData>
    <row r="1" spans="1:48">
      <c r="T1" s="2" t="s">
        <v>24</v>
      </c>
      <c r="U1" s="2" t="s">
        <v>45</v>
      </c>
      <c r="X1" s="2" t="s">
        <v>44</v>
      </c>
    </row>
    <row r="2" spans="1:48">
      <c r="T2" s="2" t="s">
        <v>25</v>
      </c>
      <c r="U2" s="2">
        <v>90</v>
      </c>
      <c r="X2" s="2">
        <v>118</v>
      </c>
      <c r="AO2" s="4"/>
      <c r="AP2" s="4"/>
    </row>
    <row r="3" spans="1:48" ht="15">
      <c r="J3" s="86"/>
      <c r="K3" s="87"/>
      <c r="L3" s="88"/>
      <c r="M3" s="89"/>
      <c r="N3" s="86"/>
      <c r="O3" s="87"/>
      <c r="P3" s="86"/>
      <c r="Q3" s="87"/>
      <c r="R3" s="90" t="s">
        <v>0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48" s="23" customFormat="1" ht="45">
      <c r="A4" s="5" t="s">
        <v>1</v>
      </c>
      <c r="B4" s="5" t="s">
        <v>92</v>
      </c>
      <c r="C4" s="6" t="s">
        <v>3</v>
      </c>
      <c r="D4" s="7" t="s">
        <v>4</v>
      </c>
      <c r="E4" s="8" t="s">
        <v>5</v>
      </c>
      <c r="F4" s="9" t="s">
        <v>6</v>
      </c>
      <c r="G4" s="52" t="s">
        <v>7</v>
      </c>
      <c r="H4" s="10" t="s">
        <v>8</v>
      </c>
      <c r="I4" s="5" t="s">
        <v>9</v>
      </c>
      <c r="J4" s="11" t="s">
        <v>31</v>
      </c>
      <c r="K4" s="12" t="s">
        <v>19</v>
      </c>
      <c r="L4" s="13" t="s">
        <v>32</v>
      </c>
      <c r="M4" s="14" t="s">
        <v>20</v>
      </c>
      <c r="N4" s="16" t="s">
        <v>33</v>
      </c>
      <c r="O4" s="17" t="s">
        <v>21</v>
      </c>
      <c r="P4" s="15" t="s">
        <v>34</v>
      </c>
      <c r="Q4" s="15" t="s">
        <v>22</v>
      </c>
      <c r="R4" s="52" t="s">
        <v>10</v>
      </c>
      <c r="S4" s="7" t="s">
        <v>11</v>
      </c>
      <c r="T4" s="15" t="s">
        <v>35</v>
      </c>
      <c r="U4" s="15" t="s">
        <v>23</v>
      </c>
      <c r="V4" s="15" t="s">
        <v>51</v>
      </c>
      <c r="W4" s="15" t="s">
        <v>52</v>
      </c>
      <c r="X4" s="5" t="s">
        <v>12</v>
      </c>
      <c r="Y4" s="6" t="s">
        <v>36</v>
      </c>
      <c r="Z4" s="6" t="s">
        <v>13</v>
      </c>
      <c r="AA4" s="6" t="s">
        <v>47</v>
      </c>
      <c r="AB4" s="6" t="s">
        <v>48</v>
      </c>
      <c r="AC4" s="6" t="s">
        <v>39</v>
      </c>
      <c r="AD4" s="6" t="s">
        <v>49</v>
      </c>
      <c r="AE4" s="6" t="s">
        <v>40</v>
      </c>
      <c r="AF4" s="6" t="s">
        <v>14</v>
      </c>
      <c r="AG4" s="10" t="s">
        <v>15</v>
      </c>
      <c r="AH4" s="6" t="s">
        <v>41</v>
      </c>
      <c r="AI4" s="6" t="s">
        <v>26</v>
      </c>
      <c r="AJ4" s="18" t="s">
        <v>42</v>
      </c>
      <c r="AK4" s="18" t="s">
        <v>27</v>
      </c>
      <c r="AL4" s="19" t="s">
        <v>43</v>
      </c>
      <c r="AM4" s="19" t="s">
        <v>16</v>
      </c>
      <c r="AN4" s="20" t="s">
        <v>17</v>
      </c>
      <c r="AO4" s="21" t="s">
        <v>37</v>
      </c>
      <c r="AP4" s="21" t="s">
        <v>18</v>
      </c>
      <c r="AQ4" s="21" t="s">
        <v>38</v>
      </c>
      <c r="AR4" s="21" t="s">
        <v>29</v>
      </c>
      <c r="AS4" s="22" t="s">
        <v>50</v>
      </c>
      <c r="AT4" s="22" t="s">
        <v>46</v>
      </c>
      <c r="AU4" s="22" t="s">
        <v>103</v>
      </c>
      <c r="AV4" s="22" t="s">
        <v>104</v>
      </c>
    </row>
    <row r="5" spans="1:48">
      <c r="A5" s="51" t="s">
        <v>90</v>
      </c>
      <c r="B5" s="2" t="s">
        <v>93</v>
      </c>
      <c r="C5" s="2">
        <v>30</v>
      </c>
      <c r="D5" s="3">
        <v>29.756250000000001</v>
      </c>
      <c r="E5" s="3">
        <f>D5+273.15</f>
        <v>302.90625</v>
      </c>
      <c r="F5" s="3">
        <f>1000/(E5*8.314)</f>
        <v>0.39708341240877226</v>
      </c>
      <c r="G5" s="2">
        <v>1880.9992207554133</v>
      </c>
      <c r="H5" s="2">
        <f t="shared" ref="H5:H6" si="0">G5/1000</f>
        <v>1.8809992207554134</v>
      </c>
      <c r="I5" s="2">
        <f t="shared" ref="I5:I6" si="1">LN(H5)</f>
        <v>0.63180313604736327</v>
      </c>
      <c r="J5" s="24">
        <v>0.27309106096239666</v>
      </c>
      <c r="K5" s="24">
        <v>0.72690893903760334</v>
      </c>
      <c r="L5" s="25">
        <v>0.28479436499244698</v>
      </c>
      <c r="M5" s="25">
        <v>0.7152056350075533</v>
      </c>
      <c r="N5" s="3">
        <v>1.4974912400282754</v>
      </c>
      <c r="O5" s="3">
        <v>1.0672077246516751</v>
      </c>
      <c r="P5" s="2">
        <v>9.2306977211876737E-2</v>
      </c>
      <c r="Q5" s="56">
        <v>0.2133013693159149</v>
      </c>
      <c r="R5" s="2">
        <v>0</v>
      </c>
      <c r="S5" s="2">
        <f>R5/1013.25</f>
        <v>0</v>
      </c>
      <c r="T5" s="2">
        <f>S5*L5</f>
        <v>0</v>
      </c>
      <c r="U5" s="2">
        <f>S5*M5</f>
        <v>0</v>
      </c>
      <c r="V5" s="51">
        <v>90.08</v>
      </c>
      <c r="W5" s="51">
        <v>32.04</v>
      </c>
      <c r="X5" s="2">
        <f>L5*V5+M5*W5</f>
        <v>48.569464944161631</v>
      </c>
      <c r="Y5" s="2">
        <f>$U$2*G5*L5/X5</f>
        <v>992.65697350789526</v>
      </c>
      <c r="Z5" s="2">
        <f>W5*G5*M5/X5</f>
        <v>887.45988549328877</v>
      </c>
      <c r="AA5" s="2">
        <f t="shared" ref="AA5:AB7" si="2">Y5/1000</f>
        <v>0.99265697350789528</v>
      </c>
      <c r="AB5" s="2">
        <f t="shared" si="2"/>
        <v>0.8874598854932888</v>
      </c>
      <c r="AC5" s="2">
        <f t="shared" ref="AC5:AD7" si="3">LN(AA5)</f>
        <v>-7.3701192210312814E-3</v>
      </c>
      <c r="AD5" s="2">
        <f t="shared" si="3"/>
        <v>-0.11939195809827348</v>
      </c>
      <c r="AE5" s="2">
        <f>Y5*22.4/$U$2/3600/10000*1000</f>
        <v>6.8628136440052013E-3</v>
      </c>
      <c r="AF5" s="2">
        <f t="shared" ref="AF5:AF7" si="4">Z5*22.4/W5/3600/10000*1000</f>
        <v>1.7234621163692666E-2</v>
      </c>
      <c r="AG5" s="27">
        <f>AE5+AF5</f>
        <v>2.4097434807697868E-2</v>
      </c>
      <c r="AH5" s="2">
        <f t="shared" ref="AH5:AI7" si="5">(N5*J5*P5-T5)</f>
        <v>3.7749074162472411E-2</v>
      </c>
      <c r="AI5" s="2">
        <f t="shared" si="5"/>
        <v>0.1654712749398812</v>
      </c>
      <c r="AJ5" s="2">
        <f t="shared" ref="AJ5:AK7" si="6">AE5/AH5</f>
        <v>0.18180084667686364</v>
      </c>
      <c r="AK5" s="2">
        <f t="shared" si="6"/>
        <v>0.10415476142281689</v>
      </c>
      <c r="AL5" s="4">
        <f t="shared" ref="AL5:AM7" si="7">AJ5*1000000/76</f>
        <v>2392.1164036429427</v>
      </c>
      <c r="AM5" s="4">
        <f t="shared" si="7"/>
        <v>1370.4573871423277</v>
      </c>
      <c r="AN5" s="28">
        <v>0.25</v>
      </c>
      <c r="AO5" s="2">
        <f t="shared" ref="AO5:AP7" si="8">AJ5*$AN$5/10</f>
        <v>4.5450211669215909E-3</v>
      </c>
      <c r="AP5" s="2">
        <f t="shared" si="8"/>
        <v>2.6038690355704225E-3</v>
      </c>
      <c r="AQ5" s="2">
        <f>AO5*10000000000/76</f>
        <v>598029.10091073567</v>
      </c>
      <c r="AR5" s="2">
        <f t="shared" ref="AR5" si="9">AP5*10000000000/76</f>
        <v>342614.3467855819</v>
      </c>
      <c r="AS5" s="29">
        <f>AM5/AL5</f>
        <v>0.5729058105430257</v>
      </c>
      <c r="AT5" s="2">
        <f>(M5/L5)/(K5/J5)</f>
        <v>0.94346764391898319</v>
      </c>
      <c r="AU5" s="2">
        <f>1/AS5</f>
        <v>1.7454876204731724</v>
      </c>
      <c r="AV5" s="2">
        <f>1/AT5</f>
        <v>1.0599197613669</v>
      </c>
    </row>
    <row r="6" spans="1:48">
      <c r="A6" s="51" t="s">
        <v>91</v>
      </c>
      <c r="B6" s="2" t="s">
        <v>94</v>
      </c>
      <c r="C6" s="2">
        <v>30</v>
      </c>
      <c r="D6" s="30">
        <v>29.85</v>
      </c>
      <c r="E6" s="3">
        <f t="shared" ref="E6:E7" si="10">D6+273.15</f>
        <v>303</v>
      </c>
      <c r="F6" s="3">
        <f t="shared" ref="F6:F7" si="11">1000/(E6*8.314)</f>
        <v>0.39696055244206163</v>
      </c>
      <c r="G6" s="2">
        <v>800.04714148736582</v>
      </c>
      <c r="H6" s="2">
        <f t="shared" si="0"/>
        <v>0.80004714148736578</v>
      </c>
      <c r="I6" s="2">
        <f t="shared" si="1"/>
        <v>-0.22308462619112171</v>
      </c>
      <c r="J6" s="24">
        <v>0.3758280638576128</v>
      </c>
      <c r="K6" s="24">
        <v>0.6241719361423872</v>
      </c>
      <c r="L6" s="25">
        <v>0.51591910515308115</v>
      </c>
      <c r="M6" s="25">
        <v>0.48408089484691891</v>
      </c>
      <c r="N6" s="3">
        <v>1.3362741558551756</v>
      </c>
      <c r="O6" s="3">
        <v>1.1271176616426559</v>
      </c>
      <c r="P6" s="2">
        <v>9.2728625501798376E-2</v>
      </c>
      <c r="Q6" s="56">
        <v>0.21430540119803795</v>
      </c>
      <c r="R6" s="2">
        <v>0</v>
      </c>
      <c r="S6" s="2">
        <f>R6/1013.25</f>
        <v>0</v>
      </c>
      <c r="T6" s="2">
        <f>S6*L6</f>
        <v>0</v>
      </c>
      <c r="U6" s="2">
        <f>S6*M6</f>
        <v>0</v>
      </c>
      <c r="V6" s="51">
        <v>90.08</v>
      </c>
      <c r="W6" s="51">
        <v>32.04</v>
      </c>
      <c r="X6" s="2">
        <f t="shared" ref="X6:X7" si="12">L6*V6+M6*W6</f>
        <v>61.98394486308483</v>
      </c>
      <c r="Y6" s="2">
        <f>$U$2*G6*L6/X6</f>
        <v>599.32236582450707</v>
      </c>
      <c r="Z6" s="2">
        <f t="shared" ref="Z6:Z7" si="13">W6*G6*M6/X6</f>
        <v>200.19204467101474</v>
      </c>
      <c r="AA6" s="2">
        <f t="shared" si="2"/>
        <v>0.59932236582450704</v>
      </c>
      <c r="AB6" s="2">
        <f t="shared" si="2"/>
        <v>0.20019204467101473</v>
      </c>
      <c r="AC6" s="2">
        <f t="shared" si="3"/>
        <v>-0.51195565230028994</v>
      </c>
      <c r="AD6" s="2">
        <f t="shared" si="3"/>
        <v>-1.608478149798567</v>
      </c>
      <c r="AE6" s="2">
        <f>Y6*22.4/$U$2/3600/10000*1000</f>
        <v>4.1434632698978263E-3</v>
      </c>
      <c r="AF6" s="2">
        <f t="shared" si="4"/>
        <v>3.8877633865920468E-3</v>
      </c>
      <c r="AG6" s="27">
        <f t="shared" ref="AG6:AG7" si="14">AE6+AF6</f>
        <v>8.0312266564898736E-3</v>
      </c>
      <c r="AH6" s="2">
        <f t="shared" si="5"/>
        <v>4.6569180771766236E-2</v>
      </c>
      <c r="AI6" s="2">
        <f t="shared" si="5"/>
        <v>0.15076710999827136</v>
      </c>
      <c r="AJ6" s="2">
        <f t="shared" si="6"/>
        <v>8.8974364616907914E-2</v>
      </c>
      <c r="AK6" s="2">
        <f t="shared" si="6"/>
        <v>2.5786548449702473E-2</v>
      </c>
      <c r="AL6" s="4">
        <f t="shared" si="7"/>
        <v>1170.7153239066831</v>
      </c>
      <c r="AM6" s="4">
        <f t="shared" si="7"/>
        <v>339.29669012766414</v>
      </c>
      <c r="AN6" s="28">
        <v>0.25</v>
      </c>
      <c r="AO6" s="2">
        <f t="shared" si="8"/>
        <v>2.2243591154226978E-3</v>
      </c>
      <c r="AP6" s="2">
        <f t="shared" si="8"/>
        <v>6.4466371124256177E-4</v>
      </c>
      <c r="AQ6" s="2">
        <f>AO6*10000000000/76</f>
        <v>292678.83097667078</v>
      </c>
      <c r="AR6" s="2">
        <f t="shared" ref="AR6" si="15">AP6*10000000000/76</f>
        <v>84824.172531916018</v>
      </c>
      <c r="AS6" s="29">
        <f t="shared" ref="AS6:AS7" si="16">AM6/AL6</f>
        <v>0.28981997860541309</v>
      </c>
      <c r="AT6" s="2">
        <f>(M6/L6)/(K6/J6)</f>
        <v>0.56496468362878038</v>
      </c>
      <c r="AU6" s="2">
        <f t="shared" ref="AU6:AU7" si="17">1/AS6</f>
        <v>3.4504177552282886</v>
      </c>
      <c r="AV6" s="2">
        <f t="shared" ref="AV6:AV7" si="18">1/AT6</f>
        <v>1.7700221429364016</v>
      </c>
    </row>
    <row r="7" spans="1:48">
      <c r="B7" s="2" t="s">
        <v>95</v>
      </c>
      <c r="C7" s="2">
        <v>30</v>
      </c>
      <c r="D7" s="3">
        <v>30.307142859999999</v>
      </c>
      <c r="E7" s="3">
        <f t="shared" si="10"/>
        <v>303.45714285999998</v>
      </c>
      <c r="F7" s="3">
        <f t="shared" si="11"/>
        <v>0.39636255141779753</v>
      </c>
      <c r="G7" s="2">
        <v>739.79689860058591</v>
      </c>
      <c r="H7" s="2">
        <f>G7/1000</f>
        <v>0.73979689860058595</v>
      </c>
      <c r="I7" s="2">
        <f>LN(H7)</f>
        <v>-0.30137959180589069</v>
      </c>
      <c r="J7" s="24">
        <v>0.69777091800273783</v>
      </c>
      <c r="K7" s="24">
        <v>0.30222908199726217</v>
      </c>
      <c r="L7" s="25">
        <v>0.98</v>
      </c>
      <c r="M7" s="25">
        <v>0.02</v>
      </c>
      <c r="N7" s="3">
        <v>1.0649982912728764</v>
      </c>
      <c r="O7" s="3">
        <v>1.4611948378804285</v>
      </c>
      <c r="P7" s="2">
        <v>9.4807942172813825E-2</v>
      </c>
      <c r="Q7" s="56">
        <v>0.21925924327058088</v>
      </c>
      <c r="R7" s="2">
        <v>0</v>
      </c>
      <c r="S7" s="2">
        <f>R7/1013.25</f>
        <v>0</v>
      </c>
      <c r="T7" s="2">
        <f>S7*L7</f>
        <v>0</v>
      </c>
      <c r="U7" s="2">
        <f>S7*M7</f>
        <v>0</v>
      </c>
      <c r="V7" s="51">
        <v>90.08</v>
      </c>
      <c r="W7" s="51">
        <v>32.04</v>
      </c>
      <c r="X7" s="2">
        <f t="shared" si="12"/>
        <v>88.919199999999989</v>
      </c>
      <c r="Y7" s="2">
        <f>$U$2*G7*L7/X7</f>
        <v>733.81324232079999</v>
      </c>
      <c r="Z7" s="2">
        <f t="shared" si="13"/>
        <v>5.3313778421674449</v>
      </c>
      <c r="AA7" s="2">
        <f t="shared" si="2"/>
        <v>0.73381324232080003</v>
      </c>
      <c r="AB7" s="2">
        <f t="shared" si="2"/>
        <v>5.3313778421674451E-3</v>
      </c>
      <c r="AC7" s="2">
        <f t="shared" si="3"/>
        <v>-0.30950072099756687</v>
      </c>
      <c r="AD7" s="2">
        <f t="shared" si="3"/>
        <v>-5.2341455672382997</v>
      </c>
      <c r="AE7" s="2">
        <f>Y7*22.4/$U$2/3600/10000*1000</f>
        <v>5.0732767370326916E-3</v>
      </c>
      <c r="AF7" s="2">
        <f t="shared" si="4"/>
        <v>1.0353625993944268E-4</v>
      </c>
      <c r="AG7" s="27">
        <f t="shared" si="14"/>
        <v>5.1768129969721344E-3</v>
      </c>
      <c r="AH7" s="2">
        <f t="shared" si="5"/>
        <v>7.0454136419208321E-2</v>
      </c>
      <c r="AI7" s="2">
        <f t="shared" si="5"/>
        <v>9.6828296675176617E-2</v>
      </c>
      <c r="AJ7" s="2">
        <f t="shared" si="6"/>
        <v>7.2008216903635694E-2</v>
      </c>
      <c r="AK7" s="2">
        <f t="shared" si="6"/>
        <v>1.0692768900682909E-3</v>
      </c>
      <c r="AL7" s="4">
        <f t="shared" si="7"/>
        <v>947.47653820573282</v>
      </c>
      <c r="AM7" s="4">
        <f t="shared" si="7"/>
        <v>14.069432764056458</v>
      </c>
      <c r="AN7" s="28">
        <v>0.25</v>
      </c>
      <c r="AO7" s="2">
        <f t="shared" si="8"/>
        <v>1.8002054225908924E-3</v>
      </c>
      <c r="AP7" s="2">
        <f t="shared" si="8"/>
        <v>2.6731922251707273E-5</v>
      </c>
      <c r="AQ7" s="2">
        <f>AO7*10000000000/76</f>
        <v>236869.13455143321</v>
      </c>
      <c r="AR7" s="2">
        <f t="shared" ref="AR7" si="19">AP7*10000000000/76</f>
        <v>3517.3581910141152</v>
      </c>
      <c r="AS7" s="29">
        <f t="shared" si="16"/>
        <v>1.4849373252766977E-2</v>
      </c>
      <c r="AT7" s="2">
        <f>(M7/L7)/(K7/J7)</f>
        <v>4.7117314860227133E-2</v>
      </c>
      <c r="AU7" s="2">
        <f t="shared" si="17"/>
        <v>67.342909561093009</v>
      </c>
      <c r="AV7" s="2">
        <f t="shared" si="18"/>
        <v>21.223620296837506</v>
      </c>
    </row>
    <row r="8" spans="1:48" s="32" customFormat="1">
      <c r="A8" s="31"/>
      <c r="E8" s="3"/>
      <c r="F8" s="3"/>
      <c r="J8" s="24"/>
      <c r="K8" s="24"/>
      <c r="L8" s="25"/>
      <c r="M8" s="25"/>
      <c r="N8" s="33"/>
      <c r="O8" s="33"/>
      <c r="V8" s="51"/>
      <c r="W8" s="51"/>
      <c r="Z8" s="26"/>
      <c r="AG8" s="34"/>
      <c r="AN8" s="35"/>
      <c r="AS8" s="36"/>
      <c r="AT8" s="2"/>
      <c r="AU8" s="2"/>
    </row>
    <row r="9" spans="1:48" s="32" customFormat="1">
      <c r="A9" s="31"/>
      <c r="E9" s="33"/>
      <c r="F9" s="3"/>
      <c r="H9" s="2"/>
      <c r="I9" s="2"/>
      <c r="J9" s="24"/>
      <c r="K9" s="24"/>
      <c r="L9" s="25"/>
      <c r="M9" s="25"/>
      <c r="N9" s="33"/>
      <c r="O9" s="33"/>
      <c r="S9" s="2"/>
      <c r="T9" s="2"/>
      <c r="U9" s="2"/>
      <c r="V9" s="51"/>
      <c r="W9" s="51"/>
      <c r="X9" s="2"/>
      <c r="Y9" s="2"/>
      <c r="Z9" s="26"/>
      <c r="AA9" s="2"/>
      <c r="AB9" s="2"/>
      <c r="AC9" s="2"/>
      <c r="AD9" s="2"/>
      <c r="AE9" s="2"/>
      <c r="AF9" s="2"/>
      <c r="AG9" s="27"/>
      <c r="AH9" s="2"/>
      <c r="AI9" s="2"/>
      <c r="AJ9" s="2"/>
      <c r="AK9" s="2"/>
      <c r="AL9" s="2"/>
      <c r="AM9" s="2"/>
      <c r="AN9" s="28"/>
      <c r="AO9" s="2"/>
      <c r="AP9" s="2"/>
      <c r="AQ9" s="2"/>
      <c r="AR9" s="2"/>
      <c r="AS9" s="29"/>
      <c r="AT9" s="2"/>
      <c r="AU9" s="2"/>
    </row>
    <row r="10" spans="1:48" s="32" customFormat="1">
      <c r="A10" s="31"/>
      <c r="E10" s="3"/>
      <c r="F10" s="3"/>
      <c r="J10" s="24"/>
      <c r="K10" s="24"/>
      <c r="L10" s="25"/>
      <c r="M10" s="25"/>
      <c r="N10" s="33"/>
      <c r="O10" s="33"/>
      <c r="V10" s="51"/>
      <c r="W10" s="51"/>
      <c r="Z10" s="26"/>
      <c r="AG10" s="34"/>
      <c r="AN10" s="35"/>
      <c r="AS10" s="36"/>
      <c r="AT10" s="2"/>
      <c r="AU10" s="2"/>
    </row>
    <row r="11" spans="1:48" s="32" customFormat="1">
      <c r="A11" s="31"/>
      <c r="E11" s="33"/>
      <c r="F11" s="3"/>
      <c r="H11" s="2"/>
      <c r="I11" s="2"/>
      <c r="J11" s="24"/>
      <c r="K11" s="24"/>
      <c r="L11" s="25"/>
      <c r="M11" s="25"/>
      <c r="N11" s="33"/>
      <c r="O11" s="33"/>
      <c r="S11" s="2"/>
      <c r="T11" s="2"/>
      <c r="U11" s="2"/>
      <c r="V11" s="51"/>
      <c r="W11" s="51"/>
      <c r="X11" s="2"/>
      <c r="Y11" s="2"/>
      <c r="Z11" s="26"/>
      <c r="AA11" s="2"/>
      <c r="AB11" s="2"/>
      <c r="AC11" s="2"/>
      <c r="AD11" s="2"/>
      <c r="AE11" s="2"/>
      <c r="AF11" s="2"/>
      <c r="AG11" s="27"/>
      <c r="AH11" s="2"/>
      <c r="AI11" s="2"/>
      <c r="AJ11" s="2"/>
      <c r="AK11" s="2"/>
      <c r="AL11" s="2"/>
      <c r="AM11" s="2"/>
      <c r="AN11" s="28"/>
      <c r="AO11" s="2"/>
      <c r="AP11" s="2"/>
      <c r="AQ11" s="2"/>
      <c r="AR11" s="2"/>
      <c r="AS11" s="29"/>
      <c r="AT11" s="2"/>
      <c r="AU11" s="2"/>
    </row>
    <row r="12" spans="1:48">
      <c r="A12" s="51" t="s">
        <v>96</v>
      </c>
      <c r="B12" s="2" t="s">
        <v>93</v>
      </c>
      <c r="C12" s="2">
        <v>30</v>
      </c>
      <c r="D12" s="2">
        <v>30.087499999999999</v>
      </c>
      <c r="E12" s="3">
        <f t="shared" ref="E12:E14" si="20">D12+273.15</f>
        <v>303.23749999999995</v>
      </c>
      <c r="F12" s="3">
        <f t="shared" ref="F12:F14" si="21">1000/(E12*8.314)</f>
        <v>0.39664964719055096</v>
      </c>
      <c r="G12" s="2">
        <v>408.68159964788197</v>
      </c>
      <c r="H12" s="2">
        <f>G12/1000</f>
        <v>0.40868159964788198</v>
      </c>
      <c r="I12" s="2">
        <f t="shared" ref="I12:I14" si="22">LN(H12)</f>
        <v>-0.89481891108461808</v>
      </c>
      <c r="J12" s="24">
        <v>0.23966511348464459</v>
      </c>
      <c r="K12" s="24">
        <v>0.76033488651535541</v>
      </c>
      <c r="L12" s="25">
        <f>1-M12</f>
        <v>0.27660898471661599</v>
      </c>
      <c r="M12" s="25">
        <v>0.72339101528338401</v>
      </c>
      <c r="N12" s="3">
        <v>1.5616481864217679</v>
      </c>
      <c r="O12" s="3">
        <v>1.0518866538445433</v>
      </c>
      <c r="P12" s="2">
        <v>9.3804056199135039E-2</v>
      </c>
      <c r="Q12" s="2">
        <v>0.21686701859538893</v>
      </c>
      <c r="R12" s="2">
        <v>0</v>
      </c>
      <c r="S12" s="2">
        <f t="shared" ref="S12" si="23">R12/1013.25</f>
        <v>0</v>
      </c>
      <c r="T12" s="2">
        <f>S12*L12</f>
        <v>0</v>
      </c>
      <c r="U12" s="2">
        <f>S12*M12</f>
        <v>0</v>
      </c>
      <c r="V12" s="51">
        <v>90.08</v>
      </c>
      <c r="W12" s="51">
        <v>32.04</v>
      </c>
      <c r="X12" s="2">
        <f t="shared" ref="X12:X13" si="24">L12*V12+M12*W12</f>
        <v>48.094385472952389</v>
      </c>
      <c r="Y12" s="2">
        <f>$U$2*G12*L12/X12</f>
        <v>211.54340806180855</v>
      </c>
      <c r="Z12" s="2">
        <f t="shared" ref="Z12:Z13" si="25">W12*G12*M12/X12</f>
        <v>196.95015300112962</v>
      </c>
      <c r="AA12" s="2">
        <f t="shared" ref="AA12:AA14" si="26">Y12/1000</f>
        <v>0.21154340806180855</v>
      </c>
      <c r="AB12" s="2">
        <f t="shared" ref="AB12:AB14" si="27">Z12/1000</f>
        <v>0.19695015300112961</v>
      </c>
      <c r="AC12" s="2">
        <f t="shared" ref="AC12:AC14" si="28">LN(AA12)</f>
        <v>-1.5533250624915349</v>
      </c>
      <c r="AD12" s="2">
        <f t="shared" ref="AD12:AD14" si="29">LN(AB12)</f>
        <v>-1.624804612712873</v>
      </c>
      <c r="AE12" s="2">
        <f>Y12*22.4/$U$2/3600/10000*1000</f>
        <v>1.4625223273408985E-3</v>
      </c>
      <c r="AF12" s="2">
        <f t="shared" ref="AF12:AF14" si="30">Z12*22.4/W12/3600/10000*1000</f>
        <v>3.8248053017281383E-3</v>
      </c>
      <c r="AG12" s="27">
        <f t="shared" ref="AG12:AG13" si="31">AE12+AF12</f>
        <v>5.287327629069037E-3</v>
      </c>
      <c r="AH12" s="2">
        <f t="shared" ref="AH12:AH14" si="32">(N12*J12*P12-T12)</f>
        <v>3.5108287049445797E-2</v>
      </c>
      <c r="AI12" s="2">
        <f t="shared" ref="AI12:AI14" si="33">(O12*K12*Q12-U12)</f>
        <v>0.17344723126683609</v>
      </c>
      <c r="AJ12" s="2">
        <f t="shared" ref="AJ12:AJ14" si="34">AE12/AH12</f>
        <v>4.1657467517031289E-2</v>
      </c>
      <c r="AK12" s="2">
        <f t="shared" ref="AK12:AK14" si="35">AF12/AI12</f>
        <v>2.2051694188441384E-2</v>
      </c>
      <c r="AL12" s="4">
        <f t="shared" ref="AL12:AL14" si="36">AJ12*1000000/76</f>
        <v>548.12457259251698</v>
      </c>
      <c r="AM12" s="4">
        <f t="shared" ref="AM12:AM14" si="37">AK12*1000000/76</f>
        <v>290.15387090054452</v>
      </c>
      <c r="AN12" s="28">
        <v>0.25</v>
      </c>
      <c r="AO12" s="2">
        <f>AJ12*$AN$5/10</f>
        <v>1.0414366879257823E-3</v>
      </c>
      <c r="AP12" s="2">
        <f>AK12*$AN$5/10</f>
        <v>5.5129235471103463E-4</v>
      </c>
      <c r="AQ12" s="2">
        <f>AO12*10000000000/76</f>
        <v>137031.14314812925</v>
      </c>
      <c r="AR12" s="2">
        <f t="shared" ref="AR12:AR13" si="38">AP12*10000000000/76</f>
        <v>72538.467725136128</v>
      </c>
      <c r="AS12" s="29">
        <f>AM12/AL12</f>
        <v>0.52935753186210233</v>
      </c>
      <c r="AT12" s="2">
        <f>(M12/L12)/(K12/J12)</f>
        <v>0.82434067825696988</v>
      </c>
      <c r="AU12" s="2">
        <f t="shared" ref="AU12:AU13" si="39">1/AS12</f>
        <v>1.8890824061430378</v>
      </c>
      <c r="AV12" s="2">
        <f t="shared" ref="AV12:AV13" si="40">1/AT12</f>
        <v>1.2130906873532599</v>
      </c>
    </row>
    <row r="13" spans="1:48">
      <c r="A13" s="51" t="s">
        <v>91</v>
      </c>
      <c r="B13" s="2" t="s">
        <v>94</v>
      </c>
      <c r="C13" s="2">
        <v>30</v>
      </c>
      <c r="D13" s="2">
        <v>29.912500000000001</v>
      </c>
      <c r="E13" s="3">
        <f t="shared" si="20"/>
        <v>303.0625</v>
      </c>
      <c r="F13" s="3">
        <f t="shared" si="21"/>
        <v>0.39687868802621462</v>
      </c>
      <c r="G13" s="2">
        <v>241.14213836880475</v>
      </c>
      <c r="H13" s="2">
        <f t="shared" ref="H13:H14" si="41">G13/1000</f>
        <v>0.24114213836880474</v>
      </c>
      <c r="I13" s="2">
        <f t="shared" si="22"/>
        <v>-1.4223687335840749</v>
      </c>
      <c r="J13" s="24">
        <v>0.48223325899251601</v>
      </c>
      <c r="K13" s="24">
        <v>0.51776674100748399</v>
      </c>
      <c r="L13" s="25">
        <f>1-M13</f>
        <v>0.95137498032732892</v>
      </c>
      <c r="M13" s="25">
        <v>4.8625019672671077E-2</v>
      </c>
      <c r="N13" s="3">
        <v>1.2144297855177411</v>
      </c>
      <c r="O13" s="3">
        <v>1.2109408443752632</v>
      </c>
      <c r="P13" s="2">
        <v>9.301062323468777E-2</v>
      </c>
      <c r="Q13" s="2">
        <v>0.2149769942824144</v>
      </c>
      <c r="R13" s="2">
        <v>0</v>
      </c>
      <c r="S13" s="2">
        <f>R13/1013.25</f>
        <v>0</v>
      </c>
      <c r="T13" s="2">
        <f>S13*L13</f>
        <v>0</v>
      </c>
      <c r="U13" s="2">
        <f>S13*M13</f>
        <v>0</v>
      </c>
      <c r="V13" s="51">
        <v>90.08</v>
      </c>
      <c r="W13" s="51">
        <v>32.04</v>
      </c>
      <c r="X13" s="2">
        <f t="shared" si="24"/>
        <v>87.257803858198159</v>
      </c>
      <c r="Y13" s="2">
        <f>$U$2*G13*L13/X13</f>
        <v>236.62632830821755</v>
      </c>
      <c r="Z13" s="2">
        <f t="shared" si="25"/>
        <v>4.3054755465354981</v>
      </c>
      <c r="AA13" s="2">
        <f t="shared" si="26"/>
        <v>0.23662632830821756</v>
      </c>
      <c r="AB13" s="2">
        <f t="shared" si="27"/>
        <v>4.3054755465354979E-3</v>
      </c>
      <c r="AC13" s="2">
        <f t="shared" si="28"/>
        <v>-1.4412730559101703</v>
      </c>
      <c r="AD13" s="2">
        <f t="shared" si="29"/>
        <v>-5.4478676834318041</v>
      </c>
      <c r="AE13" s="2">
        <f>Y13*22.4/$U$2/3600/10000*1000</f>
        <v>1.6359351092913807E-3</v>
      </c>
      <c r="AF13" s="2">
        <f t="shared" si="30"/>
        <v>8.3613063741846261E-5</v>
      </c>
      <c r="AG13" s="27">
        <f t="shared" si="31"/>
        <v>1.7195481730332268E-3</v>
      </c>
      <c r="AH13" s="2">
        <f t="shared" si="32"/>
        <v>5.447059567028463E-2</v>
      </c>
      <c r="AI13" s="2">
        <f t="shared" si="33"/>
        <v>0.13478732808976729</v>
      </c>
      <c r="AJ13" s="2">
        <f t="shared" si="34"/>
        <v>3.0033361837895838E-2</v>
      </c>
      <c r="AK13" s="2">
        <f t="shared" si="35"/>
        <v>6.2033326817014E-4</v>
      </c>
      <c r="AL13" s="4">
        <f t="shared" si="36"/>
        <v>395.17581365652421</v>
      </c>
      <c r="AM13" s="4">
        <f t="shared" si="37"/>
        <v>8.1622798443439475</v>
      </c>
      <c r="AN13" s="28">
        <v>0.25</v>
      </c>
      <c r="AO13" s="2">
        <f>AJ13*$AN$5/10</f>
        <v>7.5083404594739598E-4</v>
      </c>
      <c r="AP13" s="2">
        <f>AK13*$AN$5/10</f>
        <v>1.5508331704253499E-5</v>
      </c>
      <c r="AQ13" s="2">
        <f>AO13*10000000000/76</f>
        <v>98793.953414131058</v>
      </c>
      <c r="AR13" s="2">
        <f t="shared" si="38"/>
        <v>2040.5699610859867</v>
      </c>
      <c r="AS13" s="29">
        <f t="shared" ref="AS13" si="42">AM13/AL13</f>
        <v>2.0654806195802188E-2</v>
      </c>
      <c r="AT13" s="2">
        <f>(M13/L13)/(K13/J13)</f>
        <v>4.7602643837192461E-2</v>
      </c>
      <c r="AU13" s="2">
        <f t="shared" si="39"/>
        <v>48.414881772322637</v>
      </c>
      <c r="AV13" s="2">
        <f t="shared" si="40"/>
        <v>21.00723656064433</v>
      </c>
    </row>
    <row r="14" spans="1:48">
      <c r="B14" s="2" t="s">
        <v>95</v>
      </c>
      <c r="C14" s="2">
        <v>30</v>
      </c>
      <c r="D14" s="2">
        <v>29.981249999999999</v>
      </c>
      <c r="E14" s="3">
        <f t="shared" si="20"/>
        <v>303.13124999999997</v>
      </c>
      <c r="F14" s="3">
        <f t="shared" si="21"/>
        <v>0.39678867615907193</v>
      </c>
      <c r="G14" s="2">
        <v>3333.4354421570065</v>
      </c>
      <c r="H14" s="2">
        <f t="shared" si="41"/>
        <v>3.3334354421570067</v>
      </c>
      <c r="I14" s="2">
        <f t="shared" si="22"/>
        <v>1.2040034365038681</v>
      </c>
      <c r="J14" s="24">
        <v>0.813361886672333</v>
      </c>
      <c r="K14" s="24">
        <v>0.186638113327667</v>
      </c>
      <c r="L14" s="25">
        <f>1-M14</f>
        <v>0.97755481704081371</v>
      </c>
      <c r="M14" s="25">
        <v>2.2445182959186238E-2</v>
      </c>
      <c r="N14" s="3">
        <v>1.0237025514526015</v>
      </c>
      <c r="O14" s="3">
        <v>1.6507912295873604</v>
      </c>
      <c r="P14" s="2">
        <v>9.3321653319901388E-2</v>
      </c>
      <c r="Q14" s="2">
        <v>0.21571782044481194</v>
      </c>
      <c r="R14" s="2">
        <v>0</v>
      </c>
      <c r="S14" s="2">
        <f t="shared" ref="S14" si="43">R14/1013.25</f>
        <v>0</v>
      </c>
      <c r="T14" s="2">
        <f>S14*L14</f>
        <v>0</v>
      </c>
      <c r="U14" s="2">
        <f>S14*M14</f>
        <v>0</v>
      </c>
      <c r="V14" s="51">
        <v>90.08</v>
      </c>
      <c r="W14" s="51">
        <v>32.04</v>
      </c>
      <c r="X14" s="2">
        <f>L14*V14+M14*W14</f>
        <v>88.777281581048825</v>
      </c>
      <c r="Y14" s="2">
        <f>V14*G14*L14/X14</f>
        <v>3306.4328247276144</v>
      </c>
      <c r="Z14" s="2">
        <f>W14*G14*M14/X14</f>
        <v>27.002617429391996</v>
      </c>
      <c r="AA14" s="2">
        <f t="shared" si="26"/>
        <v>3.3064328247276142</v>
      </c>
      <c r="AB14" s="2">
        <f t="shared" si="27"/>
        <v>2.7002617429391997E-2</v>
      </c>
      <c r="AC14" s="2">
        <f t="shared" si="28"/>
        <v>1.1958699117996703</v>
      </c>
      <c r="AD14" s="2">
        <f t="shared" si="29"/>
        <v>-3.6118214758470302</v>
      </c>
      <c r="AE14" s="2">
        <f t="shared" ref="AE14" si="44">Y14*22.4/V14/3600/10000*1000</f>
        <v>2.2838987342701105E-2</v>
      </c>
      <c r="AF14" s="2">
        <f t="shared" si="30"/>
        <v>5.2439540021013726E-4</v>
      </c>
      <c r="AG14" s="27">
        <f>AE14+AF14</f>
        <v>2.3363382742911241E-2</v>
      </c>
      <c r="AH14" s="2">
        <f t="shared" si="32"/>
        <v>7.7703401019295126E-2</v>
      </c>
      <c r="AI14" s="2">
        <f t="shared" si="33"/>
        <v>6.6462781407877689E-2</v>
      </c>
      <c r="AJ14" s="2">
        <f t="shared" si="34"/>
        <v>0.29392519559124292</v>
      </c>
      <c r="AK14" s="2">
        <f t="shared" si="35"/>
        <v>7.8900610101156829E-3</v>
      </c>
      <c r="AL14" s="4">
        <f t="shared" si="36"/>
        <v>3867.4367840953018</v>
      </c>
      <c r="AM14" s="4">
        <f t="shared" si="37"/>
        <v>103.81659223836425</v>
      </c>
      <c r="AN14" s="28">
        <v>0.25</v>
      </c>
      <c r="AO14" s="2">
        <f>AJ14*AN14/10</f>
        <v>7.3481298897810727E-3</v>
      </c>
      <c r="AP14" s="2">
        <f>AK14*AN14/10</f>
        <v>1.9725152525289208E-4</v>
      </c>
      <c r="AQ14" s="2">
        <f>AO14*10000000000/76</f>
        <v>966859.19602382532</v>
      </c>
      <c r="AR14" s="2">
        <f>AP14*10000000000/76</f>
        <v>25954.148059591062</v>
      </c>
      <c r="AS14" s="29">
        <f>AM14/AL14</f>
        <v>2.6843772253836534E-2</v>
      </c>
      <c r="AT14" s="2">
        <f>(M14/L14)/(K14/J14)</f>
        <v>0.10006115509821439</v>
      </c>
      <c r="AU14" s="2">
        <f>1/AS14</f>
        <v>37.252588441890062</v>
      </c>
      <c r="AV14" s="2">
        <f>1/AT14</f>
        <v>9.9938882278388288</v>
      </c>
    </row>
    <row r="15" spans="1:48">
      <c r="D15" s="3"/>
      <c r="J15" s="24"/>
      <c r="K15" s="24"/>
      <c r="L15" s="25"/>
      <c r="M15" s="25"/>
      <c r="V15" s="51"/>
      <c r="W15" s="51"/>
      <c r="AG15" s="27"/>
      <c r="AN15" s="28"/>
      <c r="AS15" s="29"/>
    </row>
    <row r="16" spans="1:48" s="32" customFormat="1">
      <c r="A16" s="31"/>
      <c r="E16" s="3"/>
      <c r="F16" s="3"/>
      <c r="H16" s="2"/>
      <c r="I16" s="2"/>
      <c r="J16" s="24"/>
      <c r="K16" s="24"/>
      <c r="L16" s="25"/>
      <c r="M16" s="25"/>
      <c r="N16" s="24"/>
      <c r="O16" s="3"/>
      <c r="S16" s="2"/>
      <c r="T16" s="2"/>
      <c r="U16" s="2"/>
      <c r="V16" s="51"/>
      <c r="W16" s="51"/>
      <c r="X16" s="2"/>
      <c r="Y16" s="2"/>
      <c r="Z16" s="2"/>
      <c r="AA16" s="2"/>
      <c r="AB16" s="2"/>
      <c r="AC16" s="2"/>
      <c r="AD16" s="2"/>
      <c r="AE16" s="2"/>
      <c r="AF16" s="2"/>
      <c r="AG16" s="27"/>
      <c r="AH16" s="2"/>
      <c r="AI16" s="2"/>
      <c r="AJ16" s="2"/>
      <c r="AK16" s="2"/>
      <c r="AL16" s="2"/>
      <c r="AM16" s="2"/>
      <c r="AN16" s="28"/>
      <c r="AO16" s="2"/>
      <c r="AP16" s="2"/>
      <c r="AQ16" s="2"/>
      <c r="AR16" s="2"/>
      <c r="AS16" s="29"/>
      <c r="AT16" s="2"/>
    </row>
    <row r="17" spans="1:47" s="32" customFormat="1">
      <c r="A17" s="31"/>
      <c r="E17" s="33"/>
      <c r="F17" s="33"/>
      <c r="J17" s="24"/>
      <c r="K17" s="24"/>
      <c r="L17" s="25"/>
      <c r="M17" s="25"/>
      <c r="N17" s="33"/>
      <c r="O17" s="33"/>
      <c r="V17" s="51"/>
      <c r="W17" s="51"/>
      <c r="Z17" s="26"/>
      <c r="AG17" s="34"/>
      <c r="AN17" s="35"/>
      <c r="AS17" s="36"/>
      <c r="AT17" s="2"/>
    </row>
    <row r="18" spans="1:47">
      <c r="A18" s="51"/>
      <c r="D18" s="3"/>
      <c r="J18" s="24"/>
      <c r="K18" s="24"/>
      <c r="L18" s="25"/>
      <c r="M18" s="25"/>
      <c r="V18" s="51"/>
      <c r="W18" s="51"/>
      <c r="AG18" s="27"/>
      <c r="AN18" s="28"/>
      <c r="AS18" s="29"/>
    </row>
    <row r="19" spans="1:47">
      <c r="A19" s="2"/>
      <c r="D19" s="30"/>
      <c r="J19" s="24"/>
      <c r="K19" s="24"/>
      <c r="L19" s="25"/>
      <c r="M19" s="25"/>
      <c r="N19" s="24"/>
      <c r="V19" s="51"/>
      <c r="W19" s="51"/>
      <c r="AG19" s="27"/>
      <c r="AN19" s="28"/>
      <c r="AS19" s="29"/>
    </row>
    <row r="20" spans="1:47">
      <c r="D20" s="3"/>
      <c r="J20" s="24"/>
      <c r="K20" s="24"/>
      <c r="L20" s="25"/>
      <c r="M20" s="25"/>
      <c r="N20" s="24"/>
      <c r="V20" s="51"/>
      <c r="W20" s="51"/>
      <c r="AG20" s="27"/>
      <c r="AN20" s="28"/>
      <c r="AS20" s="29"/>
    </row>
    <row r="21" spans="1:47" s="32" customFormat="1">
      <c r="A21" s="31"/>
      <c r="E21" s="3"/>
      <c r="F21" s="3"/>
      <c r="H21" s="2"/>
      <c r="I21" s="2"/>
      <c r="J21" s="24"/>
      <c r="K21" s="24"/>
      <c r="L21" s="25"/>
      <c r="M21" s="25"/>
      <c r="N21" s="33"/>
      <c r="O21" s="3"/>
      <c r="S21" s="2"/>
      <c r="T21" s="2"/>
      <c r="U21" s="2"/>
      <c r="V21" s="51"/>
      <c r="W21" s="51"/>
      <c r="X21" s="2"/>
      <c r="Y21" s="2"/>
      <c r="Z21" s="2"/>
      <c r="AA21" s="2"/>
      <c r="AB21" s="2"/>
      <c r="AC21" s="2"/>
      <c r="AD21" s="2"/>
      <c r="AE21" s="2"/>
      <c r="AF21" s="2"/>
      <c r="AG21" s="27"/>
      <c r="AH21" s="2"/>
      <c r="AI21" s="2"/>
      <c r="AJ21" s="2"/>
      <c r="AK21" s="2"/>
      <c r="AL21" s="2"/>
      <c r="AM21" s="2"/>
      <c r="AN21" s="28"/>
      <c r="AO21" s="2"/>
      <c r="AP21" s="2"/>
      <c r="AQ21" s="2"/>
      <c r="AR21" s="2"/>
      <c r="AS21" s="29"/>
      <c r="AT21" s="2"/>
    </row>
    <row r="22" spans="1:47" s="32" customFormat="1">
      <c r="A22" s="31"/>
      <c r="E22" s="33"/>
      <c r="F22" s="33"/>
      <c r="J22" s="24"/>
      <c r="K22" s="24"/>
      <c r="L22" s="25"/>
      <c r="M22" s="25"/>
      <c r="N22" s="33"/>
      <c r="O22" s="33"/>
      <c r="V22" s="51"/>
      <c r="W22" s="51"/>
      <c r="Z22" s="26"/>
      <c r="AG22" s="34"/>
      <c r="AN22" s="35"/>
      <c r="AS22" s="36"/>
      <c r="AT22" s="2"/>
    </row>
    <row r="23" spans="1:47" s="32" customFormat="1">
      <c r="A23" s="31"/>
      <c r="E23" s="33"/>
      <c r="F23" s="33"/>
      <c r="J23" s="24"/>
      <c r="K23" s="24"/>
      <c r="L23" s="25"/>
      <c r="M23" s="25"/>
      <c r="N23" s="33"/>
      <c r="O23" s="33"/>
      <c r="V23" s="51"/>
      <c r="W23" s="51"/>
      <c r="Z23" s="26"/>
      <c r="AG23" s="34"/>
      <c r="AN23" s="35"/>
      <c r="AS23" s="36"/>
      <c r="AT23" s="2"/>
    </row>
    <row r="24" spans="1:47">
      <c r="A24" s="51"/>
      <c r="D24" s="3"/>
      <c r="J24" s="24"/>
      <c r="K24" s="24"/>
      <c r="L24" s="25"/>
      <c r="M24" s="25"/>
      <c r="V24" s="51"/>
      <c r="W24" s="51"/>
      <c r="AG24" s="27"/>
      <c r="AN24" s="28"/>
      <c r="AS24" s="29"/>
    </row>
    <row r="25" spans="1:47">
      <c r="A25" s="2"/>
      <c r="D25" s="30"/>
      <c r="J25" s="24"/>
      <c r="K25" s="24"/>
      <c r="L25" s="25"/>
      <c r="M25" s="25"/>
      <c r="V25" s="51"/>
      <c r="W25" s="51"/>
      <c r="AG25" s="27"/>
      <c r="AN25" s="28"/>
      <c r="AS25" s="29"/>
    </row>
    <row r="26" spans="1:47">
      <c r="D26" s="3"/>
      <c r="J26" s="24"/>
      <c r="K26" s="24"/>
      <c r="L26" s="25"/>
      <c r="M26" s="25"/>
      <c r="V26" s="51"/>
      <c r="W26" s="51"/>
      <c r="AG26" s="27"/>
      <c r="AN26" s="28"/>
      <c r="AS26" s="29"/>
    </row>
    <row r="27" spans="1:47" s="32" customFormat="1">
      <c r="A27" s="31"/>
      <c r="E27" s="3"/>
      <c r="F27" s="3"/>
      <c r="H27" s="2"/>
      <c r="I27" s="2"/>
      <c r="J27" s="24"/>
      <c r="K27" s="24"/>
      <c r="L27" s="25"/>
      <c r="M27" s="25"/>
      <c r="N27" s="24"/>
      <c r="O27" s="3"/>
      <c r="S27" s="2"/>
      <c r="T27" s="2"/>
      <c r="U27" s="2"/>
      <c r="V27" s="51"/>
      <c r="W27" s="51"/>
      <c r="X27" s="2"/>
      <c r="Y27" s="2"/>
      <c r="Z27" s="2"/>
      <c r="AA27" s="2"/>
      <c r="AB27" s="2"/>
      <c r="AC27" s="2"/>
      <c r="AD27" s="2"/>
      <c r="AE27" s="2"/>
      <c r="AF27" s="2"/>
      <c r="AG27" s="27"/>
      <c r="AH27" s="2"/>
      <c r="AI27" s="2"/>
      <c r="AJ27" s="2"/>
      <c r="AK27" s="2"/>
      <c r="AL27" s="2"/>
      <c r="AM27" s="2"/>
      <c r="AN27" s="28"/>
      <c r="AO27" s="2"/>
      <c r="AP27" s="2"/>
      <c r="AQ27" s="2"/>
      <c r="AR27" s="2"/>
      <c r="AS27" s="29"/>
      <c r="AT27" s="2"/>
    </row>
    <row r="28" spans="1:47" s="32" customFormat="1">
      <c r="A28" s="31"/>
      <c r="E28" s="33"/>
      <c r="F28" s="3"/>
      <c r="H28" s="2"/>
      <c r="I28" s="2"/>
      <c r="J28" s="24"/>
      <c r="K28" s="24"/>
      <c r="L28" s="25"/>
      <c r="M28" s="25"/>
      <c r="N28" s="33"/>
      <c r="O28" s="33"/>
      <c r="S28" s="2"/>
      <c r="T28" s="2"/>
      <c r="U28" s="2"/>
      <c r="V28" s="51"/>
      <c r="W28" s="51"/>
      <c r="X28" s="2"/>
      <c r="Y28" s="2"/>
      <c r="Z28" s="26"/>
      <c r="AA28" s="2"/>
      <c r="AB28" s="2"/>
      <c r="AC28" s="2"/>
      <c r="AD28" s="2"/>
      <c r="AE28" s="2"/>
      <c r="AF28" s="2"/>
      <c r="AG28" s="27"/>
      <c r="AH28" s="2"/>
      <c r="AI28" s="2"/>
      <c r="AJ28" s="2"/>
      <c r="AK28" s="2"/>
      <c r="AL28" s="2"/>
      <c r="AM28" s="2"/>
      <c r="AN28" s="28"/>
      <c r="AO28" s="2"/>
      <c r="AP28" s="2"/>
      <c r="AQ28" s="2"/>
      <c r="AR28" s="2"/>
      <c r="AS28" s="29"/>
      <c r="AT28" s="2"/>
    </row>
    <row r="29" spans="1:47">
      <c r="C29" s="4"/>
      <c r="J29" s="24"/>
      <c r="K29" s="24"/>
      <c r="L29" s="25"/>
      <c r="M29" s="25"/>
      <c r="R29" s="32"/>
      <c r="V29" s="51"/>
      <c r="W29" s="51"/>
      <c r="Z29" s="26"/>
      <c r="AG29" s="27"/>
      <c r="AN29" s="28"/>
      <c r="AS29" s="29"/>
      <c r="AU29" s="53"/>
    </row>
    <row r="30" spans="1:47">
      <c r="A30" s="51"/>
      <c r="J30" s="24"/>
      <c r="K30" s="24"/>
      <c r="L30" s="25"/>
      <c r="M30" s="25"/>
      <c r="P30" s="56"/>
      <c r="R30" s="32"/>
      <c r="V30" s="51"/>
      <c r="W30" s="51"/>
      <c r="AG30" s="27"/>
      <c r="AN30" s="28"/>
      <c r="AS30" s="29"/>
      <c r="AU30" s="53"/>
    </row>
    <row r="31" spans="1:47">
      <c r="A31" s="51"/>
      <c r="J31" s="24"/>
      <c r="K31" s="24"/>
      <c r="L31" s="25"/>
      <c r="M31" s="25"/>
      <c r="P31" s="56"/>
      <c r="R31" s="32"/>
      <c r="V31" s="51"/>
      <c r="W31" s="51"/>
      <c r="AG31" s="27"/>
      <c r="AN31" s="28"/>
      <c r="AS31" s="29"/>
      <c r="AU31" s="53"/>
    </row>
    <row r="32" spans="1:47">
      <c r="J32" s="24"/>
      <c r="K32" s="24"/>
      <c r="L32" s="25"/>
      <c r="M32" s="25"/>
      <c r="P32" s="56"/>
      <c r="R32" s="32"/>
      <c r="V32" s="51"/>
      <c r="W32" s="51"/>
      <c r="AG32" s="27"/>
      <c r="AN32" s="28"/>
      <c r="AS32" s="29"/>
      <c r="AU32" s="53"/>
    </row>
    <row r="33" spans="1:47" s="32" customFormat="1">
      <c r="A33" s="31"/>
      <c r="E33" s="33"/>
      <c r="F33" s="33"/>
      <c r="H33" s="2"/>
      <c r="I33" s="2"/>
      <c r="J33" s="24"/>
      <c r="K33" s="24"/>
      <c r="L33" s="25"/>
      <c r="M33" s="25"/>
      <c r="N33" s="33"/>
      <c r="O33" s="33"/>
      <c r="P33" s="57"/>
      <c r="S33" s="2"/>
      <c r="T33" s="2"/>
      <c r="U33" s="2"/>
      <c r="V33" s="51"/>
      <c r="W33" s="51"/>
      <c r="X33" s="2"/>
      <c r="Y33" s="2"/>
      <c r="Z33" s="2"/>
      <c r="AA33" s="2"/>
      <c r="AB33" s="2"/>
      <c r="AC33" s="2"/>
      <c r="AD33" s="2"/>
      <c r="AE33" s="2"/>
      <c r="AF33" s="2"/>
      <c r="AG33" s="27"/>
      <c r="AH33" s="2"/>
      <c r="AI33" s="2"/>
      <c r="AJ33" s="2"/>
      <c r="AK33" s="2"/>
      <c r="AL33" s="2"/>
      <c r="AM33" s="2"/>
      <c r="AN33" s="28"/>
      <c r="AO33" s="2"/>
      <c r="AP33" s="2"/>
      <c r="AQ33" s="2"/>
      <c r="AR33" s="2"/>
      <c r="AS33" s="29"/>
      <c r="AT33" s="2"/>
      <c r="AU33" s="53"/>
    </row>
    <row r="34" spans="1:47">
      <c r="C34" s="4"/>
      <c r="J34" s="24"/>
      <c r="K34" s="24"/>
      <c r="L34" s="25"/>
      <c r="M34" s="25"/>
      <c r="R34" s="32"/>
      <c r="V34" s="51"/>
      <c r="W34" s="51"/>
      <c r="Z34" s="26"/>
      <c r="AG34" s="27"/>
      <c r="AN34" s="28"/>
      <c r="AS34" s="29"/>
    </row>
    <row r="35" spans="1:47">
      <c r="C35" s="4"/>
      <c r="J35" s="24"/>
      <c r="K35" s="24"/>
      <c r="L35" s="25"/>
      <c r="M35" s="25"/>
      <c r="R35" s="32"/>
      <c r="V35" s="51"/>
      <c r="W35" s="51"/>
      <c r="Z35" s="26"/>
      <c r="AG35" s="27"/>
      <c r="AN35" s="28"/>
      <c r="AS35" s="29"/>
    </row>
    <row r="36" spans="1:47" s="32" customFormat="1">
      <c r="A36" s="31"/>
      <c r="E36" s="33"/>
      <c r="F36" s="33"/>
      <c r="J36" s="24"/>
      <c r="K36" s="24"/>
      <c r="L36" s="25"/>
      <c r="M36" s="25"/>
      <c r="N36" s="33"/>
      <c r="O36" s="33"/>
      <c r="V36" s="51"/>
      <c r="W36" s="51"/>
      <c r="AG36" s="34"/>
      <c r="AN36" s="35"/>
      <c r="AS36" s="36"/>
      <c r="AT36" s="2"/>
    </row>
    <row r="37" spans="1:47" s="29" customFormat="1">
      <c r="A37" s="37"/>
      <c r="J37" s="38"/>
      <c r="K37" s="38"/>
      <c r="L37" s="39"/>
      <c r="M37" s="39"/>
      <c r="V37" s="51"/>
      <c r="W37" s="51"/>
      <c r="AG37" s="40"/>
      <c r="AN37" s="41"/>
      <c r="AT37" s="2"/>
    </row>
    <row r="38" spans="1:47">
      <c r="C38" s="4"/>
      <c r="D38" s="32"/>
      <c r="J38" s="24"/>
      <c r="K38" s="24"/>
      <c r="L38" s="25"/>
      <c r="M38" s="25"/>
      <c r="V38" s="51"/>
      <c r="W38" s="51"/>
      <c r="AG38" s="27"/>
      <c r="AN38" s="28"/>
      <c r="AS38" s="29"/>
    </row>
    <row r="39" spans="1:47">
      <c r="C39" s="4"/>
      <c r="D39" s="32"/>
      <c r="J39" s="24"/>
      <c r="K39" s="24"/>
      <c r="L39" s="25"/>
      <c r="M39" s="25"/>
      <c r="V39" s="51"/>
      <c r="W39" s="51"/>
      <c r="AG39" s="27"/>
      <c r="AN39" s="28"/>
      <c r="AS39" s="29"/>
    </row>
    <row r="40" spans="1:47" s="30" customFormat="1">
      <c r="A40" s="42"/>
      <c r="C40" s="43"/>
      <c r="D40" s="44"/>
      <c r="E40" s="45"/>
      <c r="F40" s="45"/>
      <c r="J40" s="46"/>
      <c r="K40" s="46"/>
      <c r="L40" s="47"/>
      <c r="M40" s="47"/>
      <c r="N40" s="45"/>
      <c r="O40" s="45"/>
      <c r="V40" s="51"/>
      <c r="W40" s="51"/>
      <c r="AG40" s="48"/>
      <c r="AN40" s="49"/>
      <c r="AS40" s="50"/>
      <c r="AT40" s="2"/>
    </row>
    <row r="42" spans="1:47">
      <c r="L42" s="32"/>
      <c r="M42" s="32"/>
      <c r="N42" s="33"/>
      <c r="O42" s="33"/>
      <c r="P42" s="32"/>
      <c r="Q42" s="32"/>
      <c r="R42" s="32"/>
    </row>
    <row r="43" spans="1:47">
      <c r="L43" s="32"/>
      <c r="M43" s="32"/>
      <c r="N43" s="33"/>
      <c r="O43" s="33"/>
      <c r="P43" s="32"/>
      <c r="Q43" s="32"/>
      <c r="R43" s="32"/>
    </row>
    <row r="44" spans="1:47">
      <c r="L44" s="32"/>
      <c r="M44" s="32"/>
      <c r="N44" s="32"/>
      <c r="O44" s="32"/>
      <c r="P44" s="32"/>
      <c r="Q44" s="32"/>
      <c r="R44" s="32"/>
    </row>
    <row r="45" spans="1:47">
      <c r="L45" s="32"/>
      <c r="M45" s="32"/>
      <c r="N45" s="32"/>
      <c r="O45" s="33"/>
      <c r="P45" s="32"/>
      <c r="Q45" s="32"/>
      <c r="R45" s="32"/>
    </row>
    <row r="46" spans="1:47">
      <c r="L46" s="32"/>
      <c r="M46" s="32"/>
      <c r="N46" s="32"/>
      <c r="O46" s="33"/>
      <c r="P46" s="32"/>
      <c r="Q46" s="32"/>
      <c r="R46" s="32"/>
    </row>
    <row r="47" spans="1:47">
      <c r="L47" s="32"/>
      <c r="M47" s="32"/>
      <c r="N47" s="32"/>
      <c r="O47" s="33"/>
      <c r="P47" s="32"/>
      <c r="Q47" s="32"/>
      <c r="R47" s="32"/>
    </row>
    <row r="48" spans="1:47">
      <c r="L48" s="32"/>
      <c r="M48" s="32"/>
      <c r="N48" s="32"/>
      <c r="O48" s="32"/>
      <c r="P48" s="32"/>
      <c r="Q48" s="32"/>
      <c r="R48" s="32"/>
    </row>
    <row r="49" spans="11:39">
      <c r="L49" s="32"/>
      <c r="M49" s="32"/>
      <c r="N49" s="32"/>
      <c r="O49" s="33"/>
      <c r="P49" s="32"/>
      <c r="Q49" s="32"/>
      <c r="R49" s="32"/>
    </row>
    <row r="50" spans="11:39">
      <c r="L50" s="32"/>
      <c r="M50" s="32"/>
      <c r="N50" s="32"/>
      <c r="O50" s="33"/>
      <c r="P50" s="32"/>
      <c r="Q50" s="32"/>
      <c r="R50" s="32"/>
    </row>
    <row r="51" spans="11:39">
      <c r="L51" s="32"/>
      <c r="M51" s="32"/>
      <c r="N51" s="32"/>
      <c r="O51" s="33"/>
      <c r="P51" s="32"/>
      <c r="Q51" s="32"/>
      <c r="R51" s="32"/>
    </row>
    <row r="52" spans="11:39">
      <c r="L52" s="32"/>
      <c r="M52" s="32"/>
      <c r="N52" s="33"/>
      <c r="O52" s="33"/>
      <c r="P52" s="32"/>
      <c r="Q52" s="32"/>
      <c r="R52" s="32"/>
    </row>
    <row r="53" spans="11:39">
      <c r="L53" s="32"/>
      <c r="M53" s="32"/>
      <c r="N53" s="33"/>
      <c r="O53" s="33"/>
      <c r="P53" s="32"/>
      <c r="Q53" s="32"/>
      <c r="R53" s="32"/>
    </row>
    <row r="54" spans="11:39">
      <c r="L54" s="32"/>
      <c r="M54" s="32"/>
      <c r="N54" s="33"/>
      <c r="O54" s="33"/>
      <c r="P54" s="32"/>
      <c r="Q54" s="32"/>
      <c r="R54" s="32"/>
    </row>
    <row r="55" spans="11:39">
      <c r="L55" s="32"/>
      <c r="M55" s="32"/>
      <c r="N55" s="33"/>
      <c r="O55" s="33"/>
      <c r="P55" s="32"/>
      <c r="Q55" s="32"/>
      <c r="R55" s="32"/>
    </row>
    <row r="56" spans="11:39">
      <c r="L56" s="32"/>
      <c r="M56" s="32"/>
      <c r="N56" s="33"/>
      <c r="O56" s="33"/>
      <c r="P56" s="32"/>
      <c r="Q56" s="32"/>
      <c r="R56" s="32"/>
    </row>
    <row r="57" spans="11:39">
      <c r="AL57" s="2" t="s">
        <v>28</v>
      </c>
      <c r="AM57" s="2" t="s">
        <v>16</v>
      </c>
    </row>
    <row r="58" spans="11:39">
      <c r="K58" s="2" t="s">
        <v>30</v>
      </c>
      <c r="AK58" s="2">
        <v>30</v>
      </c>
      <c r="AL58" s="2">
        <v>35530.164497807047</v>
      </c>
      <c r="AM58" s="2">
        <v>4830.6561780138318</v>
      </c>
    </row>
    <row r="59" spans="11:39">
      <c r="N59" s="2"/>
      <c r="O59" s="2"/>
      <c r="AK59" s="2">
        <v>40</v>
      </c>
      <c r="AL59" s="2">
        <v>22656.158310523577</v>
      </c>
      <c r="AM59" s="2">
        <v>2983.8784071339046</v>
      </c>
    </row>
    <row r="60" spans="11:39">
      <c r="O60" s="2"/>
      <c r="AK60" s="2">
        <v>50</v>
      </c>
      <c r="AL60" s="2">
        <v>12171.950684545023</v>
      </c>
      <c r="AM60" s="2">
        <v>3892.0100624025104</v>
      </c>
    </row>
    <row r="61" spans="11:39">
      <c r="O61" s="2"/>
    </row>
    <row r="62" spans="11:39">
      <c r="N62" s="2"/>
      <c r="O62" s="2"/>
    </row>
    <row r="63" spans="11:39">
      <c r="N63" s="2"/>
      <c r="O63" s="2"/>
      <c r="AK63" s="2">
        <v>30</v>
      </c>
      <c r="AL63" s="2">
        <v>6864.4308690759672</v>
      </c>
      <c r="AM63" s="2">
        <v>294.30783457053764</v>
      </c>
    </row>
    <row r="64" spans="11:39">
      <c r="N64" s="2"/>
      <c r="O64" s="2"/>
      <c r="AK64" s="2">
        <v>40</v>
      </c>
      <c r="AL64" s="2">
        <v>3626.9909508443097</v>
      </c>
      <c r="AM64" s="2">
        <v>677.99099330959234</v>
      </c>
    </row>
    <row r="65" spans="14:39">
      <c r="N65" s="2"/>
      <c r="O65" s="2"/>
      <c r="AK65" s="2">
        <v>50</v>
      </c>
      <c r="AL65" s="2">
        <v>2457.2174009025198</v>
      </c>
      <c r="AM65" s="2">
        <v>579.66382347888123</v>
      </c>
    </row>
    <row r="66" spans="14:39">
      <c r="N66" s="2"/>
      <c r="O66" s="2"/>
    </row>
    <row r="67" spans="14:39">
      <c r="O67" s="2"/>
    </row>
    <row r="68" spans="14:39">
      <c r="N68" s="2"/>
      <c r="O68" s="2"/>
    </row>
    <row r="69" spans="14:39">
      <c r="N69" s="2"/>
      <c r="O69" s="2"/>
      <c r="AK69" s="2">
        <v>40</v>
      </c>
      <c r="AL69" s="2">
        <v>1203.8813140317427</v>
      </c>
      <c r="AM69" s="2">
        <v>208.29293331884151</v>
      </c>
    </row>
    <row r="70" spans="14:39">
      <c r="N70" s="2"/>
      <c r="O70" s="2"/>
      <c r="AK70" s="2">
        <v>50</v>
      </c>
      <c r="AL70" s="2">
        <v>578.51221211701625</v>
      </c>
      <c r="AM70" s="2">
        <v>141.7450804820246</v>
      </c>
    </row>
    <row r="71" spans="14:39">
      <c r="N71" s="2"/>
      <c r="O71" s="2"/>
    </row>
    <row r="72" spans="14:39">
      <c r="O72" s="2"/>
    </row>
    <row r="73" spans="14:39">
      <c r="O73" s="2"/>
    </row>
    <row r="74" spans="14:39">
      <c r="AK74" s="2">
        <v>40</v>
      </c>
      <c r="AL74" s="2">
        <v>3689.5560544985728</v>
      </c>
      <c r="AM74" s="2">
        <v>8.4127778576531593</v>
      </c>
    </row>
    <row r="75" spans="14:39">
      <c r="AK75" s="2">
        <v>50</v>
      </c>
      <c r="AL75" s="2">
        <v>584.49887959373871</v>
      </c>
      <c r="AM75" s="2">
        <v>10.74179353681904</v>
      </c>
    </row>
  </sheetData>
  <mergeCells count="5">
    <mergeCell ref="J3:K3"/>
    <mergeCell ref="L3:M3"/>
    <mergeCell ref="N3:O3"/>
    <mergeCell ref="P3:Q3"/>
    <mergeCell ref="R3:AG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K24" sqref="K24"/>
    </sheetView>
  </sheetViews>
  <sheetFormatPr defaultColWidth="9.125" defaultRowHeight="13.5"/>
  <cols>
    <col min="1" max="1" width="16.75" style="54" bestFit="1" customWidth="1"/>
    <col min="2" max="2" width="11.625" style="54" customWidth="1"/>
    <col min="3" max="3" width="7.75" style="54" customWidth="1"/>
    <col min="4" max="11" width="25.75" style="54" customWidth="1"/>
    <col min="12" max="16384" width="9.125" style="54"/>
  </cols>
  <sheetData>
    <row r="1" spans="1:11">
      <c r="A1" s="54" t="s">
        <v>55</v>
      </c>
    </row>
    <row r="2" spans="1:11">
      <c r="D2" s="54" t="s">
        <v>3</v>
      </c>
    </row>
    <row r="3" spans="1:11">
      <c r="D3" s="91">
        <v>30</v>
      </c>
      <c r="E3" s="91"/>
      <c r="F3" s="91">
        <v>40</v>
      </c>
      <c r="G3" s="91"/>
      <c r="H3" s="91">
        <v>50</v>
      </c>
      <c r="I3" s="91"/>
      <c r="J3" s="91">
        <v>60</v>
      </c>
      <c r="K3" s="91"/>
    </row>
    <row r="4" spans="1:11">
      <c r="D4" s="54" t="s">
        <v>58</v>
      </c>
      <c r="E4" s="54" t="s">
        <v>59</v>
      </c>
      <c r="F4" s="54" t="s">
        <v>58</v>
      </c>
      <c r="G4" s="54" t="s">
        <v>59</v>
      </c>
      <c r="H4" s="54" t="s">
        <v>58</v>
      </c>
      <c r="I4" s="54" t="s">
        <v>59</v>
      </c>
      <c r="J4" s="54" t="s">
        <v>58</v>
      </c>
      <c r="K4" s="54" t="s">
        <v>59</v>
      </c>
    </row>
    <row r="5" spans="1:11">
      <c r="A5" s="54" t="s">
        <v>56</v>
      </c>
      <c r="B5" s="54" t="s">
        <v>57</v>
      </c>
      <c r="C5" s="54">
        <v>1</v>
      </c>
      <c r="D5" s="54">
        <v>1</v>
      </c>
      <c r="E5" s="54">
        <v>0.21756700000000001</v>
      </c>
      <c r="F5" s="54">
        <v>1</v>
      </c>
      <c r="G5" s="54">
        <v>0.35361900000000002</v>
      </c>
      <c r="H5" s="54">
        <v>1</v>
      </c>
      <c r="I5" s="54">
        <v>0.55526900000000001</v>
      </c>
      <c r="J5" s="54">
        <v>1</v>
      </c>
      <c r="K5" s="54">
        <v>0.84531299999999998</v>
      </c>
    </row>
    <row r="6" spans="1:11">
      <c r="B6" s="54" t="s">
        <v>45</v>
      </c>
      <c r="C6" s="54">
        <v>0</v>
      </c>
      <c r="D6" s="54" t="s">
        <v>60</v>
      </c>
      <c r="E6" s="54" t="s">
        <v>60</v>
      </c>
      <c r="F6" s="54" t="s">
        <v>60</v>
      </c>
      <c r="G6" s="54" t="s">
        <v>60</v>
      </c>
      <c r="H6" s="54" t="s">
        <v>60</v>
      </c>
      <c r="I6" s="54" t="s">
        <v>60</v>
      </c>
      <c r="J6" s="54" t="s">
        <v>60</v>
      </c>
      <c r="K6" s="54" t="s">
        <v>60</v>
      </c>
    </row>
    <row r="8" spans="1:11">
      <c r="B8" s="54" t="s">
        <v>57</v>
      </c>
      <c r="C8" s="54">
        <v>0.9</v>
      </c>
    </row>
    <row r="9" spans="1:11">
      <c r="B9" s="54" t="s">
        <v>45</v>
      </c>
      <c r="C9" s="54">
        <v>0.1</v>
      </c>
    </row>
    <row r="11" spans="1:11">
      <c r="B11" s="54" t="s">
        <v>57</v>
      </c>
      <c r="C11" s="54">
        <v>0.7</v>
      </c>
    </row>
    <row r="12" spans="1:11">
      <c r="B12" s="54" t="s">
        <v>45</v>
      </c>
      <c r="C12" s="54">
        <v>0.3</v>
      </c>
    </row>
    <row r="14" spans="1:11">
      <c r="B14" s="54" t="s">
        <v>57</v>
      </c>
      <c r="C14" s="54">
        <v>0.5</v>
      </c>
    </row>
    <row r="15" spans="1:11">
      <c r="B15" s="54" t="s">
        <v>45</v>
      </c>
      <c r="C15" s="54">
        <v>0.5</v>
      </c>
    </row>
    <row r="17" spans="2:11">
      <c r="B17" s="54" t="s">
        <v>57</v>
      </c>
      <c r="C17" s="54">
        <v>0.3</v>
      </c>
    </row>
    <row r="18" spans="2:11">
      <c r="B18" s="54" t="s">
        <v>45</v>
      </c>
      <c r="C18" s="54">
        <v>0.7</v>
      </c>
    </row>
    <row r="20" spans="2:11">
      <c r="B20" s="54" t="s">
        <v>57</v>
      </c>
      <c r="C20" s="54">
        <v>0.1</v>
      </c>
    </row>
    <row r="21" spans="2:11">
      <c r="B21" s="54" t="s">
        <v>45</v>
      </c>
      <c r="C21" s="54">
        <v>0.9</v>
      </c>
    </row>
    <row r="23" spans="2:11">
      <c r="B23" s="54" t="s">
        <v>57</v>
      </c>
      <c r="C23" s="54">
        <v>0</v>
      </c>
      <c r="D23" s="54" t="s">
        <v>60</v>
      </c>
      <c r="E23" s="54" t="s">
        <v>60</v>
      </c>
      <c r="F23" s="54" t="s">
        <v>60</v>
      </c>
      <c r="G23" s="54" t="s">
        <v>60</v>
      </c>
      <c r="H23" s="54" t="s">
        <v>60</v>
      </c>
      <c r="I23" s="54" t="s">
        <v>60</v>
      </c>
      <c r="J23" s="54" t="s">
        <v>60</v>
      </c>
      <c r="K23" s="54" t="s">
        <v>60</v>
      </c>
    </row>
    <row r="24" spans="2:11">
      <c r="B24" s="54" t="s">
        <v>45</v>
      </c>
      <c r="C24" s="54">
        <v>1</v>
      </c>
      <c r="D24" s="54">
        <v>1</v>
      </c>
      <c r="E24" s="54">
        <v>9.4514899999999999E-2</v>
      </c>
      <c r="F24" s="54">
        <v>1</v>
      </c>
      <c r="G24" s="54">
        <v>0.15091080000000001</v>
      </c>
      <c r="H24" s="54">
        <v>1</v>
      </c>
      <c r="I24" s="54">
        <v>0.23302519999999999</v>
      </c>
      <c r="J24" s="54">
        <v>1</v>
      </c>
      <c r="K24" s="54">
        <v>0.3491088</v>
      </c>
    </row>
  </sheetData>
  <mergeCells count="4">
    <mergeCell ref="D3:E3"/>
    <mergeCell ref="F3:G3"/>
    <mergeCell ref="H3:I3"/>
    <mergeCell ref="J3:K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topLeftCell="A19" workbookViewId="0">
      <selection activeCell="Q39" sqref="Q39"/>
    </sheetView>
  </sheetViews>
  <sheetFormatPr defaultColWidth="9.125" defaultRowHeight="13.5"/>
  <cols>
    <col min="1" max="1" width="8.25" style="77" customWidth="1"/>
    <col min="2" max="2" width="15" style="78" bestFit="1" customWidth="1"/>
    <col min="3" max="3" width="14.25" style="74" customWidth="1"/>
    <col min="4" max="5" width="9" style="77" customWidth="1"/>
    <col min="6" max="7" width="6.375" style="77" customWidth="1"/>
    <col min="8" max="8" width="12.625" style="77" customWidth="1"/>
    <col min="9" max="10" width="7.125" style="79" customWidth="1"/>
    <col min="11" max="11" width="16.25" style="79" customWidth="1"/>
    <col min="12" max="14" width="14.25" style="77" customWidth="1"/>
    <col min="15" max="15" width="11.375" style="77" customWidth="1"/>
    <col min="16" max="17" width="13.625" style="77" customWidth="1"/>
    <col min="18" max="16384" width="9.125" style="77"/>
  </cols>
  <sheetData>
    <row r="1" spans="1:17" s="71" customFormat="1" ht="54.75" customHeight="1">
      <c r="A1" s="71" t="s">
        <v>108</v>
      </c>
      <c r="B1" s="71" t="s">
        <v>109</v>
      </c>
      <c r="C1" s="72" t="s">
        <v>120</v>
      </c>
      <c r="D1" s="80" t="s">
        <v>110</v>
      </c>
      <c r="E1" s="71" t="s">
        <v>111</v>
      </c>
      <c r="F1" s="92" t="s">
        <v>112</v>
      </c>
      <c r="G1" s="92"/>
      <c r="H1" s="71" t="s">
        <v>121</v>
      </c>
      <c r="I1" s="93" t="s">
        <v>113</v>
      </c>
      <c r="J1" s="93"/>
      <c r="K1" s="72" t="s">
        <v>122</v>
      </c>
      <c r="L1" s="80" t="s">
        <v>114</v>
      </c>
      <c r="M1" s="80" t="s">
        <v>115</v>
      </c>
      <c r="N1" s="71" t="s">
        <v>116</v>
      </c>
      <c r="O1" s="71" t="s">
        <v>123</v>
      </c>
      <c r="P1" s="71" t="s">
        <v>117</v>
      </c>
      <c r="Q1" s="71" t="s">
        <v>118</v>
      </c>
    </row>
    <row r="2" spans="1:17">
      <c r="A2" s="77">
        <v>1</v>
      </c>
      <c r="B2" s="75" t="s">
        <v>119</v>
      </c>
      <c r="C2" s="84" t="s">
        <v>124</v>
      </c>
      <c r="D2" s="77">
        <v>60</v>
      </c>
      <c r="E2" s="77">
        <v>60</v>
      </c>
      <c r="F2" s="77">
        <v>1</v>
      </c>
      <c r="G2" s="77">
        <v>1</v>
      </c>
      <c r="I2" s="79">
        <v>32.6</v>
      </c>
      <c r="J2" s="79">
        <v>32.4</v>
      </c>
      <c r="L2" s="83">
        <v>72.17</v>
      </c>
      <c r="M2" s="83">
        <v>73.661000000000001</v>
      </c>
      <c r="N2" s="77">
        <f>M2-L2</f>
        <v>1.4909999999999997</v>
      </c>
      <c r="O2" s="82">
        <v>3.8479999999999999E-3</v>
      </c>
      <c r="P2" s="81">
        <f>N2/O2</f>
        <v>387.4740124740124</v>
      </c>
      <c r="Q2" s="81">
        <f>AVERAGE(P3:P5)</f>
        <v>604.55647955647953</v>
      </c>
    </row>
    <row r="3" spans="1:17">
      <c r="D3" s="77">
        <v>60</v>
      </c>
      <c r="E3" s="77">
        <f>D3+E2</f>
        <v>120</v>
      </c>
      <c r="I3" s="79">
        <v>32.799999999999997</v>
      </c>
      <c r="J3" s="79">
        <v>32.9</v>
      </c>
      <c r="L3" s="83">
        <v>72.3</v>
      </c>
      <c r="M3" s="83">
        <v>74.498999999999995</v>
      </c>
      <c r="N3" s="77">
        <f t="shared" ref="N3:N5" si="0">M3-L3</f>
        <v>2.1989999999999981</v>
      </c>
      <c r="O3" s="82">
        <v>3.8479999999999999E-3</v>
      </c>
      <c r="P3" s="81">
        <f t="shared" ref="P3:P5" si="1">N3/O3</f>
        <v>571.46569646569594</v>
      </c>
    </row>
    <row r="4" spans="1:17">
      <c r="D4" s="77">
        <v>60</v>
      </c>
      <c r="E4" s="77">
        <f t="shared" ref="E4:E5" si="2">D4+E3</f>
        <v>180</v>
      </c>
      <c r="I4" s="79">
        <v>33.799999999999997</v>
      </c>
      <c r="J4" s="79">
        <v>33.799999999999997</v>
      </c>
      <c r="L4" s="83">
        <v>72.17</v>
      </c>
      <c r="M4" s="83">
        <v>74.677999999999997</v>
      </c>
      <c r="N4" s="77">
        <f t="shared" si="0"/>
        <v>2.5079999999999956</v>
      </c>
      <c r="O4" s="82">
        <v>3.8479999999999999E-3</v>
      </c>
      <c r="P4" s="81">
        <f t="shared" si="1"/>
        <v>651.76715176715061</v>
      </c>
    </row>
    <row r="5" spans="1:17">
      <c r="D5" s="77">
        <v>60</v>
      </c>
      <c r="E5" s="77">
        <f t="shared" si="2"/>
        <v>240</v>
      </c>
      <c r="I5" s="79">
        <v>35.6</v>
      </c>
      <c r="J5" s="79">
        <v>35.5</v>
      </c>
      <c r="L5" s="83">
        <v>72.3</v>
      </c>
      <c r="M5" s="83">
        <v>74.572000000000003</v>
      </c>
      <c r="N5" s="77">
        <f t="shared" si="0"/>
        <v>2.2720000000000056</v>
      </c>
      <c r="O5" s="82">
        <v>3.8479999999999999E-3</v>
      </c>
      <c r="P5" s="81">
        <f t="shared" si="1"/>
        <v>590.43659043659193</v>
      </c>
    </row>
    <row r="6" spans="1:17">
      <c r="L6" s="83"/>
      <c r="M6" s="83"/>
      <c r="O6" s="82"/>
      <c r="P6" s="81"/>
    </row>
    <row r="7" spans="1:17">
      <c r="L7" s="83"/>
      <c r="M7" s="83"/>
      <c r="O7" s="82"/>
      <c r="P7" s="81"/>
    </row>
    <row r="8" spans="1:17">
      <c r="A8" s="77">
        <v>1</v>
      </c>
      <c r="B8" s="75" t="s">
        <v>119</v>
      </c>
      <c r="C8" s="84" t="s">
        <v>124</v>
      </c>
      <c r="D8" s="77">
        <v>60</v>
      </c>
      <c r="E8" s="77">
        <v>60</v>
      </c>
      <c r="F8" s="77">
        <v>1</v>
      </c>
      <c r="G8" s="77">
        <v>1</v>
      </c>
      <c r="I8" s="79">
        <v>36.6</v>
      </c>
      <c r="J8" s="79">
        <v>36.6</v>
      </c>
      <c r="L8" s="83">
        <v>72.3</v>
      </c>
      <c r="M8" s="83">
        <v>81.066000000000003</v>
      </c>
      <c r="N8" s="77">
        <f>M8-L8</f>
        <v>8.7660000000000053</v>
      </c>
      <c r="O8" s="82">
        <v>3.8479999999999999E-3</v>
      </c>
      <c r="P8" s="81">
        <f>N8/O8</f>
        <v>2278.0665280665294</v>
      </c>
      <c r="Q8" s="81">
        <f>AVERAGE(P9:P12)</f>
        <v>1137.4740124740133</v>
      </c>
    </row>
    <row r="9" spans="1:17">
      <c r="B9" s="78" t="s">
        <v>126</v>
      </c>
      <c r="D9" s="77">
        <v>60</v>
      </c>
      <c r="E9" s="77">
        <f>D9+E8</f>
        <v>120</v>
      </c>
      <c r="I9" s="79">
        <v>31.1</v>
      </c>
      <c r="J9" s="79">
        <v>31.1</v>
      </c>
      <c r="L9" s="83">
        <v>72.02</v>
      </c>
      <c r="M9" s="83">
        <v>77.185000000000002</v>
      </c>
      <c r="N9" s="77">
        <f t="shared" ref="N9:N12" si="3">M9-L9</f>
        <v>5.1650000000000063</v>
      </c>
      <c r="O9" s="82">
        <v>3.8479999999999999E-3</v>
      </c>
      <c r="P9" s="81">
        <f t="shared" ref="P9:P12" si="4">N9/O9</f>
        <v>1342.255717255719</v>
      </c>
    </row>
    <row r="10" spans="1:17">
      <c r="D10" s="77">
        <v>60</v>
      </c>
      <c r="E10" s="77">
        <f t="shared" ref="E10:E11" si="5">D10+E9</f>
        <v>180</v>
      </c>
      <c r="I10" s="79">
        <v>29.3</v>
      </c>
      <c r="J10" s="79">
        <v>29.3</v>
      </c>
      <c r="L10" s="83">
        <v>72.3</v>
      </c>
      <c r="M10" s="83">
        <v>76.605999999999995</v>
      </c>
      <c r="N10" s="77">
        <f t="shared" si="3"/>
        <v>4.3059999999999974</v>
      </c>
      <c r="O10" s="82">
        <v>3.8479999999999999E-3</v>
      </c>
      <c r="P10" s="81">
        <f t="shared" si="4"/>
        <v>1119.0228690228685</v>
      </c>
    </row>
    <row r="11" spans="1:17">
      <c r="D11" s="77">
        <v>60</v>
      </c>
      <c r="E11" s="77">
        <f t="shared" si="5"/>
        <v>240</v>
      </c>
      <c r="I11" s="79">
        <v>31.7</v>
      </c>
      <c r="J11" s="79">
        <v>31.7</v>
      </c>
      <c r="L11" s="83">
        <v>72.02</v>
      </c>
      <c r="M11" s="83">
        <v>75.858999999999995</v>
      </c>
      <c r="N11" s="77">
        <f t="shared" si="3"/>
        <v>3.8389999999999986</v>
      </c>
      <c r="O11" s="82">
        <v>3.8479999999999999E-3</v>
      </c>
      <c r="P11" s="81">
        <f t="shared" si="4"/>
        <v>997.66112266112236</v>
      </c>
    </row>
    <row r="12" spans="1:17">
      <c r="I12" s="79">
        <v>30.3</v>
      </c>
      <c r="J12" s="79">
        <v>30.3</v>
      </c>
      <c r="L12" s="83">
        <v>72.3</v>
      </c>
      <c r="M12" s="83">
        <v>76.498000000000005</v>
      </c>
      <c r="N12" s="77">
        <f t="shared" si="3"/>
        <v>4.1980000000000075</v>
      </c>
      <c r="O12" s="82">
        <v>3.8479999999999999E-3</v>
      </c>
      <c r="P12" s="81">
        <f t="shared" si="4"/>
        <v>1090.956340956343</v>
      </c>
    </row>
    <row r="13" spans="1:17">
      <c r="L13" s="83"/>
      <c r="M13" s="83"/>
      <c r="O13" s="82"/>
      <c r="P13" s="81"/>
    </row>
    <row r="14" spans="1:17">
      <c r="L14" s="83"/>
      <c r="M14" s="83"/>
      <c r="O14" s="82"/>
      <c r="P14" s="81"/>
    </row>
    <row r="15" spans="1:17">
      <c r="A15" s="77">
        <v>2</v>
      </c>
      <c r="B15" s="75" t="s">
        <v>119</v>
      </c>
      <c r="C15" s="76" t="s">
        <v>93</v>
      </c>
      <c r="D15" s="77">
        <v>60</v>
      </c>
      <c r="E15" s="77">
        <v>60</v>
      </c>
      <c r="F15" s="77">
        <v>1</v>
      </c>
      <c r="G15" s="77">
        <v>1</v>
      </c>
      <c r="I15" s="79">
        <v>31.5</v>
      </c>
      <c r="J15" s="79">
        <v>31.6</v>
      </c>
      <c r="L15" s="83">
        <v>72.03</v>
      </c>
      <c r="M15" s="83">
        <v>87.244</v>
      </c>
      <c r="N15" s="77">
        <f>M15-L15</f>
        <v>15.213999999999999</v>
      </c>
      <c r="O15" s="82">
        <v>3.8479999999999999E-3</v>
      </c>
      <c r="P15" s="81">
        <f>N15/O15</f>
        <v>3953.7422037422034</v>
      </c>
      <c r="Q15" s="77">
        <f>AVERAGE(P16:P18)</f>
        <v>2110.6202356202352</v>
      </c>
    </row>
    <row r="16" spans="1:17">
      <c r="D16" s="77">
        <v>60</v>
      </c>
      <c r="E16" s="77">
        <f>D16+E15</f>
        <v>120</v>
      </c>
      <c r="I16" s="79">
        <v>32.1</v>
      </c>
      <c r="J16" s="79">
        <v>32.1</v>
      </c>
      <c r="L16" s="83">
        <v>72.304000000000002</v>
      </c>
      <c r="M16" s="83">
        <v>79.994</v>
      </c>
      <c r="N16" s="77">
        <f t="shared" ref="N16:N18" si="6">M16-L16</f>
        <v>7.6899999999999977</v>
      </c>
      <c r="O16" s="82">
        <v>3.8479999999999999E-3</v>
      </c>
      <c r="P16" s="81">
        <f t="shared" ref="P16:P18" si="7">N16/O16</f>
        <v>1998.4407484407479</v>
      </c>
    </row>
    <row r="17" spans="1:17">
      <c r="D17" s="77">
        <v>60</v>
      </c>
      <c r="E17" s="77">
        <f t="shared" ref="E17:E18" si="8">D17+E16</f>
        <v>180</v>
      </c>
      <c r="I17" s="79">
        <v>28.9</v>
      </c>
      <c r="J17" s="79">
        <v>28.9</v>
      </c>
      <c r="L17" s="83">
        <v>72.03</v>
      </c>
      <c r="M17" s="83">
        <v>79.899000000000001</v>
      </c>
      <c r="N17" s="77">
        <f t="shared" si="6"/>
        <v>7.8689999999999998</v>
      </c>
      <c r="O17" s="82">
        <v>3.8479999999999999E-3</v>
      </c>
      <c r="P17" s="81">
        <f t="shared" si="7"/>
        <v>2044.9584199584199</v>
      </c>
    </row>
    <row r="18" spans="1:17">
      <c r="D18" s="77">
        <v>60</v>
      </c>
      <c r="E18" s="77">
        <f t="shared" si="8"/>
        <v>240</v>
      </c>
      <c r="L18" s="83">
        <v>72.304000000000002</v>
      </c>
      <c r="M18" s="83">
        <v>81.11</v>
      </c>
      <c r="N18" s="77">
        <f t="shared" si="6"/>
        <v>8.8059999999999974</v>
      </c>
      <c r="O18" s="82">
        <v>3.8479999999999999E-3</v>
      </c>
      <c r="P18" s="81">
        <f t="shared" si="7"/>
        <v>2288.4615384615377</v>
      </c>
    </row>
    <row r="19" spans="1:17">
      <c r="L19" s="83"/>
      <c r="M19" s="83"/>
      <c r="O19" s="82"/>
      <c r="P19" s="81"/>
    </row>
    <row r="21" spans="1:17">
      <c r="A21" s="77">
        <v>3</v>
      </c>
      <c r="B21" s="75" t="s">
        <v>119</v>
      </c>
      <c r="C21" s="76" t="s">
        <v>93</v>
      </c>
      <c r="D21" s="77">
        <v>60</v>
      </c>
      <c r="E21" s="77">
        <v>60</v>
      </c>
      <c r="F21" s="77">
        <v>1</v>
      </c>
      <c r="G21" s="77">
        <v>1</v>
      </c>
      <c r="I21" s="79">
        <v>29.4</v>
      </c>
      <c r="J21" s="79">
        <v>29.4</v>
      </c>
      <c r="L21" s="83">
        <v>72.308000000000007</v>
      </c>
      <c r="M21" s="83">
        <v>78.847999999999999</v>
      </c>
      <c r="N21" s="77">
        <f>M21-L21</f>
        <v>6.539999999999992</v>
      </c>
      <c r="O21" s="82">
        <v>3.8479999999999999E-3</v>
      </c>
      <c r="P21" s="81">
        <f>N21/O21</f>
        <v>1699.5841995841977</v>
      </c>
      <c r="Q21" s="81">
        <f>AVERAGE(P22:P24)</f>
        <v>954.43520443520447</v>
      </c>
    </row>
    <row r="22" spans="1:17">
      <c r="B22" s="78" t="s">
        <v>126</v>
      </c>
      <c r="D22" s="77">
        <v>60</v>
      </c>
      <c r="E22" s="77">
        <f>D22+E21</f>
        <v>120</v>
      </c>
      <c r="I22" s="79">
        <v>32.700000000000003</v>
      </c>
      <c r="J22" s="79">
        <v>32.700000000000003</v>
      </c>
      <c r="L22" s="83">
        <v>72.016999999999996</v>
      </c>
      <c r="M22" s="83">
        <v>77.673000000000002</v>
      </c>
      <c r="N22" s="77">
        <f t="shared" ref="N22:N24" si="9">M22-L22</f>
        <v>5.6560000000000059</v>
      </c>
      <c r="O22" s="82">
        <v>3.8479999999999999E-3</v>
      </c>
      <c r="P22" s="81">
        <f t="shared" ref="P22:P24" si="10">N22/O22</f>
        <v>1469.8544698544715</v>
      </c>
    </row>
    <row r="23" spans="1:17">
      <c r="D23" s="77">
        <v>60</v>
      </c>
      <c r="E23" s="77">
        <f t="shared" ref="E23:E24" si="11">D23+E22</f>
        <v>180</v>
      </c>
      <c r="I23" s="79">
        <v>34.799999999999997</v>
      </c>
      <c r="J23" s="79">
        <v>34.700000000000003</v>
      </c>
      <c r="L23" s="83">
        <v>72.308000000000007</v>
      </c>
      <c r="M23" s="83">
        <v>77.67</v>
      </c>
      <c r="N23" s="77">
        <f t="shared" si="9"/>
        <v>5.3619999999999948</v>
      </c>
      <c r="O23" s="82">
        <v>3.8479999999999999E-3</v>
      </c>
      <c r="P23" s="81">
        <f t="shared" si="10"/>
        <v>1393.4511434511421</v>
      </c>
    </row>
    <row r="24" spans="1:17">
      <c r="D24" s="77">
        <v>60</v>
      </c>
      <c r="E24" s="77">
        <f t="shared" si="11"/>
        <v>240</v>
      </c>
      <c r="L24" s="83"/>
      <c r="M24" s="83"/>
      <c r="N24" s="77">
        <f t="shared" si="9"/>
        <v>0</v>
      </c>
      <c r="O24" s="82">
        <v>3.8479999999999999E-3</v>
      </c>
      <c r="P24" s="81">
        <f t="shared" si="10"/>
        <v>0</v>
      </c>
    </row>
    <row r="27" spans="1:17">
      <c r="A27" s="77">
        <v>4</v>
      </c>
      <c r="B27" s="75" t="s">
        <v>119</v>
      </c>
      <c r="C27" s="76" t="s">
        <v>94</v>
      </c>
      <c r="D27" s="77">
        <v>60</v>
      </c>
      <c r="E27" s="77">
        <v>60</v>
      </c>
      <c r="F27" s="77">
        <v>1</v>
      </c>
      <c r="G27" s="77">
        <v>1</v>
      </c>
      <c r="I27" s="79">
        <v>30.7</v>
      </c>
      <c r="J27" s="79">
        <v>30.7</v>
      </c>
      <c r="L27" s="83">
        <v>72.016999999999996</v>
      </c>
      <c r="M27" s="83">
        <v>74.340999999999994</v>
      </c>
      <c r="N27" s="77">
        <f>M27-L27</f>
        <v>2.3239999999999981</v>
      </c>
      <c r="O27" s="82">
        <v>3.8479999999999999E-3</v>
      </c>
      <c r="P27" s="81">
        <f>N27/O27</f>
        <v>603.95010395010343</v>
      </c>
      <c r="Q27" s="81">
        <f>AVERAGE(P28:P30)</f>
        <v>468.29521829522008</v>
      </c>
    </row>
    <row r="28" spans="1:17">
      <c r="D28" s="77">
        <v>60</v>
      </c>
      <c r="E28" s="77">
        <f>D28+E27</f>
        <v>120</v>
      </c>
      <c r="I28" s="79">
        <v>32.299999999999997</v>
      </c>
      <c r="J28" s="79">
        <v>32.200000000000003</v>
      </c>
      <c r="L28" s="83">
        <v>72.3</v>
      </c>
      <c r="M28" s="83">
        <v>74.078000000000003</v>
      </c>
      <c r="N28" s="77">
        <f t="shared" ref="N28:N30" si="12">M28-L28</f>
        <v>1.7780000000000058</v>
      </c>
      <c r="O28" s="82">
        <v>3.8479999999999999E-3</v>
      </c>
      <c r="P28" s="81">
        <f t="shared" ref="P28:P30" si="13">N28/O28</f>
        <v>462.0582120582136</v>
      </c>
    </row>
    <row r="29" spans="1:17">
      <c r="D29" s="77">
        <v>60</v>
      </c>
      <c r="E29" s="77">
        <f t="shared" ref="E29:E30" si="14">D29+E28</f>
        <v>180</v>
      </c>
      <c r="I29" s="79">
        <v>28.3</v>
      </c>
      <c r="J29" s="79">
        <v>28.3</v>
      </c>
      <c r="L29" s="83">
        <v>72.016999999999996</v>
      </c>
      <c r="M29" s="83">
        <v>73.95</v>
      </c>
      <c r="N29" s="77">
        <f t="shared" si="12"/>
        <v>1.9330000000000069</v>
      </c>
      <c r="O29" s="82">
        <v>3.8479999999999999E-3</v>
      </c>
      <c r="P29" s="81">
        <f t="shared" si="13"/>
        <v>502.33887733887917</v>
      </c>
    </row>
    <row r="30" spans="1:17">
      <c r="D30" s="77">
        <v>60</v>
      </c>
      <c r="E30" s="77">
        <f t="shared" si="14"/>
        <v>240</v>
      </c>
      <c r="L30" s="83">
        <v>72.3</v>
      </c>
      <c r="M30" s="83">
        <v>73.995000000000005</v>
      </c>
      <c r="N30" s="77">
        <f t="shared" si="12"/>
        <v>1.6950000000000074</v>
      </c>
      <c r="O30" s="82">
        <v>3.8479999999999999E-3</v>
      </c>
      <c r="P30" s="81">
        <f t="shared" si="13"/>
        <v>440.48856548856742</v>
      </c>
    </row>
    <row r="33" spans="1:17">
      <c r="A33" s="77">
        <v>5</v>
      </c>
      <c r="B33" s="75" t="s">
        <v>119</v>
      </c>
      <c r="C33" s="84" t="s">
        <v>125</v>
      </c>
      <c r="D33" s="77">
        <v>60</v>
      </c>
      <c r="E33" s="77">
        <v>60</v>
      </c>
      <c r="F33" s="77">
        <v>1</v>
      </c>
      <c r="G33" s="77">
        <v>1</v>
      </c>
      <c r="I33" s="79">
        <v>30.2</v>
      </c>
      <c r="J33" s="79">
        <v>30.1</v>
      </c>
      <c r="L33" s="83">
        <v>72.016999999999996</v>
      </c>
      <c r="M33" s="83">
        <v>81.548000000000002</v>
      </c>
      <c r="N33" s="77">
        <f>M33-L33</f>
        <v>9.5310000000000059</v>
      </c>
      <c r="O33" s="82">
        <v>3.8479999999999999E-3</v>
      </c>
      <c r="P33" s="81">
        <f>N33/O33</f>
        <v>2476.8711018711033</v>
      </c>
      <c r="Q33" s="81">
        <f>AVERAGE(P34:P36)</f>
        <v>2113.305613305612</v>
      </c>
    </row>
    <row r="34" spans="1:17">
      <c r="D34" s="77">
        <v>60</v>
      </c>
      <c r="E34" s="77">
        <f>D34+E33</f>
        <v>120</v>
      </c>
      <c r="I34" s="79">
        <v>30.2</v>
      </c>
      <c r="J34" s="79">
        <v>30.3</v>
      </c>
      <c r="L34" s="83">
        <v>72.308000000000007</v>
      </c>
      <c r="M34" s="83">
        <v>80.531999999999996</v>
      </c>
      <c r="N34" s="77">
        <f t="shared" ref="N34:N36" si="15">M34-L34</f>
        <v>8.2239999999999895</v>
      </c>
      <c r="O34" s="82">
        <v>3.8479999999999999E-3</v>
      </c>
      <c r="P34" s="81">
        <f t="shared" ref="P34:P36" si="16">N34/O34</f>
        <v>2137.2141372141346</v>
      </c>
    </row>
    <row r="35" spans="1:17">
      <c r="D35" s="77">
        <v>60</v>
      </c>
      <c r="E35" s="77">
        <f t="shared" ref="E35:E36" si="17">D35+E34</f>
        <v>180</v>
      </c>
      <c r="I35" s="79">
        <v>29.3</v>
      </c>
      <c r="J35" s="79">
        <v>29.3</v>
      </c>
      <c r="L35" s="83">
        <v>72.02</v>
      </c>
      <c r="M35" s="83">
        <v>80.427000000000007</v>
      </c>
      <c r="N35" s="77">
        <f t="shared" si="15"/>
        <v>8.4070000000000107</v>
      </c>
      <c r="O35" s="82">
        <v>3.8479999999999999E-3</v>
      </c>
      <c r="P35" s="81">
        <f t="shared" si="16"/>
        <v>2184.7713097713126</v>
      </c>
    </row>
    <row r="36" spans="1:17">
      <c r="D36" s="77">
        <v>60</v>
      </c>
      <c r="E36" s="77">
        <f t="shared" si="17"/>
        <v>240</v>
      </c>
      <c r="I36" s="79">
        <v>30.7</v>
      </c>
      <c r="J36" s="79">
        <v>30.7</v>
      </c>
      <c r="L36" s="83">
        <v>72.308000000000007</v>
      </c>
      <c r="M36" s="83">
        <v>80.072999999999993</v>
      </c>
      <c r="N36" s="77">
        <f t="shared" si="15"/>
        <v>7.7649999999999864</v>
      </c>
      <c r="O36" s="82">
        <v>3.8479999999999999E-3</v>
      </c>
      <c r="P36" s="81">
        <f t="shared" si="16"/>
        <v>2017.9313929313894</v>
      </c>
    </row>
    <row r="39" spans="1:17">
      <c r="A39" s="77">
        <v>5</v>
      </c>
      <c r="B39" s="75" t="s">
        <v>130</v>
      </c>
      <c r="C39" s="84" t="s">
        <v>93</v>
      </c>
      <c r="D39" s="77">
        <v>60</v>
      </c>
      <c r="E39" s="77">
        <v>60</v>
      </c>
      <c r="F39" s="77">
        <v>1</v>
      </c>
      <c r="G39" s="77">
        <v>1</v>
      </c>
      <c r="I39" s="79">
        <v>30.2</v>
      </c>
      <c r="J39" s="79">
        <v>30.1</v>
      </c>
      <c r="L39" s="83">
        <v>72.016999999999996</v>
      </c>
      <c r="M39" s="83">
        <v>81.099000000000004</v>
      </c>
      <c r="N39" s="77">
        <f>M39-L39</f>
        <v>9.0820000000000078</v>
      </c>
      <c r="O39" s="82">
        <v>3.8479999999999999E-3</v>
      </c>
      <c r="P39" s="81">
        <f>N39/O39</f>
        <v>2360.1871101871125</v>
      </c>
      <c r="Q39" s="81">
        <f>AVERAGE(P40:P42)</f>
        <v>1817.4809424809434</v>
      </c>
    </row>
    <row r="40" spans="1:17">
      <c r="D40" s="77">
        <v>60</v>
      </c>
      <c r="E40" s="77">
        <f>D40+E39</f>
        <v>120</v>
      </c>
      <c r="I40" s="79">
        <v>30.2</v>
      </c>
      <c r="J40" s="79">
        <v>30.3</v>
      </c>
      <c r="L40" s="83">
        <v>72.3</v>
      </c>
      <c r="M40" s="83">
        <v>79.451999999999998</v>
      </c>
      <c r="N40" s="77">
        <f t="shared" ref="N40:N42" si="18">M40-L40</f>
        <v>7.152000000000001</v>
      </c>
      <c r="O40" s="82">
        <v>3.8479999999999999E-3</v>
      </c>
      <c r="P40" s="81">
        <f t="shared" ref="P40:P42" si="19">N40/O40</f>
        <v>1858.627858627859</v>
      </c>
    </row>
    <row r="41" spans="1:17">
      <c r="D41" s="77">
        <v>60</v>
      </c>
      <c r="E41" s="77">
        <f t="shared" ref="E41:E42" si="20">D41+E40</f>
        <v>180</v>
      </c>
      <c r="I41" s="79">
        <v>29.3</v>
      </c>
      <c r="J41" s="79">
        <v>29.3</v>
      </c>
      <c r="L41" s="83">
        <v>72.016999999999996</v>
      </c>
      <c r="M41" s="83">
        <v>79.406000000000006</v>
      </c>
      <c r="N41" s="77">
        <f t="shared" si="18"/>
        <v>7.38900000000001</v>
      </c>
      <c r="O41" s="82">
        <v>3.8479999999999999E-3</v>
      </c>
      <c r="P41" s="81">
        <f t="shared" si="19"/>
        <v>1920.218295218298</v>
      </c>
    </row>
    <row r="42" spans="1:17">
      <c r="D42" s="77">
        <v>60</v>
      </c>
      <c r="E42" s="77">
        <f t="shared" si="20"/>
        <v>240</v>
      </c>
      <c r="I42" s="79">
        <v>30.7</v>
      </c>
      <c r="J42" s="79">
        <v>30.7</v>
      </c>
      <c r="L42" s="83">
        <v>72.3</v>
      </c>
      <c r="M42" s="83">
        <v>78.739999999999995</v>
      </c>
      <c r="N42" s="77">
        <f t="shared" si="18"/>
        <v>6.4399999999999977</v>
      </c>
      <c r="O42" s="82">
        <v>3.8479999999999999E-3</v>
      </c>
      <c r="P42" s="81">
        <f t="shared" si="19"/>
        <v>1673.5966735966731</v>
      </c>
    </row>
    <row r="45" spans="1:17">
      <c r="A45" s="77">
        <v>5</v>
      </c>
      <c r="B45" s="75" t="s">
        <v>130</v>
      </c>
      <c r="C45" s="84" t="s">
        <v>132</v>
      </c>
      <c r="D45" s="77">
        <v>60</v>
      </c>
      <c r="E45" s="77">
        <v>60</v>
      </c>
      <c r="F45" s="77">
        <v>1</v>
      </c>
      <c r="G45" s="77">
        <v>1</v>
      </c>
      <c r="I45" s="79">
        <v>30.2</v>
      </c>
      <c r="J45" s="79">
        <v>30.1</v>
      </c>
      <c r="L45" s="83">
        <v>72.018000000000001</v>
      </c>
      <c r="M45" s="83">
        <v>82.271000000000001</v>
      </c>
      <c r="N45" s="77">
        <f>M45-L45</f>
        <v>10.253</v>
      </c>
      <c r="O45" s="82">
        <v>3.8479999999999999E-3</v>
      </c>
      <c r="P45" s="81">
        <f>N45/O45</f>
        <v>2664.5010395010395</v>
      </c>
      <c r="Q45" s="81">
        <f>AVERAGE(P46:P48)</f>
        <v>1440.4885654885647</v>
      </c>
    </row>
    <row r="46" spans="1:17">
      <c r="D46" s="77">
        <v>60</v>
      </c>
      <c r="E46" s="77">
        <f>D46+E45</f>
        <v>120</v>
      </c>
      <c r="I46" s="79">
        <v>30.2</v>
      </c>
      <c r="J46" s="79">
        <v>30.3</v>
      </c>
      <c r="L46" s="83">
        <v>72.301000000000002</v>
      </c>
      <c r="M46" s="83">
        <v>78.141999999999996</v>
      </c>
      <c r="N46" s="77">
        <f t="shared" ref="N46:N48" si="21">M46-L46</f>
        <v>5.840999999999994</v>
      </c>
      <c r="O46" s="82">
        <v>3.8479999999999999E-3</v>
      </c>
      <c r="P46" s="81">
        <f t="shared" ref="P46:P48" si="22">N46/O46</f>
        <v>1517.9313929313914</v>
      </c>
    </row>
    <row r="47" spans="1:17">
      <c r="D47" s="77">
        <v>60</v>
      </c>
      <c r="E47" s="77">
        <f t="shared" ref="E47:E48" si="23">D47+E46</f>
        <v>180</v>
      </c>
      <c r="I47" s="79">
        <v>29.3</v>
      </c>
      <c r="J47" s="79">
        <v>29.3</v>
      </c>
      <c r="L47" s="83">
        <v>72.018000000000001</v>
      </c>
      <c r="M47" s="83">
        <v>77.292000000000002</v>
      </c>
      <c r="N47" s="77">
        <f t="shared" si="21"/>
        <v>5.2740000000000009</v>
      </c>
      <c r="O47" s="82">
        <v>3.8479999999999999E-3</v>
      </c>
      <c r="P47" s="81">
        <f t="shared" si="22"/>
        <v>1370.582120582121</v>
      </c>
    </row>
    <row r="48" spans="1:17">
      <c r="D48" s="77">
        <v>60</v>
      </c>
      <c r="E48" s="77">
        <f t="shared" si="23"/>
        <v>240</v>
      </c>
      <c r="I48" s="79">
        <v>30.7</v>
      </c>
      <c r="J48" s="79">
        <v>30.7</v>
      </c>
      <c r="L48" s="83">
        <v>72.301000000000002</v>
      </c>
      <c r="M48" s="83">
        <v>77.814999999999998</v>
      </c>
      <c r="N48" s="77">
        <f t="shared" si="21"/>
        <v>5.5139999999999958</v>
      </c>
      <c r="O48" s="82">
        <v>3.8479999999999999E-3</v>
      </c>
      <c r="P48" s="81">
        <f t="shared" si="22"/>
        <v>1432.9521829521818</v>
      </c>
    </row>
    <row r="51" spans="1:17">
      <c r="A51" s="77">
        <v>5</v>
      </c>
      <c r="B51" s="75" t="s">
        <v>130</v>
      </c>
      <c r="C51" s="84" t="s">
        <v>131</v>
      </c>
      <c r="D51" s="77">
        <v>60</v>
      </c>
      <c r="E51" s="77">
        <v>60</v>
      </c>
      <c r="F51" s="77">
        <v>1</v>
      </c>
      <c r="G51" s="77">
        <v>1</v>
      </c>
      <c r="I51" s="79">
        <v>30.2</v>
      </c>
      <c r="J51" s="79">
        <v>30.1</v>
      </c>
      <c r="L51" s="83">
        <v>72.018000000000001</v>
      </c>
      <c r="M51" s="83">
        <v>79.611000000000004</v>
      </c>
      <c r="N51" s="77">
        <f>M51-L51</f>
        <v>7.5930000000000035</v>
      </c>
      <c r="O51" s="82">
        <v>3.8479999999999999E-3</v>
      </c>
      <c r="P51" s="81">
        <f>N51/O51</f>
        <v>1973.2328482328492</v>
      </c>
      <c r="Q51" s="81">
        <f>AVERAGE(P52:P54)</f>
        <v>2068.6936936936936</v>
      </c>
    </row>
    <row r="52" spans="1:17">
      <c r="D52" s="77">
        <v>60</v>
      </c>
      <c r="E52" s="77">
        <f>D52+E51</f>
        <v>120</v>
      </c>
      <c r="I52" s="79">
        <v>30.2</v>
      </c>
      <c r="J52" s="79">
        <v>30.3</v>
      </c>
      <c r="L52" s="83">
        <v>72.301000000000002</v>
      </c>
      <c r="M52" s="83">
        <v>80.575000000000003</v>
      </c>
      <c r="N52" s="77">
        <f t="shared" ref="N52:N54" si="24">M52-L52</f>
        <v>8.2740000000000009</v>
      </c>
      <c r="O52" s="82">
        <v>3.8479999999999999E-3</v>
      </c>
      <c r="P52" s="81">
        <f t="shared" ref="P52:P54" si="25">N52/O52</f>
        <v>2150.2079002079004</v>
      </c>
    </row>
    <row r="53" spans="1:17">
      <c r="D53" s="77">
        <v>60</v>
      </c>
      <c r="E53" s="77">
        <f t="shared" ref="E53:E54" si="26">D53+E52</f>
        <v>180</v>
      </c>
      <c r="I53" s="79">
        <v>29.3</v>
      </c>
      <c r="J53" s="79">
        <v>29.3</v>
      </c>
      <c r="L53" s="83">
        <v>72.018000000000001</v>
      </c>
      <c r="M53" s="83">
        <v>79.561000000000007</v>
      </c>
      <c r="N53" s="77">
        <f t="shared" si="24"/>
        <v>7.5430000000000064</v>
      </c>
      <c r="O53" s="82">
        <v>3.8479999999999999E-3</v>
      </c>
      <c r="P53" s="81">
        <f t="shared" si="25"/>
        <v>1960.239085239087</v>
      </c>
    </row>
    <row r="54" spans="1:17">
      <c r="D54" s="77">
        <v>60</v>
      </c>
      <c r="E54" s="77">
        <f t="shared" si="26"/>
        <v>240</v>
      </c>
      <c r="I54" s="79">
        <v>30.7</v>
      </c>
      <c r="J54" s="79">
        <v>30.7</v>
      </c>
      <c r="L54" s="83">
        <v>72.301000000000002</v>
      </c>
      <c r="M54" s="83">
        <v>80.364999999999995</v>
      </c>
      <c r="N54" s="77">
        <f t="shared" si="24"/>
        <v>8.063999999999993</v>
      </c>
      <c r="O54" s="82">
        <v>3.8479999999999999E-3</v>
      </c>
      <c r="P54" s="81">
        <f t="shared" si="25"/>
        <v>2095.6340956340937</v>
      </c>
    </row>
    <row r="57" spans="1:17">
      <c r="A57" s="77">
        <v>5</v>
      </c>
      <c r="B57" s="75" t="s">
        <v>130</v>
      </c>
      <c r="C57" s="84" t="s">
        <v>131</v>
      </c>
      <c r="D57" s="77">
        <v>60</v>
      </c>
      <c r="E57" s="77">
        <v>60</v>
      </c>
      <c r="F57" s="77">
        <v>1</v>
      </c>
      <c r="G57" s="77">
        <v>1</v>
      </c>
      <c r="I57" s="79">
        <v>30.2</v>
      </c>
      <c r="J57" s="79">
        <v>30.1</v>
      </c>
      <c r="L57" s="83">
        <v>72.016999999999996</v>
      </c>
      <c r="M57" s="83">
        <v>79.494</v>
      </c>
      <c r="N57" s="77">
        <f>M57-L57</f>
        <v>7.4770000000000039</v>
      </c>
      <c r="O57" s="82">
        <v>3.8479999999999999E-3</v>
      </c>
      <c r="P57" s="81">
        <f>N57/O57</f>
        <v>1943.0873180873191</v>
      </c>
      <c r="Q57" s="81">
        <f>AVERAGE(P58:P60)</f>
        <v>1806.306306306308</v>
      </c>
    </row>
    <row r="58" spans="1:17">
      <c r="C58" s="74" t="s">
        <v>129</v>
      </c>
      <c r="D58" s="77">
        <v>60</v>
      </c>
      <c r="E58" s="77">
        <f>D58+E57</f>
        <v>120</v>
      </c>
      <c r="I58" s="79">
        <v>30.2</v>
      </c>
      <c r="J58" s="79">
        <v>30.3</v>
      </c>
      <c r="L58" s="83">
        <v>72.3</v>
      </c>
      <c r="M58" s="83">
        <v>79.296000000000006</v>
      </c>
      <c r="N58" s="77">
        <f t="shared" ref="N58:N60" si="27">M58-L58</f>
        <v>6.9960000000000093</v>
      </c>
      <c r="O58" s="82">
        <v>3.8479999999999999E-3</v>
      </c>
      <c r="P58" s="81">
        <f t="shared" ref="P58:P60" si="28">N58/O58</f>
        <v>1818.0873180873207</v>
      </c>
    </row>
    <row r="59" spans="1:17">
      <c r="D59" s="77">
        <v>60</v>
      </c>
      <c r="E59" s="77">
        <f t="shared" ref="E59:E60" si="29">D59+E58</f>
        <v>180</v>
      </c>
      <c r="I59" s="79">
        <v>29.3</v>
      </c>
      <c r="J59" s="79">
        <v>29.3</v>
      </c>
      <c r="L59" s="83">
        <v>72.016999999999996</v>
      </c>
      <c r="M59" s="83">
        <v>79.403000000000006</v>
      </c>
      <c r="N59" s="77">
        <f t="shared" si="27"/>
        <v>7.3860000000000099</v>
      </c>
      <c r="O59" s="82">
        <v>3.8479999999999999E-3</v>
      </c>
      <c r="P59" s="81">
        <f t="shared" si="28"/>
        <v>1919.4386694386722</v>
      </c>
    </row>
    <row r="60" spans="1:17">
      <c r="D60" s="77">
        <v>60</v>
      </c>
      <c r="E60" s="77">
        <f t="shared" si="29"/>
        <v>240</v>
      </c>
      <c r="I60" s="79">
        <v>30.7</v>
      </c>
      <c r="J60" s="79">
        <v>30.7</v>
      </c>
      <c r="L60" s="83">
        <v>72.3</v>
      </c>
      <c r="M60" s="83">
        <v>78.77</v>
      </c>
      <c r="N60" s="77">
        <f t="shared" si="27"/>
        <v>6.4699999999999989</v>
      </c>
      <c r="O60" s="82">
        <v>3.8479999999999999E-3</v>
      </c>
      <c r="P60" s="81">
        <f t="shared" si="28"/>
        <v>1681.3929313929311</v>
      </c>
    </row>
  </sheetData>
  <mergeCells count="2">
    <mergeCell ref="F1:G1"/>
    <mergeCell ref="I1:J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Y100"/>
  <sheetViews>
    <sheetView zoomScaleNormal="100" workbookViewId="0">
      <selection activeCell="J12" sqref="J12"/>
    </sheetView>
  </sheetViews>
  <sheetFormatPr defaultRowHeight="14.25"/>
  <cols>
    <col min="1" max="1" width="26.25" style="56" bestFit="1" customWidth="1"/>
    <col min="2" max="2" width="20" style="56" bestFit="1" customWidth="1"/>
    <col min="3" max="3" width="33.75" style="56" bestFit="1" customWidth="1"/>
    <col min="4" max="4" width="20" style="55" bestFit="1" customWidth="1"/>
    <col min="5" max="5" width="32.75" style="55" bestFit="1" customWidth="1"/>
    <col min="6" max="6" width="31.625" style="55" bestFit="1" customWidth="1"/>
    <col min="7" max="7" width="26.375" style="55" bestFit="1" customWidth="1"/>
    <col min="8" max="8" width="32" style="55" bestFit="1" customWidth="1"/>
    <col min="9" max="9" width="27.625" style="55" bestFit="1" customWidth="1"/>
    <col min="10" max="10" width="36" style="55" bestFit="1" customWidth="1"/>
    <col min="11" max="11" width="38.25" style="55" bestFit="1" customWidth="1"/>
    <col min="13" max="13" width="12.25" bestFit="1" customWidth="1"/>
    <col min="14" max="14" width="25.25" bestFit="1" customWidth="1"/>
    <col min="15" max="15" width="24.125" bestFit="1" customWidth="1"/>
    <col min="16" max="16" width="25.25" bestFit="1" customWidth="1"/>
    <col min="17" max="17" width="24.125" bestFit="1" customWidth="1"/>
    <col min="18" max="18" width="25.25" bestFit="1" customWidth="1"/>
    <col min="19" max="19" width="24.125" bestFit="1" customWidth="1"/>
    <col min="20" max="20" width="25.25" bestFit="1" customWidth="1"/>
    <col min="21" max="21" width="24.125" bestFit="1" customWidth="1"/>
    <col min="22" max="22" width="25.25" bestFit="1" customWidth="1"/>
    <col min="23" max="23" width="24.125" bestFit="1" customWidth="1"/>
    <col min="24" max="24" width="25.25" bestFit="1" customWidth="1"/>
    <col min="25" max="25" width="12.75" bestFit="1" customWidth="1"/>
  </cols>
  <sheetData>
    <row r="4" spans="1:13" ht="15">
      <c r="A4" s="5" t="s">
        <v>1</v>
      </c>
      <c r="B4" s="5" t="s">
        <v>2</v>
      </c>
      <c r="C4" s="6" t="s">
        <v>3</v>
      </c>
      <c r="D4" s="62" t="s">
        <v>8</v>
      </c>
      <c r="E4" s="62" t="s">
        <v>43</v>
      </c>
      <c r="F4" s="62" t="s">
        <v>16</v>
      </c>
      <c r="G4" s="62" t="s">
        <v>38</v>
      </c>
      <c r="H4" s="62" t="s">
        <v>29</v>
      </c>
      <c r="I4" s="62" t="s">
        <v>105</v>
      </c>
      <c r="J4" s="62" t="s">
        <v>46</v>
      </c>
      <c r="K4" s="62"/>
      <c r="L4" s="62"/>
      <c r="M4" s="62"/>
    </row>
    <row r="5" spans="1:13" ht="15">
      <c r="A5" s="66" t="s">
        <v>97</v>
      </c>
      <c r="B5" s="70" t="s">
        <v>127</v>
      </c>
      <c r="C5" s="85">
        <v>30</v>
      </c>
      <c r="D5">
        <v>2.1133056133056098</v>
      </c>
      <c r="E5" s="62"/>
      <c r="F5" s="62"/>
      <c r="G5" s="62"/>
      <c r="H5" s="62"/>
      <c r="I5" s="62"/>
      <c r="J5" s="62"/>
      <c r="K5" s="62"/>
      <c r="L5" s="62"/>
      <c r="M5" s="62"/>
    </row>
    <row r="6" spans="1:13" ht="15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">
      <c r="A7" s="85"/>
      <c r="B7" s="85"/>
      <c r="C7" s="85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>
      <c r="A8" s="66" t="s">
        <v>97</v>
      </c>
      <c r="B8" s="56" t="s">
        <v>98</v>
      </c>
      <c r="C8" s="56">
        <v>30</v>
      </c>
      <c r="D8">
        <v>1.88099922075541</v>
      </c>
      <c r="E8" s="2">
        <v>2392.1164036429413</v>
      </c>
      <c r="F8">
        <v>1370.4573871423281</v>
      </c>
      <c r="G8" s="56" t="s">
        <v>101</v>
      </c>
      <c r="H8" s="56" t="s">
        <v>101</v>
      </c>
      <c r="I8" s="56">
        <v>1.7454876204731704</v>
      </c>
      <c r="J8" s="56">
        <v>1.0599197613668991</v>
      </c>
      <c r="K8" s="56"/>
    </row>
    <row r="9" spans="1:13">
      <c r="A9" s="66"/>
      <c r="B9" s="70"/>
      <c r="C9" s="70"/>
      <c r="D9"/>
      <c r="E9" s="2"/>
      <c r="F9"/>
      <c r="G9" s="70"/>
      <c r="H9" s="70"/>
      <c r="I9" s="70"/>
      <c r="J9" s="70"/>
      <c r="K9" s="70"/>
    </row>
    <row r="10" spans="1:13">
      <c r="A10" s="66"/>
      <c r="B10" s="70"/>
      <c r="C10" s="65"/>
      <c r="D10"/>
      <c r="E10" s="2"/>
      <c r="F10"/>
      <c r="G10" s="65"/>
      <c r="H10" s="65"/>
      <c r="I10" s="65"/>
      <c r="K10" s="65"/>
    </row>
    <row r="11" spans="1:13">
      <c r="A11" s="51"/>
      <c r="G11" s="56"/>
      <c r="H11" s="56"/>
      <c r="K11" s="56"/>
    </row>
    <row r="12" spans="1:13">
      <c r="A12" s="66" t="s">
        <v>97</v>
      </c>
      <c r="B12" s="56" t="s">
        <v>99</v>
      </c>
      <c r="C12" s="56">
        <v>30</v>
      </c>
      <c r="D12">
        <v>0.80004714148736578</v>
      </c>
      <c r="E12" s="2">
        <v>1170.7153239066831</v>
      </c>
      <c r="F12">
        <v>339.29669012766414</v>
      </c>
      <c r="G12" s="65" t="s">
        <v>101</v>
      </c>
      <c r="H12" s="65" t="s">
        <v>101</v>
      </c>
      <c r="I12" s="56">
        <v>3.4504177552282886</v>
      </c>
      <c r="J12" s="65">
        <v>1.7700221429364016</v>
      </c>
      <c r="K12" s="56"/>
    </row>
    <row r="13" spans="1:13">
      <c r="A13" s="57"/>
      <c r="B13" s="57" t="s">
        <v>129</v>
      </c>
      <c r="C13" s="57"/>
      <c r="D13">
        <v>0.46800000000000003</v>
      </c>
      <c r="E13" s="56"/>
      <c r="F13" s="56"/>
      <c r="G13" s="56"/>
      <c r="H13" s="56"/>
      <c r="I13" s="56"/>
      <c r="J13" s="56"/>
      <c r="K13" s="56"/>
    </row>
    <row r="14" spans="1:13">
      <c r="A14" s="57"/>
      <c r="B14" s="57"/>
      <c r="C14" s="57"/>
      <c r="D14" s="70"/>
      <c r="E14" s="70"/>
      <c r="F14" s="70"/>
      <c r="G14" s="70"/>
      <c r="H14" s="70"/>
      <c r="I14" s="70"/>
      <c r="J14" s="70"/>
      <c r="K14" s="70"/>
    </row>
    <row r="15" spans="1:13">
      <c r="A15" s="57"/>
      <c r="B15" s="57"/>
      <c r="C15" s="57"/>
      <c r="D15" s="56"/>
      <c r="E15" s="56"/>
      <c r="F15" s="56"/>
      <c r="G15" s="56"/>
      <c r="H15" s="56"/>
      <c r="I15" s="56"/>
      <c r="J15" s="56"/>
      <c r="K15" s="56"/>
    </row>
    <row r="16" spans="1:13">
      <c r="A16" s="66" t="s">
        <v>97</v>
      </c>
      <c r="B16" s="65" t="s">
        <v>100</v>
      </c>
      <c r="C16" s="56">
        <v>30</v>
      </c>
      <c r="D16" s="67">
        <v>0.73979689860058595</v>
      </c>
      <c r="E16" s="2">
        <v>954.35413188303323</v>
      </c>
      <c r="F16">
        <v>0</v>
      </c>
      <c r="G16" s="65" t="s">
        <v>101</v>
      </c>
      <c r="H16" s="65" t="s">
        <v>101</v>
      </c>
      <c r="I16" s="56" t="e">
        <v>#DIV/0!</v>
      </c>
      <c r="J16" s="56">
        <v>0</v>
      </c>
      <c r="K16" s="56"/>
    </row>
    <row r="17" spans="1:11">
      <c r="A17" s="66"/>
      <c r="B17" s="70" t="s">
        <v>100</v>
      </c>
      <c r="C17" s="70"/>
      <c r="D17" s="73">
        <v>0.95399999999999996</v>
      </c>
      <c r="E17" s="2"/>
      <c r="F17"/>
      <c r="G17" s="70"/>
      <c r="H17" s="70"/>
      <c r="I17" s="70"/>
      <c r="J17" s="70"/>
      <c r="K17" s="70"/>
    </row>
    <row r="18" spans="1:11">
      <c r="A18" s="66"/>
      <c r="B18" s="70"/>
      <c r="C18" s="70"/>
      <c r="D18" s="73"/>
      <c r="E18" s="2"/>
      <c r="F18"/>
      <c r="G18" s="70"/>
      <c r="H18" s="70"/>
      <c r="I18" s="70"/>
      <c r="J18" s="70"/>
      <c r="K18" s="70"/>
    </row>
    <row r="19" spans="1:11">
      <c r="A19" s="66"/>
      <c r="B19" s="70"/>
      <c r="C19" s="70"/>
      <c r="D19" s="73"/>
      <c r="E19" s="2"/>
      <c r="F19"/>
      <c r="G19" s="70"/>
      <c r="H19" s="70"/>
      <c r="I19" s="70"/>
      <c r="J19" s="70"/>
      <c r="K19" s="70"/>
    </row>
    <row r="20" spans="1:11">
      <c r="A20" s="66" t="s">
        <v>97</v>
      </c>
      <c r="B20" s="70" t="s">
        <v>128</v>
      </c>
      <c r="C20" s="70">
        <v>30</v>
      </c>
      <c r="D20" s="67">
        <v>0.73979689860058595</v>
      </c>
      <c r="E20" s="2">
        <v>954.35413188303323</v>
      </c>
      <c r="F20">
        <v>0</v>
      </c>
      <c r="G20" s="70" t="s">
        <v>101</v>
      </c>
      <c r="H20" s="70" t="s">
        <v>101</v>
      </c>
      <c r="I20" s="70" t="e">
        <v>#DIV/0!</v>
      </c>
      <c r="J20" s="70">
        <v>0</v>
      </c>
      <c r="K20" s="70"/>
    </row>
    <row r="21" spans="1:11">
      <c r="A21" s="66"/>
      <c r="B21" s="70" t="s">
        <v>128</v>
      </c>
      <c r="C21" s="70"/>
      <c r="D21" s="67">
        <v>0.60455647955647995</v>
      </c>
      <c r="E21" s="2"/>
      <c r="F21"/>
      <c r="G21" s="70"/>
      <c r="H21" s="70"/>
      <c r="I21" s="70"/>
      <c r="J21" s="70"/>
      <c r="K21" s="70"/>
    </row>
    <row r="22" spans="1:11">
      <c r="A22" s="66"/>
      <c r="B22" s="70"/>
      <c r="C22" s="70"/>
      <c r="D22" s="73"/>
      <c r="E22" s="2"/>
      <c r="F22"/>
      <c r="G22" s="70"/>
      <c r="H22" s="70"/>
      <c r="I22" s="70"/>
      <c r="J22" s="70"/>
      <c r="K22" s="70"/>
    </row>
    <row r="23" spans="1:11">
      <c r="A23" s="66"/>
      <c r="B23" s="70"/>
      <c r="C23" s="70"/>
      <c r="D23" s="73"/>
      <c r="E23" s="2"/>
      <c r="F23"/>
      <c r="G23" s="70"/>
      <c r="H23" s="70"/>
      <c r="I23" s="70"/>
      <c r="J23" s="70"/>
      <c r="K23" s="70"/>
    </row>
    <row r="24" spans="1:11">
      <c r="A24" s="66"/>
      <c r="B24" s="70"/>
      <c r="C24" s="70"/>
      <c r="D24" s="73"/>
      <c r="E24" s="2"/>
      <c r="F24"/>
      <c r="G24" s="70"/>
      <c r="H24" s="70"/>
      <c r="I24" s="70"/>
      <c r="J24" s="70"/>
      <c r="K24" s="70"/>
    </row>
    <row r="25" spans="1:11">
      <c r="A25" s="66" t="s">
        <v>102</v>
      </c>
      <c r="B25" s="70" t="s">
        <v>127</v>
      </c>
      <c r="C25" s="70">
        <v>30</v>
      </c>
      <c r="D25" s="2">
        <v>1.806</v>
      </c>
      <c r="E25" s="70">
        <v>548.12457259251698</v>
      </c>
      <c r="F25" s="2">
        <v>290.15387090054452</v>
      </c>
      <c r="G25" s="70"/>
      <c r="H25" s="70"/>
      <c r="I25" s="70">
        <v>1.8890824061430378</v>
      </c>
      <c r="J25" s="70">
        <v>1.2130906873532599</v>
      </c>
      <c r="K25" s="70"/>
    </row>
    <row r="26" spans="1:11">
      <c r="D26" s="56"/>
      <c r="E26" s="56"/>
      <c r="F26" s="56"/>
      <c r="G26" s="56"/>
      <c r="H26" s="56"/>
      <c r="I26" s="56"/>
      <c r="J26" s="56"/>
      <c r="K26" s="56"/>
    </row>
    <row r="27" spans="1:11">
      <c r="D27" s="56"/>
      <c r="E27" s="56"/>
      <c r="F27" s="56"/>
      <c r="G27" s="56"/>
      <c r="H27" s="56"/>
      <c r="I27" s="56"/>
      <c r="J27" s="56"/>
      <c r="K27" s="56"/>
    </row>
    <row r="28" spans="1:11">
      <c r="A28" s="66" t="s">
        <v>102</v>
      </c>
      <c r="B28" s="65" t="s">
        <v>98</v>
      </c>
      <c r="C28" s="65">
        <v>30</v>
      </c>
      <c r="D28" s="2">
        <v>408.68159964788197</v>
      </c>
      <c r="E28" s="56">
        <v>548.12457259251698</v>
      </c>
      <c r="F28" s="2">
        <v>290.15387090054452</v>
      </c>
      <c r="G28" s="56"/>
      <c r="H28" s="56"/>
      <c r="I28" s="56">
        <v>1.8890824061430378</v>
      </c>
      <c r="J28" s="56">
        <v>1.2130906873532599</v>
      </c>
      <c r="K28" s="56"/>
    </row>
    <row r="29" spans="1:11">
      <c r="A29" s="57"/>
      <c r="B29" s="65"/>
      <c r="C29" s="57"/>
      <c r="G29" s="56"/>
      <c r="H29" s="56"/>
      <c r="K29" s="56"/>
    </row>
    <row r="30" spans="1:11">
      <c r="A30" s="57"/>
      <c r="B30" s="65"/>
      <c r="C30" s="57"/>
      <c r="G30" s="56"/>
      <c r="H30" s="56"/>
      <c r="K30" s="56"/>
    </row>
    <row r="31" spans="1:11">
      <c r="A31" s="66" t="s">
        <v>102</v>
      </c>
      <c r="B31" s="65" t="s">
        <v>99</v>
      </c>
      <c r="C31" s="65">
        <v>30</v>
      </c>
      <c r="D31" s="2">
        <v>241.14213836880475</v>
      </c>
      <c r="E31" s="56">
        <v>395.17581365652421</v>
      </c>
      <c r="F31" s="2">
        <v>8.1622798443439475</v>
      </c>
      <c r="G31" s="56"/>
      <c r="H31" s="56"/>
      <c r="I31" s="56">
        <v>48.41488177232263</v>
      </c>
      <c r="J31" s="56">
        <v>21.00723656064433</v>
      </c>
      <c r="K31" s="56"/>
    </row>
    <row r="32" spans="1:11">
      <c r="B32" s="57"/>
      <c r="D32" s="55">
        <v>1.44</v>
      </c>
      <c r="G32" s="56"/>
      <c r="H32" s="56"/>
      <c r="I32" s="64"/>
      <c r="J32" s="64"/>
      <c r="K32" s="56"/>
    </row>
    <row r="33" spans="1:11">
      <c r="B33" s="57"/>
      <c r="D33" s="56"/>
      <c r="E33" s="56"/>
      <c r="F33" s="56"/>
      <c r="G33" s="56"/>
      <c r="H33" s="56"/>
      <c r="I33" s="56"/>
      <c r="J33" s="56"/>
      <c r="K33" s="56"/>
    </row>
    <row r="34" spans="1:11">
      <c r="A34" s="66" t="s">
        <v>102</v>
      </c>
      <c r="B34" s="65" t="s">
        <v>100</v>
      </c>
      <c r="C34" s="65">
        <v>30</v>
      </c>
      <c r="D34" s="2">
        <v>3333.4354421570065</v>
      </c>
      <c r="E34" s="56">
        <v>3867.4367840953018</v>
      </c>
      <c r="F34" s="2">
        <v>103.81659223836425</v>
      </c>
      <c r="G34" s="56"/>
      <c r="H34" s="56"/>
      <c r="I34" s="56">
        <v>37.252588441890062</v>
      </c>
      <c r="J34" s="56">
        <v>9.9938882278388288</v>
      </c>
      <c r="K34" s="56"/>
    </row>
    <row r="35" spans="1:11">
      <c r="A35" s="57"/>
      <c r="B35" s="57"/>
      <c r="C35" s="57"/>
      <c r="D35" s="56"/>
      <c r="E35" s="56"/>
      <c r="F35" s="56"/>
      <c r="G35" s="56"/>
      <c r="H35" s="56"/>
      <c r="I35" s="64"/>
      <c r="J35" s="64"/>
      <c r="K35" s="56"/>
    </row>
    <row r="36" spans="1:11">
      <c r="A36" s="57"/>
      <c r="B36" s="57"/>
      <c r="C36" s="57"/>
      <c r="D36" s="56"/>
      <c r="E36" s="56"/>
      <c r="F36" s="56"/>
      <c r="G36" s="56"/>
      <c r="H36" s="56"/>
      <c r="I36" s="56"/>
      <c r="J36" s="56"/>
      <c r="K36" s="56"/>
    </row>
    <row r="37" spans="1:11">
      <c r="A37" s="51"/>
      <c r="D37" s="56"/>
      <c r="E37" s="56"/>
      <c r="F37" s="56"/>
      <c r="G37" s="56"/>
      <c r="H37" s="56"/>
      <c r="I37" s="56"/>
      <c r="J37" s="56"/>
      <c r="K37" s="56"/>
    </row>
    <row r="38" spans="1:11">
      <c r="D38" s="56"/>
      <c r="E38" s="56"/>
      <c r="F38" s="56"/>
      <c r="G38" s="56"/>
      <c r="H38" s="56"/>
      <c r="I38" s="56"/>
      <c r="J38" s="56"/>
      <c r="K38" s="56"/>
    </row>
    <row r="39" spans="1:11">
      <c r="D39" s="56"/>
      <c r="E39" s="56"/>
      <c r="F39" s="56"/>
      <c r="G39" s="56"/>
      <c r="H39" s="56"/>
      <c r="I39" s="56"/>
      <c r="J39" s="56"/>
      <c r="K39" s="56"/>
    </row>
    <row r="40" spans="1:11">
      <c r="A40" s="57"/>
      <c r="B40" s="57"/>
      <c r="C40" s="57"/>
      <c r="D40" s="56"/>
      <c r="E40" s="56"/>
      <c r="F40" s="56"/>
      <c r="G40" s="56"/>
      <c r="H40" s="56"/>
      <c r="I40" s="56"/>
      <c r="J40" s="56"/>
      <c r="K40" s="56"/>
    </row>
    <row r="41" spans="1:11">
      <c r="A41" s="57"/>
      <c r="B41" s="57"/>
      <c r="C41" s="57"/>
      <c r="D41" s="56" t="s">
        <v>107</v>
      </c>
      <c r="E41" s="56" t="s">
        <v>106</v>
      </c>
      <c r="F41" s="56"/>
      <c r="G41" s="56"/>
      <c r="H41" s="56"/>
      <c r="I41" s="56"/>
      <c r="J41" s="56"/>
      <c r="K41" s="56"/>
    </row>
    <row r="42" spans="1:11">
      <c r="A42" s="57"/>
      <c r="B42" s="57"/>
      <c r="C42" s="69" t="s">
        <v>98</v>
      </c>
      <c r="D42" s="55">
        <v>0.2</v>
      </c>
      <c r="E42" s="69">
        <v>1.7454876204731704</v>
      </c>
      <c r="F42" s="69">
        <v>1.8890824061430378</v>
      </c>
      <c r="G42" s="56"/>
      <c r="H42" s="56"/>
      <c r="I42" s="56"/>
      <c r="J42" s="56"/>
      <c r="K42" s="56"/>
    </row>
    <row r="43" spans="1:11">
      <c r="A43" s="51"/>
      <c r="C43" s="69" t="s">
        <v>99</v>
      </c>
      <c r="D43" s="55">
        <v>0.5</v>
      </c>
      <c r="E43" s="69">
        <v>3.4504177552282886</v>
      </c>
      <c r="F43" s="69">
        <v>48.41488177232263</v>
      </c>
      <c r="G43" s="56"/>
      <c r="H43" s="56"/>
      <c r="I43" s="56"/>
      <c r="J43" s="56"/>
      <c r="K43" s="56"/>
    </row>
    <row r="44" spans="1:11">
      <c r="C44" s="69" t="s">
        <v>100</v>
      </c>
      <c r="D44" s="55">
        <v>0.8</v>
      </c>
      <c r="E44" s="68"/>
      <c r="F44" s="69">
        <v>37.252588441890062</v>
      </c>
      <c r="G44" s="56"/>
      <c r="H44" s="56"/>
      <c r="I44" s="56"/>
      <c r="J44" s="56"/>
      <c r="K44" s="56"/>
    </row>
    <row r="45" spans="1:11">
      <c r="G45" s="56"/>
      <c r="H45" s="56"/>
      <c r="I45" s="56"/>
      <c r="J45" s="56"/>
      <c r="K45" s="56"/>
    </row>
    <row r="46" spans="1:11">
      <c r="A46" s="57"/>
      <c r="B46" s="57"/>
      <c r="C46" s="57"/>
      <c r="D46" s="57"/>
      <c r="E46" s="56"/>
      <c r="F46" s="68"/>
      <c r="G46" s="56"/>
      <c r="H46" s="56"/>
      <c r="I46" s="56"/>
      <c r="J46" s="56"/>
      <c r="K46" s="56"/>
    </row>
    <row r="47" spans="1:11">
      <c r="A47" s="57"/>
      <c r="B47" s="57"/>
      <c r="C47" s="57"/>
      <c r="D47" s="57"/>
      <c r="E47" s="56"/>
      <c r="F47" s="69"/>
      <c r="G47" s="56"/>
      <c r="H47" s="56"/>
      <c r="I47" s="56"/>
      <c r="J47" s="56"/>
      <c r="K47" s="56"/>
    </row>
    <row r="48" spans="1:11">
      <c r="C48" s="58"/>
      <c r="E48" s="56"/>
      <c r="G48" s="56"/>
      <c r="H48" s="56"/>
      <c r="I48" s="56"/>
      <c r="J48" s="56"/>
      <c r="K48" s="56"/>
    </row>
    <row r="49" spans="1:25">
      <c r="A49" s="51"/>
      <c r="D49" s="56"/>
      <c r="E49" s="56"/>
      <c r="F49" s="56"/>
      <c r="G49" s="56"/>
      <c r="H49" s="56"/>
      <c r="I49" s="56"/>
      <c r="J49" s="56"/>
      <c r="K49" s="56"/>
    </row>
    <row r="50" spans="1:25">
      <c r="A50" s="51"/>
      <c r="D50" s="56"/>
      <c r="E50" s="56"/>
      <c r="F50" s="56"/>
      <c r="G50" s="56"/>
      <c r="H50" s="56"/>
      <c r="I50" s="56"/>
      <c r="J50" s="56"/>
      <c r="K50" s="56"/>
    </row>
    <row r="51" spans="1:25">
      <c r="D51" s="56"/>
      <c r="E51" s="56"/>
      <c r="F51" s="56"/>
      <c r="G51" s="56"/>
      <c r="H51" s="56"/>
      <c r="I51" s="56"/>
      <c r="J51" s="56"/>
      <c r="K51" s="56"/>
    </row>
    <row r="52" spans="1:25">
      <c r="A52" s="57"/>
      <c r="B52" s="57"/>
      <c r="C52" s="57"/>
      <c r="D52" s="56"/>
      <c r="E52" s="56"/>
      <c r="F52" s="56"/>
      <c r="G52" s="56"/>
      <c r="H52" s="56"/>
      <c r="I52" s="56"/>
      <c r="J52" s="56"/>
      <c r="K52" s="56"/>
    </row>
    <row r="53" spans="1:25">
      <c r="C53" s="58"/>
      <c r="G53" s="56"/>
      <c r="H53" s="56"/>
      <c r="I53" s="56"/>
      <c r="J53" s="56"/>
      <c r="K53" s="56"/>
    </row>
    <row r="54" spans="1:25">
      <c r="C54" s="58"/>
      <c r="G54" s="56"/>
      <c r="H54" s="56"/>
      <c r="I54" s="56"/>
      <c r="J54" s="56"/>
      <c r="K54" s="56"/>
    </row>
    <row r="55" spans="1:25">
      <c r="A55" s="57"/>
      <c r="B55" s="57"/>
      <c r="C55" s="57"/>
      <c r="G55" s="56"/>
      <c r="H55" s="56"/>
      <c r="I55" s="56"/>
      <c r="J55" s="56"/>
      <c r="K55" s="56"/>
    </row>
    <row r="56" spans="1:25">
      <c r="A56" s="59"/>
      <c r="B56" s="59"/>
      <c r="C56" s="59"/>
      <c r="G56" s="56"/>
      <c r="H56" s="56"/>
      <c r="I56" s="56"/>
      <c r="J56" s="56"/>
      <c r="K56" s="56"/>
    </row>
    <row r="57" spans="1:25">
      <c r="C57" s="58"/>
      <c r="G57" s="56"/>
      <c r="H57" s="56"/>
      <c r="I57" s="56"/>
      <c r="J57" s="56"/>
      <c r="K57" s="56"/>
    </row>
    <row r="58" spans="1:25">
      <c r="C58" s="58"/>
      <c r="G58" s="56"/>
      <c r="H58" s="56"/>
      <c r="I58" s="56"/>
      <c r="J58" s="56"/>
      <c r="K58" s="56"/>
    </row>
    <row r="59" spans="1:25">
      <c r="A59" s="60"/>
      <c r="B59" s="60"/>
      <c r="C59" s="61" t="s">
        <v>69</v>
      </c>
      <c r="G59" s="56"/>
      <c r="H59" s="56"/>
      <c r="I59" s="56"/>
      <c r="J59" s="56"/>
      <c r="K59" s="56"/>
    </row>
    <row r="60" spans="1:25" ht="15">
      <c r="C60" s="56" t="s">
        <v>61</v>
      </c>
      <c r="D60" s="55" t="s">
        <v>62</v>
      </c>
      <c r="E60" s="55" t="s">
        <v>63</v>
      </c>
      <c r="F60" s="55" t="s">
        <v>64</v>
      </c>
      <c r="G60" s="56" t="s">
        <v>65</v>
      </c>
      <c r="H60" s="56" t="s">
        <v>66</v>
      </c>
      <c r="I60" s="56" t="s">
        <v>67</v>
      </c>
      <c r="J60" s="56" t="s">
        <v>68</v>
      </c>
      <c r="K60" s="56"/>
      <c r="M60" s="62" t="s">
        <v>72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>
      <c r="C61" s="56">
        <v>30</v>
      </c>
      <c r="D61" s="56">
        <v>0.10759000000000001</v>
      </c>
      <c r="E61" s="56">
        <v>0.14918999999999999</v>
      </c>
      <c r="F61" s="56">
        <v>0.17738999999999999</v>
      </c>
      <c r="G61" s="56">
        <v>9.7000000000000003E-2</v>
      </c>
      <c r="H61" s="56">
        <v>0.15975</v>
      </c>
      <c r="I61" s="56">
        <v>7.7953000000000008E-2</v>
      </c>
      <c r="J61" s="56">
        <v>9.4237000000000001E-2</v>
      </c>
      <c r="K61" s="56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56"/>
    </row>
    <row r="62" spans="1:25">
      <c r="C62" s="56">
        <v>40</v>
      </c>
      <c r="D62" s="56">
        <v>0.14630000000000001</v>
      </c>
      <c r="E62" s="56">
        <v>0.16500000000000001</v>
      </c>
      <c r="F62" s="56">
        <v>0.22531000000000001</v>
      </c>
      <c r="G62" s="56">
        <v>0.13685</v>
      </c>
      <c r="H62" s="56">
        <v>0.19817500000000002</v>
      </c>
      <c r="I62" s="56">
        <v>9.7906000000000007E-2</v>
      </c>
      <c r="J62" s="56">
        <v>0.130994</v>
      </c>
      <c r="K62" s="56"/>
      <c r="M62" s="63" t="s">
        <v>71</v>
      </c>
      <c r="N62" s="63" t="s">
        <v>53</v>
      </c>
      <c r="O62" s="56" t="s">
        <v>81</v>
      </c>
      <c r="P62" s="56" t="s">
        <v>82</v>
      </c>
      <c r="Q62" s="56" t="s">
        <v>79</v>
      </c>
      <c r="R62" s="56" t="s">
        <v>80</v>
      </c>
      <c r="S62" s="56" t="s">
        <v>77</v>
      </c>
      <c r="T62" s="56" t="s">
        <v>78</v>
      </c>
      <c r="U62" s="56" t="s">
        <v>75</v>
      </c>
      <c r="V62" s="56" t="s">
        <v>76</v>
      </c>
      <c r="W62" s="56" t="s">
        <v>73</v>
      </c>
      <c r="X62" s="56" t="s">
        <v>74</v>
      </c>
      <c r="Y62" s="56" t="s">
        <v>54</v>
      </c>
    </row>
    <row r="63" spans="1:25">
      <c r="C63" s="56">
        <v>50</v>
      </c>
      <c r="D63" s="56">
        <v>0.18034999999999998</v>
      </c>
      <c r="E63" s="56">
        <v>0.22011</v>
      </c>
      <c r="F63" s="56">
        <v>0.2732</v>
      </c>
      <c r="G63" s="56">
        <v>0.16977</v>
      </c>
      <c r="H63" s="56">
        <v>0.2349</v>
      </c>
      <c r="I63" s="56">
        <v>0.118205</v>
      </c>
      <c r="J63" s="56">
        <v>0.18337700000000001</v>
      </c>
      <c r="K63" s="56"/>
      <c r="M63" s="56">
        <v>30</v>
      </c>
      <c r="N63" s="56">
        <v>104.91850285982109</v>
      </c>
      <c r="O63" s="56">
        <v>40.863402970952279</v>
      </c>
      <c r="P63" s="56">
        <v>501.57882040014948</v>
      </c>
      <c r="Q63" s="56">
        <v>175.66875462920046</v>
      </c>
      <c r="R63" s="56">
        <v>119.45885495248842</v>
      </c>
      <c r="S63" s="56">
        <v>98.810971356963336</v>
      </c>
      <c r="T63" s="56">
        <v>70.854168736075394</v>
      </c>
      <c r="U63" s="56">
        <v>215.77392490305851</v>
      </c>
      <c r="V63" s="56">
        <v>88.027581404450672</v>
      </c>
      <c r="W63" s="56">
        <v>209.66880953151917</v>
      </c>
      <c r="X63" s="56">
        <v>42.309804073127239</v>
      </c>
      <c r="Y63" s="56">
        <v>112.18075981124115</v>
      </c>
    </row>
    <row r="64" spans="1:25">
      <c r="C64" s="56">
        <v>60</v>
      </c>
      <c r="D64" s="56">
        <v>0.19436300000000001</v>
      </c>
      <c r="E64" s="56">
        <v>0.25758999999999999</v>
      </c>
      <c r="F64" s="56">
        <v>0.29336000000000001</v>
      </c>
      <c r="G64" s="56">
        <v>0.1993</v>
      </c>
      <c r="H64" s="56">
        <v>0.271702</v>
      </c>
      <c r="I64" s="56">
        <v>0.14018899999999998</v>
      </c>
      <c r="J64" s="56">
        <v>0.22034000000000001</v>
      </c>
      <c r="M64" s="56">
        <v>40</v>
      </c>
      <c r="N64" s="56">
        <v>89.317509081910814</v>
      </c>
      <c r="O64" s="56">
        <v>31.623233354432887</v>
      </c>
      <c r="P64" s="56">
        <v>319.77575975909787</v>
      </c>
      <c r="Q64" s="56">
        <v>128.28778737688276</v>
      </c>
      <c r="R64" s="56">
        <v>118.45908896703189</v>
      </c>
      <c r="S64" s="56">
        <v>75.018122273243947</v>
      </c>
      <c r="T64" s="56">
        <v>77.351889456037796</v>
      </c>
      <c r="U64" s="56">
        <v>168.02966074078029</v>
      </c>
      <c r="V64" s="56">
        <v>68.872902305898208</v>
      </c>
      <c r="W64" s="56">
        <v>144.12657741555628</v>
      </c>
      <c r="X64" s="56">
        <v>39.299633200621145</v>
      </c>
      <c r="Y64" s="56">
        <v>95.928670203274834</v>
      </c>
    </row>
    <row r="65" spans="3:25">
      <c r="M65" s="56">
        <v>50</v>
      </c>
      <c r="N65" s="56">
        <v>71.295360912181749</v>
      </c>
      <c r="O65" s="56">
        <v>42.561524998839126</v>
      </c>
      <c r="P65" s="56">
        <v>218.56932630030371</v>
      </c>
      <c r="Q65" s="56">
        <v>97.944386664034496</v>
      </c>
      <c r="R65" s="56">
        <v>99.158533611551306</v>
      </c>
      <c r="S65" s="56">
        <v>61.776634347690369</v>
      </c>
      <c r="T65" s="56">
        <v>60.359228937785211</v>
      </c>
      <c r="U65" s="56">
        <v>126.92330330637154</v>
      </c>
      <c r="V65" s="56">
        <v>52.392220135042315</v>
      </c>
      <c r="W65" s="56">
        <v>88.39494763266238</v>
      </c>
      <c r="X65" s="56">
        <v>37.501853495482976</v>
      </c>
      <c r="Y65" s="56">
        <v>85.517341286003358</v>
      </c>
    </row>
    <row r="66" spans="3:25">
      <c r="M66" s="56">
        <v>60</v>
      </c>
      <c r="N66" s="56">
        <v>51.280200733219125</v>
      </c>
      <c r="O66" s="56">
        <v>32.762364047814991</v>
      </c>
      <c r="P66" s="56">
        <v>185.80765455847873</v>
      </c>
      <c r="Q66" s="56">
        <v>72.663289340248184</v>
      </c>
      <c r="R66" s="56">
        <v>66.412627874519742</v>
      </c>
      <c r="S66" s="56">
        <v>46.73797092495159</v>
      </c>
      <c r="T66" s="56">
        <v>49.069711455164857</v>
      </c>
      <c r="U66" s="56">
        <v>97.440255936679705</v>
      </c>
      <c r="V66" s="56">
        <v>39.781415364858219</v>
      </c>
      <c r="W66" s="56">
        <v>75.784293926007621</v>
      </c>
      <c r="X66" s="56">
        <v>28.215702308170318</v>
      </c>
      <c r="Y66" s="56">
        <v>67.494801931436882</v>
      </c>
    </row>
    <row r="67" spans="3:25" ht="15">
      <c r="C67" s="62" t="s">
        <v>89</v>
      </c>
      <c r="F67" s="56"/>
      <c r="G67" s="56"/>
      <c r="H67" s="56"/>
      <c r="J67" s="56"/>
      <c r="M67" s="56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3:25">
      <c r="C68" s="56" t="s">
        <v>70</v>
      </c>
      <c r="D68" s="55" t="s">
        <v>63</v>
      </c>
      <c r="E68" s="55" t="s">
        <v>64</v>
      </c>
      <c r="F68" s="56" t="s">
        <v>65</v>
      </c>
      <c r="G68" s="56" t="s">
        <v>66</v>
      </c>
      <c r="H68" s="56" t="s">
        <v>67</v>
      </c>
    </row>
    <row r="69" spans="3:25">
      <c r="C69" s="56">
        <v>30</v>
      </c>
      <c r="D69" s="56">
        <v>46.670609136321502</v>
      </c>
      <c r="E69" s="56">
        <v>2.1096068679565647</v>
      </c>
      <c r="F69" s="56">
        <v>1.7086502741574852</v>
      </c>
      <c r="G69" s="56">
        <v>0.77274899489156557</v>
      </c>
      <c r="H69" s="56">
        <v>0.25552826085676772</v>
      </c>
    </row>
    <row r="70" spans="3:25">
      <c r="C70" s="56">
        <v>40</v>
      </c>
      <c r="D70" s="56">
        <v>37.790157745580586</v>
      </c>
      <c r="E70" s="56">
        <v>2.8710051213633849</v>
      </c>
      <c r="F70" s="56">
        <v>2.5051639274234709</v>
      </c>
      <c r="G70" s="56">
        <v>0.79766891345090019</v>
      </c>
      <c r="H70" s="56">
        <v>0.36045561715340896</v>
      </c>
    </row>
    <row r="71" spans="3:25" ht="15">
      <c r="C71" s="56">
        <v>50</v>
      </c>
      <c r="D71" s="56">
        <v>19.073947316930813</v>
      </c>
      <c r="E71" s="56">
        <v>3.2114552703184218</v>
      </c>
      <c r="F71" s="56">
        <v>2.4045178479592693</v>
      </c>
      <c r="G71" s="56">
        <v>0.84988286774254984</v>
      </c>
      <c r="H71" s="56">
        <v>0.58303570015525796</v>
      </c>
      <c r="M71" s="62" t="s">
        <v>83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3:25">
      <c r="C72" s="56">
        <v>60</v>
      </c>
      <c r="D72" s="56">
        <v>21.401485696205274</v>
      </c>
      <c r="E72" s="56">
        <v>2.9818095147173982</v>
      </c>
      <c r="F72" s="56">
        <v>2.7136701749832888</v>
      </c>
      <c r="G72" s="56">
        <v>0.8784886131591193</v>
      </c>
      <c r="H72" s="56">
        <v>0.53091679450066742</v>
      </c>
      <c r="N72" s="63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56"/>
    </row>
    <row r="73" spans="3:25">
      <c r="E73" s="56"/>
      <c r="M73" s="63" t="s">
        <v>71</v>
      </c>
      <c r="N73" s="56" t="s">
        <v>85</v>
      </c>
      <c r="O73" s="56" t="s">
        <v>80</v>
      </c>
      <c r="P73" s="56" t="s">
        <v>78</v>
      </c>
      <c r="Q73" s="56" t="s">
        <v>76</v>
      </c>
      <c r="R73" s="56" t="s">
        <v>74</v>
      </c>
      <c r="S73" s="56" t="s">
        <v>54</v>
      </c>
      <c r="U73" s="56"/>
      <c r="W73" s="56"/>
    </row>
    <row r="74" spans="3:25">
      <c r="M74" s="56">
        <v>30</v>
      </c>
      <c r="N74" s="56">
        <v>501.57882040014948</v>
      </c>
      <c r="O74" s="56">
        <v>119.45885495248842</v>
      </c>
      <c r="P74" s="56">
        <v>70.854168736075394</v>
      </c>
      <c r="Q74" s="56">
        <v>88.027581404450672</v>
      </c>
      <c r="R74" s="56">
        <v>42.309804073127239</v>
      </c>
      <c r="S74" s="56">
        <v>112.18075981124115</v>
      </c>
      <c r="U74" s="56"/>
      <c r="W74" s="56"/>
    </row>
    <row r="75" spans="3:25" ht="15">
      <c r="C75" s="62" t="s">
        <v>50</v>
      </c>
      <c r="M75" s="56">
        <v>40</v>
      </c>
      <c r="N75" s="56">
        <v>319.77575975909787</v>
      </c>
      <c r="O75" s="56">
        <v>118.45908896703189</v>
      </c>
      <c r="P75" s="56">
        <v>77.351889456037796</v>
      </c>
      <c r="Q75" s="56">
        <v>68.872902305898208</v>
      </c>
      <c r="R75" s="56">
        <v>39.299633200621145</v>
      </c>
      <c r="S75" s="56">
        <v>95.928670203274834</v>
      </c>
      <c r="U75" s="56"/>
      <c r="W75" s="56"/>
    </row>
    <row r="76" spans="3:25">
      <c r="C76" s="56" t="s">
        <v>86</v>
      </c>
      <c r="D76" s="56" t="s">
        <v>63</v>
      </c>
      <c r="E76" s="56" t="s">
        <v>87</v>
      </c>
      <c r="F76" s="56" t="s">
        <v>65</v>
      </c>
      <c r="G76" s="56" t="s">
        <v>66</v>
      </c>
      <c r="H76" s="56" t="s">
        <v>67</v>
      </c>
      <c r="I76" s="56" t="s">
        <v>88</v>
      </c>
      <c r="J76" s="56"/>
      <c r="K76" s="56"/>
      <c r="M76" s="56">
        <v>50</v>
      </c>
      <c r="N76" s="56">
        <v>218.56932630030371</v>
      </c>
      <c r="O76" s="56">
        <v>99.158533611551306</v>
      </c>
      <c r="P76" s="56">
        <v>60.359228937785211</v>
      </c>
      <c r="Q76" s="56">
        <v>52.392220135042315</v>
      </c>
      <c r="R76" s="56">
        <v>37.501853495482976</v>
      </c>
      <c r="S76" s="56">
        <v>85.517341286003358</v>
      </c>
      <c r="U76" s="56"/>
      <c r="W76" s="56"/>
    </row>
    <row r="77" spans="3:25">
      <c r="C77" s="56">
        <v>30</v>
      </c>
      <c r="D77" s="56">
        <v>12.274523997834844</v>
      </c>
      <c r="E77" s="56">
        <v>0.68002334965395961</v>
      </c>
      <c r="F77" s="56">
        <v>0.71706782924042378</v>
      </c>
      <c r="G77" s="56">
        <v>0.40796209015523593</v>
      </c>
      <c r="H77" s="56">
        <v>0.20179350551788613</v>
      </c>
      <c r="I77" s="56">
        <v>1.0692180764447523</v>
      </c>
      <c r="J77" s="56"/>
      <c r="K77" s="56"/>
      <c r="M77" s="56">
        <v>60</v>
      </c>
      <c r="N77" s="56">
        <v>185.80765455847873</v>
      </c>
      <c r="O77" s="56">
        <v>66.412627874519742</v>
      </c>
      <c r="P77" s="56">
        <v>49.069711455164857</v>
      </c>
      <c r="Q77" s="56">
        <v>39.781415364858219</v>
      </c>
      <c r="R77" s="56">
        <v>28.215702308170318</v>
      </c>
      <c r="S77" s="56">
        <v>67.494801931436882</v>
      </c>
      <c r="U77" s="56"/>
      <c r="W77" s="56"/>
    </row>
    <row r="78" spans="3:25">
      <c r="C78" s="56">
        <v>40</v>
      </c>
      <c r="D78" s="56">
        <v>10.1120513571479</v>
      </c>
      <c r="E78" s="56">
        <v>0.92338554892231339</v>
      </c>
      <c r="F78" s="56">
        <v>1.0311093788017434</v>
      </c>
      <c r="G78" s="56">
        <v>0.40988538572453931</v>
      </c>
      <c r="H78" s="56">
        <v>0.27267443593910901</v>
      </c>
      <c r="I78" s="56">
        <v>1.074018646392177</v>
      </c>
    </row>
    <row r="79" spans="3:25">
      <c r="C79" s="56">
        <v>50</v>
      </c>
      <c r="D79" s="56">
        <v>5.1353734694954012</v>
      </c>
      <c r="E79" s="56">
        <v>1.0123962892501592</v>
      </c>
      <c r="F79" s="56">
        <v>0.97705596258404537</v>
      </c>
      <c r="G79" s="56">
        <v>0.41278645268612574</v>
      </c>
      <c r="H79" s="56">
        <v>0.42425335949433668</v>
      </c>
      <c r="I79" s="56">
        <v>1.1994797444302101</v>
      </c>
    </row>
    <row r="80" spans="3:25" ht="15">
      <c r="C80" s="56">
        <v>60</v>
      </c>
      <c r="D80" s="56">
        <v>5.6713750658316959</v>
      </c>
      <c r="E80" s="56">
        <v>0.91397772489407236</v>
      </c>
      <c r="F80" s="56">
        <v>1.049889639709807</v>
      </c>
      <c r="G80" s="56">
        <v>0.4082646846772412</v>
      </c>
      <c r="H80" s="56">
        <v>0.37231596214010865</v>
      </c>
      <c r="I80" s="56">
        <v>1.3161961335247658</v>
      </c>
      <c r="M80" s="62" t="s">
        <v>84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4:25">
      <c r="D81" s="56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56"/>
    </row>
    <row r="82" spans="4:25">
      <c r="D82" s="56"/>
      <c r="M82" s="63" t="s">
        <v>71</v>
      </c>
      <c r="N82" s="63" t="s">
        <v>53</v>
      </c>
      <c r="O82" s="56" t="s">
        <v>81</v>
      </c>
      <c r="P82" s="56" t="s">
        <v>79</v>
      </c>
      <c r="Q82" s="56" t="s">
        <v>77</v>
      </c>
      <c r="R82" s="56" t="s">
        <v>75</v>
      </c>
      <c r="S82" s="56" t="s">
        <v>73</v>
      </c>
      <c r="T82" s="56"/>
      <c r="V82" s="56"/>
      <c r="X82" s="56"/>
      <c r="Y82" s="56"/>
    </row>
    <row r="83" spans="4:25">
      <c r="M83" s="56">
        <v>30</v>
      </c>
      <c r="N83" s="55">
        <v>104.91850285982109</v>
      </c>
      <c r="O83" s="56">
        <v>40.863402970952279</v>
      </c>
      <c r="P83" s="56">
        <v>175.66875462920046</v>
      </c>
      <c r="Q83" s="56">
        <v>98.810971356963336</v>
      </c>
      <c r="R83" s="56">
        <v>215.77392490305851</v>
      </c>
      <c r="S83" s="56">
        <v>209.66880953151917</v>
      </c>
      <c r="T83" s="56"/>
      <c r="V83" s="56"/>
      <c r="X83" s="56"/>
      <c r="Y83" s="56"/>
    </row>
    <row r="84" spans="4:25">
      <c r="M84" s="56">
        <v>40</v>
      </c>
      <c r="N84" s="55">
        <v>89.317509081910814</v>
      </c>
      <c r="O84" s="56">
        <v>31.623233354432887</v>
      </c>
      <c r="P84" s="56">
        <v>128.28778737688276</v>
      </c>
      <c r="Q84" s="56">
        <v>75.018122273243947</v>
      </c>
      <c r="R84" s="56">
        <v>168.02966074078029</v>
      </c>
      <c r="S84" s="56">
        <v>144.12657741555628</v>
      </c>
      <c r="T84" s="56"/>
      <c r="V84" s="56"/>
      <c r="X84" s="56"/>
      <c r="Y84" s="56"/>
    </row>
    <row r="85" spans="4:25">
      <c r="E85" s="56"/>
      <c r="M85" s="56">
        <v>50</v>
      </c>
      <c r="N85" s="55">
        <v>71.295360912181749</v>
      </c>
      <c r="O85" s="56">
        <v>42.561524998839126</v>
      </c>
      <c r="P85" s="56">
        <v>97.944386664034496</v>
      </c>
      <c r="Q85" s="56">
        <v>61.776634347690369</v>
      </c>
      <c r="R85" s="56">
        <v>126.92330330637154</v>
      </c>
      <c r="S85" s="56">
        <v>88.39494763266238</v>
      </c>
      <c r="T85" s="56"/>
      <c r="V85" s="56"/>
      <c r="X85" s="56"/>
      <c r="Y85" s="56"/>
    </row>
    <row r="86" spans="4:25">
      <c r="E86" s="56"/>
      <c r="M86" s="56">
        <v>60</v>
      </c>
      <c r="N86" s="55">
        <v>51.280200733219125</v>
      </c>
      <c r="O86" s="56">
        <v>32.762364047814991</v>
      </c>
      <c r="P86" s="56">
        <v>72.663289340248184</v>
      </c>
      <c r="Q86" s="56">
        <v>46.73797092495159</v>
      </c>
      <c r="R86" s="56">
        <v>97.440255936679705</v>
      </c>
      <c r="S86" s="56">
        <v>75.784293926007621</v>
      </c>
      <c r="T86" s="56"/>
      <c r="V86" s="56"/>
      <c r="X86" s="56"/>
      <c r="Y86" s="56"/>
    </row>
    <row r="87" spans="4:25">
      <c r="D87" s="56"/>
    </row>
    <row r="88" spans="4:25">
      <c r="D88" s="56"/>
    </row>
    <row r="91" spans="4:25" ht="15">
      <c r="E91" s="56"/>
      <c r="M91" s="62" t="s">
        <v>72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4:25">
      <c r="E92" s="5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56"/>
    </row>
    <row r="93" spans="4:25">
      <c r="D93" s="56"/>
      <c r="M93" s="63" t="s">
        <v>71</v>
      </c>
      <c r="N93" s="56" t="s">
        <v>81</v>
      </c>
      <c r="O93" s="56" t="s">
        <v>82</v>
      </c>
      <c r="P93" s="56" t="s">
        <v>79</v>
      </c>
      <c r="Q93" s="56" t="s">
        <v>80</v>
      </c>
      <c r="R93" s="56" t="s">
        <v>77</v>
      </c>
      <c r="S93" s="56" t="s">
        <v>78</v>
      </c>
      <c r="T93" s="56" t="s">
        <v>75</v>
      </c>
      <c r="U93" s="56" t="s">
        <v>76</v>
      </c>
      <c r="V93" s="56" t="s">
        <v>73</v>
      </c>
      <c r="W93" s="56" t="s">
        <v>74</v>
      </c>
      <c r="X93" s="56" t="s">
        <v>53</v>
      </c>
      <c r="Y93" s="56" t="s">
        <v>54</v>
      </c>
    </row>
    <row r="94" spans="4:25">
      <c r="D94" s="56"/>
      <c r="M94" s="56">
        <v>30</v>
      </c>
      <c r="N94" s="56">
        <v>40.863402970952279</v>
      </c>
      <c r="O94" s="56">
        <v>501.57882040014948</v>
      </c>
      <c r="P94" s="56">
        <v>175.66875462920046</v>
      </c>
      <c r="Q94" s="56">
        <v>119.45885495248842</v>
      </c>
      <c r="R94" s="56">
        <v>98.810971356963336</v>
      </c>
      <c r="S94" s="56">
        <v>70.854168736075394</v>
      </c>
      <c r="T94" s="56">
        <v>215.77392490305851</v>
      </c>
      <c r="U94" s="56">
        <v>88.027581404450672</v>
      </c>
      <c r="V94" s="56">
        <v>209.66880953151917</v>
      </c>
      <c r="W94" s="56">
        <v>42.309804073127239</v>
      </c>
      <c r="X94" s="56">
        <v>104.91850285982109</v>
      </c>
      <c r="Y94" s="56">
        <v>112.18075981124115</v>
      </c>
    </row>
    <row r="95" spans="4:25">
      <c r="M95" s="56">
        <v>40</v>
      </c>
      <c r="N95" s="56">
        <v>31.623233354432887</v>
      </c>
      <c r="O95" s="56">
        <v>319.77575975909787</v>
      </c>
      <c r="P95" s="56">
        <v>128.28778737688276</v>
      </c>
      <c r="Q95" s="56">
        <v>118.45908896703189</v>
      </c>
      <c r="R95" s="56">
        <v>75.018122273243947</v>
      </c>
      <c r="S95" s="56">
        <v>77.351889456037796</v>
      </c>
      <c r="T95" s="56">
        <v>168.02966074078029</v>
      </c>
      <c r="U95" s="56">
        <v>68.872902305898208</v>
      </c>
      <c r="V95" s="56">
        <v>144.12657741555628</v>
      </c>
      <c r="W95" s="56">
        <v>39.299633200621145</v>
      </c>
      <c r="X95" s="56">
        <v>89.317509081910814</v>
      </c>
      <c r="Y95" s="56">
        <v>95.928670203274834</v>
      </c>
    </row>
    <row r="96" spans="4:25">
      <c r="M96" s="56">
        <v>50</v>
      </c>
      <c r="N96" s="56">
        <v>42.561524998839126</v>
      </c>
      <c r="O96" s="56">
        <v>218.56932630030371</v>
      </c>
      <c r="P96" s="56">
        <v>97.944386664034496</v>
      </c>
      <c r="Q96" s="56">
        <v>99.158533611551306</v>
      </c>
      <c r="R96" s="56">
        <v>61.776634347690369</v>
      </c>
      <c r="S96" s="56">
        <v>60.359228937785211</v>
      </c>
      <c r="T96" s="56">
        <v>126.92330330637154</v>
      </c>
      <c r="U96" s="56">
        <v>52.392220135042315</v>
      </c>
      <c r="V96" s="56">
        <v>88.39494763266238</v>
      </c>
      <c r="W96" s="56">
        <v>37.501853495482976</v>
      </c>
      <c r="X96" s="56">
        <v>71.295360912181749</v>
      </c>
      <c r="Y96" s="56">
        <v>85.517341286003358</v>
      </c>
    </row>
    <row r="97" spans="4:25">
      <c r="M97" s="56">
        <v>60</v>
      </c>
      <c r="N97" s="56">
        <v>32.762364047814991</v>
      </c>
      <c r="O97" s="56">
        <v>185.80765455847873</v>
      </c>
      <c r="P97" s="56">
        <v>72.663289340248184</v>
      </c>
      <c r="Q97" s="56">
        <v>66.412627874519742</v>
      </c>
      <c r="R97" s="56">
        <v>46.73797092495159</v>
      </c>
      <c r="S97" s="56">
        <v>49.069711455164857</v>
      </c>
      <c r="T97" s="56">
        <v>97.440255936679705</v>
      </c>
      <c r="U97" s="56">
        <v>39.781415364858219</v>
      </c>
      <c r="V97" s="56">
        <v>75.784293926007621</v>
      </c>
      <c r="W97" s="56">
        <v>28.215702308170318</v>
      </c>
      <c r="X97" s="56">
        <v>51.280200733219125</v>
      </c>
      <c r="Y97" s="56">
        <v>67.494801931436882</v>
      </c>
    </row>
    <row r="99" spans="4:25">
      <c r="D99" s="56"/>
    </row>
    <row r="100" spans="4:25">
      <c r="D100" s="56"/>
    </row>
  </sheetData>
  <mergeCells count="20">
    <mergeCell ref="O61:P61"/>
    <mergeCell ref="Q61:R61"/>
    <mergeCell ref="S61:T61"/>
    <mergeCell ref="U61:V61"/>
    <mergeCell ref="W61:X61"/>
    <mergeCell ref="U92:V92"/>
    <mergeCell ref="W92:X92"/>
    <mergeCell ref="U72:V72"/>
    <mergeCell ref="W72:X72"/>
    <mergeCell ref="O81:P81"/>
    <mergeCell ref="Q81:R81"/>
    <mergeCell ref="S81:T81"/>
    <mergeCell ref="U81:V81"/>
    <mergeCell ref="W81:X81"/>
    <mergeCell ref="O72:P72"/>
    <mergeCell ref="Q72:R72"/>
    <mergeCell ref="S72:T72"/>
    <mergeCell ref="O92:P92"/>
    <mergeCell ref="Q92:R92"/>
    <mergeCell ref="S92:T9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Permeance and Selectivity</vt:lpstr>
      <vt:lpstr>Sheet1</vt:lpstr>
      <vt:lpstr>Flux</vt:lpstr>
      <vt:lpstr>data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2019-12-18T09:11:59Z</dcterms:modified>
</cp:coreProperties>
</file>