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mura Akihiro\Desktop\BluePrint SCLC\元データ\"/>
    </mc:Choice>
  </mc:AlternateContent>
  <xr:revisionPtr revIDLastSave="0" documentId="8_{B96FC648-2162-4D11-994E-F20B91D7FCB6}" xr6:coauthVersionLast="43" xr6:coauthVersionMax="43" xr10:uidLastSave="{00000000-0000-0000-0000-000000000000}"/>
  <bookViews>
    <workbookView xWindow="-27720" yWindow="-2850" windowWidth="14400" windowHeight="7365" xr2:uid="{00000000-000D-0000-FFFF-FFFF00000000}"/>
  </bookViews>
  <sheets>
    <sheet name="ALL" sheetId="7" r:id="rId1"/>
  </sheets>
  <definedNames>
    <definedName name="_xlnm._FilterDatabase" localSheetId="0" hidden="1">ALL!$A$1:$AS$1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21" i="7" l="1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43" i="7"/>
  <c r="AS44" i="7"/>
  <c r="AS45" i="7"/>
  <c r="AS2" i="7"/>
  <c r="AS3" i="7"/>
  <c r="AS4" i="7"/>
  <c r="AS5" i="7"/>
  <c r="AS6" i="7"/>
  <c r="AS7" i="7"/>
  <c r="AS8" i="7"/>
  <c r="AS9" i="7"/>
  <c r="AS10" i="7"/>
  <c r="AS11" i="7"/>
  <c r="AS12" i="7"/>
  <c r="AS13" i="7"/>
  <c r="AS14" i="7"/>
  <c r="AS15" i="7"/>
  <c r="AS16" i="7"/>
  <c r="AH45" i="7"/>
  <c r="AH44" i="7"/>
  <c r="AH42" i="7"/>
  <c r="AH41" i="7"/>
  <c r="AH40" i="7"/>
  <c r="AH39" i="7"/>
  <c r="AH38" i="7"/>
  <c r="AH37" i="7"/>
  <c r="AH36" i="7"/>
  <c r="AH35" i="7"/>
  <c r="AH34" i="7"/>
  <c r="AH33" i="7"/>
  <c r="AH32" i="7"/>
  <c r="AH31" i="7"/>
  <c r="AH30" i="7"/>
  <c r="AH29" i="7"/>
  <c r="AH28" i="7"/>
  <c r="AH27" i="7"/>
  <c r="AH26" i="7"/>
  <c r="AH25" i="7"/>
  <c r="AH24" i="7"/>
  <c r="E43" i="7"/>
  <c r="L43" i="7"/>
  <c r="R43" i="7"/>
  <c r="T43" i="7"/>
  <c r="V43" i="7"/>
  <c r="X43" i="7"/>
  <c r="AD43" i="7"/>
  <c r="AH43" i="7"/>
  <c r="AJ43" i="7"/>
  <c r="AL43" i="7"/>
  <c r="AN43" i="7"/>
  <c r="AO43" i="7"/>
  <c r="AH16" i="7"/>
  <c r="AH15" i="7"/>
  <c r="AH14" i="7"/>
  <c r="AH13" i="7"/>
  <c r="AH12" i="7"/>
  <c r="AH11" i="7"/>
  <c r="AH10" i="7"/>
  <c r="AH9" i="7"/>
  <c r="AH8" i="7"/>
  <c r="AH7" i="7"/>
  <c r="AH6" i="7"/>
  <c r="AH5" i="7"/>
  <c r="AH4" i="7"/>
  <c r="AH3" i="7"/>
  <c r="AH2" i="7"/>
  <c r="AD11" i="7" l="1"/>
  <c r="AD13" i="7"/>
  <c r="AD15" i="7"/>
  <c r="AD16" i="7"/>
  <c r="AD28" i="7"/>
  <c r="AD2" i="7"/>
  <c r="AD3" i="7"/>
  <c r="AD4" i="7"/>
  <c r="AD5" i="7"/>
  <c r="AD6" i="7"/>
  <c r="AD7" i="7"/>
  <c r="AD8" i="7"/>
  <c r="AD9" i="7"/>
  <c r="AD12" i="7"/>
  <c r="AD14" i="7"/>
  <c r="AD24" i="7"/>
  <c r="AD25" i="7"/>
  <c r="AD26" i="7"/>
  <c r="AD27" i="7"/>
  <c r="AD29" i="7"/>
  <c r="AD30" i="7"/>
  <c r="AD31" i="7"/>
  <c r="AD32" i="7"/>
  <c r="AD33" i="7"/>
  <c r="AD34" i="7"/>
  <c r="AD35" i="7"/>
  <c r="AD36" i="7"/>
  <c r="AD37" i="7"/>
  <c r="AD39" i="7"/>
  <c r="AD40" i="7"/>
  <c r="AD41" i="7"/>
  <c r="AD42" i="7"/>
  <c r="AD44" i="7"/>
  <c r="AD45" i="7"/>
  <c r="AD10" i="7"/>
  <c r="AO10" i="7"/>
  <c r="AO11" i="7"/>
  <c r="AO13" i="7"/>
  <c r="AO15" i="7"/>
  <c r="AO16" i="7"/>
  <c r="AO28" i="7"/>
  <c r="AO2" i="7"/>
  <c r="AO3" i="7"/>
  <c r="AO4" i="7"/>
  <c r="AO5" i="7"/>
  <c r="AO6" i="7"/>
  <c r="AO7" i="7"/>
  <c r="AO8" i="7"/>
  <c r="AO9" i="7"/>
  <c r="AO12" i="7"/>
  <c r="AO14" i="7"/>
  <c r="AO24" i="7"/>
  <c r="AO25" i="7"/>
  <c r="AO26" i="7"/>
  <c r="AO27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4" i="7"/>
  <c r="AO45" i="7"/>
  <c r="AO18" i="7"/>
  <c r="AO19" i="7"/>
  <c r="AO20" i="7"/>
  <c r="AO21" i="7"/>
  <c r="AO22" i="7"/>
  <c r="AO23" i="7"/>
  <c r="AO17" i="7"/>
  <c r="X23" i="7" l="1"/>
  <c r="X10" i="7"/>
  <c r="X11" i="7"/>
  <c r="X13" i="7"/>
  <c r="X15" i="7"/>
  <c r="X16" i="7"/>
  <c r="X28" i="7"/>
  <c r="X2" i="7"/>
  <c r="X3" i="7"/>
  <c r="X4" i="7"/>
  <c r="X5" i="7"/>
  <c r="X6" i="7"/>
  <c r="X7" i="7"/>
  <c r="X8" i="7"/>
  <c r="X9" i="7"/>
  <c r="X12" i="7"/>
  <c r="X14" i="7"/>
  <c r="X24" i="7"/>
  <c r="X25" i="7"/>
  <c r="X26" i="7"/>
  <c r="X27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4" i="7"/>
  <c r="X45" i="7"/>
  <c r="X18" i="7"/>
  <c r="X19" i="7"/>
  <c r="X20" i="7"/>
  <c r="X21" i="7"/>
  <c r="X22" i="7"/>
  <c r="X17" i="7"/>
  <c r="V23" i="7"/>
  <c r="V10" i="7"/>
  <c r="V11" i="7"/>
  <c r="V13" i="7"/>
  <c r="V15" i="7"/>
  <c r="V16" i="7"/>
  <c r="V28" i="7"/>
  <c r="V2" i="7"/>
  <c r="V3" i="7"/>
  <c r="V4" i="7"/>
  <c r="V5" i="7"/>
  <c r="V6" i="7"/>
  <c r="V7" i="7"/>
  <c r="V8" i="7"/>
  <c r="V9" i="7"/>
  <c r="V12" i="7"/>
  <c r="V14" i="7"/>
  <c r="V24" i="7"/>
  <c r="V25" i="7"/>
  <c r="V26" i="7"/>
  <c r="V27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4" i="7"/>
  <c r="V45" i="7"/>
  <c r="V17" i="7"/>
  <c r="V18" i="7"/>
  <c r="V19" i="7"/>
  <c r="V20" i="7"/>
  <c r="V21" i="7"/>
  <c r="V22" i="7"/>
  <c r="R23" i="7"/>
  <c r="R10" i="7"/>
  <c r="R11" i="7"/>
  <c r="R13" i="7"/>
  <c r="R15" i="7"/>
  <c r="R16" i="7"/>
  <c r="R28" i="7"/>
  <c r="R2" i="7"/>
  <c r="R3" i="7"/>
  <c r="R4" i="7"/>
  <c r="R5" i="7"/>
  <c r="R6" i="7"/>
  <c r="R7" i="7"/>
  <c r="R8" i="7"/>
  <c r="R9" i="7"/>
  <c r="R12" i="7"/>
  <c r="R14" i="7"/>
  <c r="R24" i="7"/>
  <c r="R25" i="7"/>
  <c r="R26" i="7"/>
  <c r="R27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4" i="7"/>
  <c r="R45" i="7"/>
  <c r="R19" i="7"/>
  <c r="R20" i="7"/>
  <c r="R21" i="7"/>
  <c r="R22" i="7"/>
  <c r="R17" i="7"/>
  <c r="T21" i="7"/>
  <c r="T23" i="7"/>
  <c r="T10" i="7"/>
  <c r="T11" i="7"/>
  <c r="T13" i="7"/>
  <c r="T15" i="7"/>
  <c r="T16" i="7"/>
  <c r="T28" i="7"/>
  <c r="T2" i="7"/>
  <c r="T3" i="7"/>
  <c r="T4" i="7"/>
  <c r="T5" i="7"/>
  <c r="T6" i="7"/>
  <c r="T7" i="7"/>
  <c r="T8" i="7"/>
  <c r="T9" i="7"/>
  <c r="T12" i="7"/>
  <c r="T14" i="7"/>
  <c r="T24" i="7"/>
  <c r="T25" i="7"/>
  <c r="T26" i="7"/>
  <c r="T27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5" i="7"/>
  <c r="T19" i="7"/>
  <c r="T17" i="7"/>
  <c r="AS20" i="7" l="1"/>
  <c r="AH23" i="7"/>
  <c r="AH22" i="7"/>
  <c r="AH21" i="7"/>
  <c r="AH20" i="7"/>
  <c r="AA23" i="7"/>
  <c r="AA22" i="7"/>
  <c r="AA21" i="7"/>
  <c r="AA20" i="7"/>
  <c r="L22" i="7"/>
  <c r="L21" i="7"/>
  <c r="L20" i="7"/>
  <c r="L45" i="7" l="1"/>
  <c r="L44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4" i="7"/>
  <c r="E45" i="7"/>
  <c r="AJ26" i="7" l="1"/>
  <c r="AL26" i="7"/>
  <c r="AN26" i="7"/>
  <c r="AN3" i="7" l="1"/>
  <c r="AN4" i="7"/>
  <c r="AN5" i="7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4" i="7"/>
  <c r="AN45" i="7"/>
  <c r="AN2" i="7"/>
  <c r="AL3" i="7"/>
  <c r="AL4" i="7"/>
  <c r="AL5" i="7"/>
  <c r="AL6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L44" i="7"/>
  <c r="AL45" i="7"/>
  <c r="AL2" i="7"/>
  <c r="AJ3" i="7"/>
  <c r="AJ4" i="7"/>
  <c r="AJ5" i="7"/>
  <c r="AJ6" i="7"/>
  <c r="AJ7" i="7"/>
  <c r="AJ8" i="7"/>
  <c r="AJ9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4" i="7"/>
  <c r="AJ45" i="7"/>
  <c r="AJ2" i="7"/>
  <c r="AS19" i="7" l="1"/>
  <c r="AH19" i="7"/>
  <c r="AA19" i="7"/>
  <c r="L19" i="7"/>
  <c r="AA18" i="7"/>
  <c r="AS18" i="7"/>
  <c r="AH18" i="7"/>
  <c r="AS17" i="7"/>
  <c r="AH17" i="7"/>
  <c r="AA17" i="7"/>
  <c r="AA16" i="7"/>
  <c r="L16" i="7"/>
  <c r="AA15" i="7"/>
  <c r="L15" i="7" l="1"/>
  <c r="AA14" i="7" l="1"/>
  <c r="L14" i="7"/>
  <c r="AA13" i="7"/>
  <c r="L13" i="7"/>
  <c r="E13" i="7"/>
  <c r="AA12" i="7"/>
  <c r="L12" i="7"/>
  <c r="E12" i="7"/>
  <c r="AA11" i="7"/>
  <c r="L11" i="7"/>
  <c r="E11" i="7"/>
  <c r="AA10" i="7"/>
  <c r="L10" i="7"/>
  <c r="E10" i="7"/>
  <c r="AA9" i="7"/>
  <c r="L9" i="7"/>
  <c r="E9" i="7"/>
  <c r="AA8" i="7"/>
  <c r="L8" i="7"/>
  <c r="E8" i="7"/>
  <c r="AA7" i="7"/>
  <c r="L7" i="7"/>
  <c r="E7" i="7"/>
  <c r="AA6" i="7"/>
  <c r="L6" i="7"/>
  <c r="E6" i="7"/>
  <c r="AA5" i="7"/>
  <c r="L5" i="7"/>
  <c r="E5" i="7"/>
  <c r="AA4" i="7"/>
  <c r="L4" i="7"/>
  <c r="E4" i="7"/>
  <c r="AA3" i="7"/>
  <c r="L3" i="7"/>
  <c r="E3" i="7"/>
  <c r="AA2" i="7"/>
  <c r="L2" i="7"/>
  <c r="E2" i="7"/>
</calcChain>
</file>

<file path=xl/sharedStrings.xml><?xml version="1.0" encoding="utf-8"?>
<sst xmlns="http://schemas.openxmlformats.org/spreadsheetml/2006/main" count="432" uniqueCount="154">
  <si>
    <t>性別</t>
    <rPh sb="0" eb="2">
      <t>セイベツ</t>
    </rPh>
    <phoneticPr fontId="1"/>
  </si>
  <si>
    <t>臨床病期(Stageのみ)</t>
    <rPh sb="0" eb="2">
      <t>リンショウ</t>
    </rPh>
    <rPh sb="2" eb="4">
      <t>ビョウキ</t>
    </rPh>
    <phoneticPr fontId="1"/>
  </si>
  <si>
    <t>ＰＳ</t>
    <phoneticPr fontId="1"/>
  </si>
  <si>
    <t>喫煙歴（喫煙本数×年数）</t>
    <rPh sb="0" eb="2">
      <t>キツエン</t>
    </rPh>
    <rPh sb="2" eb="3">
      <t>レキ</t>
    </rPh>
    <rPh sb="4" eb="6">
      <t>キツエン</t>
    </rPh>
    <rPh sb="6" eb="7">
      <t>ホン</t>
    </rPh>
    <rPh sb="7" eb="8">
      <t>スウ</t>
    </rPh>
    <rPh sb="9" eb="10">
      <t>ネン</t>
    </rPh>
    <rPh sb="10" eb="11">
      <t>スウ</t>
    </rPh>
    <phoneticPr fontId="1"/>
  </si>
  <si>
    <t>生検部位</t>
    <rPh sb="0" eb="2">
      <t>セイケン</t>
    </rPh>
    <rPh sb="2" eb="4">
      <t>ブイ</t>
    </rPh>
    <phoneticPr fontId="1"/>
  </si>
  <si>
    <t>最良治療効果（BOR）</t>
    <rPh sb="0" eb="2">
      <t>サイリョウ</t>
    </rPh>
    <rPh sb="2" eb="4">
      <t>チリョウ</t>
    </rPh>
    <rPh sb="4" eb="6">
      <t>コウカ</t>
    </rPh>
    <phoneticPr fontId="1"/>
  </si>
  <si>
    <t>PD確定日  （年/月/日）</t>
    <rPh sb="2" eb="5">
      <t>カクテイビ</t>
    </rPh>
    <rPh sb="8" eb="9">
      <t>ネン</t>
    </rPh>
    <rPh sb="10" eb="11">
      <t>ツキ</t>
    </rPh>
    <rPh sb="12" eb="13">
      <t>ニチ</t>
    </rPh>
    <phoneticPr fontId="1"/>
  </si>
  <si>
    <t>患者No.</t>
    <rPh sb="0" eb="2">
      <t>カンジャ</t>
    </rPh>
    <phoneticPr fontId="1"/>
  </si>
  <si>
    <t>組織型  （SCLCなど）</t>
    <rPh sb="0" eb="3">
      <t>ソシキガタ</t>
    </rPh>
    <phoneticPr fontId="1"/>
  </si>
  <si>
    <t>診断日　　 （年/月/日）</t>
    <rPh sb="0" eb="2">
      <t>シンダン</t>
    </rPh>
    <rPh sb="2" eb="3">
      <t>ビ</t>
    </rPh>
    <rPh sb="7" eb="8">
      <t>ネン</t>
    </rPh>
    <rPh sb="9" eb="10">
      <t>ツキ</t>
    </rPh>
    <rPh sb="11" eb="12">
      <t>ヒ</t>
    </rPh>
    <phoneticPr fontId="1"/>
  </si>
  <si>
    <t>府立医大</t>
    <rPh sb="0" eb="2">
      <t>フリツ</t>
    </rPh>
    <rPh sb="2" eb="4">
      <t>イダイ</t>
    </rPh>
    <phoneticPr fontId="1"/>
  </si>
  <si>
    <t>F</t>
    <phoneticPr fontId="1"/>
  </si>
  <si>
    <t>ED-SCLC</t>
    <phoneticPr fontId="1"/>
  </si>
  <si>
    <t>3X3</t>
    <phoneticPr fontId="1"/>
  </si>
  <si>
    <t>22C3</t>
    <phoneticPr fontId="1"/>
  </si>
  <si>
    <t>SCLC+NSCLC</t>
    <phoneticPr fontId="1"/>
  </si>
  <si>
    <t>TBLB+TBNA</t>
    <phoneticPr fontId="1"/>
  </si>
  <si>
    <t>ProGRP</t>
    <phoneticPr fontId="1"/>
  </si>
  <si>
    <t>NSE</t>
    <phoneticPr fontId="1"/>
  </si>
  <si>
    <t>Regimen</t>
    <phoneticPr fontId="1"/>
  </si>
  <si>
    <t>CBDCA+VP-16</t>
    <phoneticPr fontId="1"/>
  </si>
  <si>
    <t>治療開始日（年/月/日）</t>
    <rPh sb="0" eb="4">
      <t>チリョウカイシ</t>
    </rPh>
    <rPh sb="4" eb="5">
      <t>ビ</t>
    </rPh>
    <rPh sb="6" eb="7">
      <t>ネン</t>
    </rPh>
    <rPh sb="8" eb="9">
      <t>ツキ</t>
    </rPh>
    <rPh sb="10" eb="11">
      <t>ヒ</t>
    </rPh>
    <phoneticPr fontId="1"/>
  </si>
  <si>
    <t>PFS (days)</t>
    <phoneticPr fontId="1"/>
  </si>
  <si>
    <t>PD</t>
    <phoneticPr fontId="1"/>
  </si>
  <si>
    <t>治療内容</t>
    <rPh sb="0" eb="2">
      <t>チリョウ</t>
    </rPh>
    <rPh sb="2" eb="4">
      <t>ナイヨウ</t>
    </rPh>
    <phoneticPr fontId="1"/>
  </si>
  <si>
    <t>Alb</t>
    <phoneticPr fontId="1"/>
  </si>
  <si>
    <t>CRP</t>
    <phoneticPr fontId="1"/>
  </si>
  <si>
    <t>N/L ratio</t>
    <phoneticPr fontId="1"/>
  </si>
  <si>
    <t>neut.</t>
    <phoneticPr fontId="1"/>
  </si>
  <si>
    <t>lymph.</t>
    <phoneticPr fontId="1"/>
  </si>
  <si>
    <t>死亡日　　（年/月/日）</t>
    <rPh sb="0" eb="3">
      <t>シボウビ</t>
    </rPh>
    <rPh sb="6" eb="7">
      <t>ネン</t>
    </rPh>
    <rPh sb="8" eb="9">
      <t>ツキ</t>
    </rPh>
    <rPh sb="10" eb="11">
      <t>ニチ</t>
    </rPh>
    <phoneticPr fontId="1"/>
  </si>
  <si>
    <t>M</t>
    <phoneticPr fontId="1"/>
  </si>
  <si>
    <t>PR</t>
    <phoneticPr fontId="1"/>
  </si>
  <si>
    <t>OS (days)</t>
    <phoneticPr fontId="1"/>
  </si>
  <si>
    <t>25X50</t>
    <phoneticPr fontId="1"/>
  </si>
  <si>
    <t>SCLC</t>
    <phoneticPr fontId="1"/>
  </si>
  <si>
    <t>PFS event</t>
    <phoneticPr fontId="1"/>
  </si>
  <si>
    <t>OS event</t>
    <phoneticPr fontId="1"/>
  </si>
  <si>
    <t>CDDP+CPT-11</t>
    <phoneticPr fontId="1"/>
  </si>
  <si>
    <t>CDDP+CPT-11→AMR</t>
    <phoneticPr fontId="1"/>
  </si>
  <si>
    <t>10X53</t>
    <phoneticPr fontId="1"/>
  </si>
  <si>
    <t>TBNA</t>
    <phoneticPr fontId="1"/>
  </si>
  <si>
    <t>40X10+10X30</t>
    <phoneticPr fontId="1"/>
  </si>
  <si>
    <t>CT guided</t>
    <phoneticPr fontId="1"/>
  </si>
  <si>
    <t>TBLB</t>
    <phoneticPr fontId="1"/>
  </si>
  <si>
    <t>CBDCA+VP-16→AMR→CPT-11</t>
    <phoneticPr fontId="1"/>
  </si>
  <si>
    <t>40X40</t>
    <phoneticPr fontId="1"/>
  </si>
  <si>
    <t>30X60</t>
    <phoneticPr fontId="1"/>
  </si>
  <si>
    <t>骨生検</t>
    <rPh sb="0" eb="1">
      <t>コツ</t>
    </rPh>
    <rPh sb="1" eb="3">
      <t>セイケン</t>
    </rPh>
    <phoneticPr fontId="1"/>
  </si>
  <si>
    <t>20X60</t>
    <phoneticPr fontId="1"/>
  </si>
  <si>
    <t>SCLC+LCNEC</t>
    <phoneticPr fontId="1"/>
  </si>
  <si>
    <t>25X40</t>
    <phoneticPr fontId="1"/>
  </si>
  <si>
    <t>20X50</t>
    <phoneticPr fontId="1"/>
  </si>
  <si>
    <t>35X45</t>
    <phoneticPr fontId="1"/>
  </si>
  <si>
    <t>CDDP+VP-16</t>
    <phoneticPr fontId="1"/>
  </si>
  <si>
    <t>CDDP+VP-16→AMR→PTX</t>
    <phoneticPr fontId="1"/>
  </si>
  <si>
    <t>30X56</t>
    <phoneticPr fontId="1"/>
  </si>
  <si>
    <t>CDDP+VP-16→AMR</t>
    <phoneticPr fontId="1"/>
  </si>
  <si>
    <t>CBDCA+VP-16→AMR</t>
    <phoneticPr fontId="1"/>
  </si>
  <si>
    <t>SD</t>
    <phoneticPr fontId="1"/>
  </si>
  <si>
    <t>20X53</t>
    <phoneticPr fontId="1"/>
  </si>
  <si>
    <t>Brinkmann index</t>
    <phoneticPr fontId="1"/>
  </si>
  <si>
    <t>Sex</t>
    <phoneticPr fontId="1"/>
  </si>
  <si>
    <t>Age</t>
    <phoneticPr fontId="1"/>
  </si>
  <si>
    <t>ED=1</t>
    <phoneticPr fontId="1"/>
  </si>
  <si>
    <t>SCLC=0</t>
    <phoneticPr fontId="1"/>
  </si>
  <si>
    <t>OP</t>
    <phoneticPr fontId="1"/>
  </si>
  <si>
    <t>呼外</t>
    <rPh sb="0" eb="1">
      <t>コ</t>
    </rPh>
    <rPh sb="1" eb="2">
      <t>ガイ</t>
    </rPh>
    <phoneticPr fontId="1"/>
  </si>
  <si>
    <t>SCLC+Sq.</t>
    <phoneticPr fontId="1"/>
  </si>
  <si>
    <t>OP</t>
    <phoneticPr fontId="1"/>
  </si>
  <si>
    <t>SCLC</t>
    <phoneticPr fontId="1"/>
  </si>
  <si>
    <t>SCLC+Large</t>
    <phoneticPr fontId="1"/>
  </si>
  <si>
    <t>SCLC+Ade.+Sq.</t>
    <phoneticPr fontId="1"/>
  </si>
  <si>
    <t>CDDP+VP-16</t>
  </si>
  <si>
    <t>CDDP+VP-16</t>
    <phoneticPr fontId="1"/>
  </si>
  <si>
    <t>15X46</t>
    <phoneticPr fontId="1"/>
  </si>
  <si>
    <t>PR</t>
    <phoneticPr fontId="1"/>
  </si>
  <si>
    <t>CDDP+VP-16→PTX→NGT→BSC</t>
    <phoneticPr fontId="1"/>
  </si>
  <si>
    <t>M</t>
    <phoneticPr fontId="1"/>
  </si>
  <si>
    <t>20X49</t>
    <phoneticPr fontId="1"/>
  </si>
  <si>
    <t>SCLC</t>
    <phoneticPr fontId="1"/>
  </si>
  <si>
    <t>VATS</t>
    <phoneticPr fontId="1"/>
  </si>
  <si>
    <t>VATS</t>
    <phoneticPr fontId="1"/>
  </si>
  <si>
    <t>CDDP+VP-16</t>
    <phoneticPr fontId="1"/>
  </si>
  <si>
    <t>SD</t>
    <phoneticPr fontId="1"/>
  </si>
  <si>
    <t>CDDP+VP-16→2コース目よりRT併用→AMR→BSC</t>
    <rPh sb="15" eb="16">
      <t>メ</t>
    </rPh>
    <rPh sb="20" eb="22">
      <t>ヘイヨウ</t>
    </rPh>
    <phoneticPr fontId="1"/>
  </si>
  <si>
    <t>15X50</t>
    <phoneticPr fontId="1"/>
  </si>
  <si>
    <t>10X54</t>
    <phoneticPr fontId="1"/>
  </si>
  <si>
    <t>OP (StageIB)</t>
    <phoneticPr fontId="1"/>
  </si>
  <si>
    <t>OP (StageIA)</t>
    <phoneticPr fontId="1"/>
  </si>
  <si>
    <t>25X39</t>
    <phoneticPr fontId="1"/>
  </si>
  <si>
    <t>松下記念</t>
    <rPh sb="0" eb="2">
      <t>マツシタ</t>
    </rPh>
    <rPh sb="2" eb="4">
      <t>キネン</t>
    </rPh>
    <phoneticPr fontId="1"/>
  </si>
  <si>
    <t>M</t>
  </si>
  <si>
    <t>ED-SCLC</t>
  </si>
  <si>
    <t>20X30</t>
  </si>
  <si>
    <t>SCLC</t>
  </si>
  <si>
    <t>TBLB</t>
  </si>
  <si>
    <t>PR</t>
  </si>
  <si>
    <t>PD</t>
  </si>
  <si>
    <t>CDDP+VP-16→AMR→CBDCA+CPT11→CBDCA+VP-16</t>
  </si>
  <si>
    <t>20X35</t>
  </si>
  <si>
    <t>EBUS-TBNA</t>
  </si>
  <si>
    <t>SD</t>
  </si>
  <si>
    <t>CDDP+VP-16→CBDCA+CPT11→CBDCA+VP-16→AMR</t>
  </si>
  <si>
    <t>CBDCA+VP-16</t>
  </si>
  <si>
    <t>CBDCA+VP-16→転医</t>
    <rPh sb="12" eb="13">
      <t>テン</t>
    </rPh>
    <rPh sb="13" eb="14">
      <t>イ</t>
    </rPh>
    <phoneticPr fontId="1"/>
  </si>
  <si>
    <t>20X56</t>
  </si>
  <si>
    <t>CBDCA+VP-16→AMR→CPT11</t>
  </si>
  <si>
    <t>10X55</t>
  </si>
  <si>
    <t>EBUS-TBNA&gt;TBLB</t>
  </si>
  <si>
    <t>CBDCA+VP-16④→CBDCA+VP-16④</t>
  </si>
  <si>
    <t>10X50</t>
  </si>
  <si>
    <t>20X53</t>
  </si>
  <si>
    <t>CBDCA+VP-16→AMR→CBDCA+CPT11</t>
  </si>
  <si>
    <t>F</t>
  </si>
  <si>
    <t>20X27</t>
  </si>
  <si>
    <t>30X33</t>
  </si>
  <si>
    <t>CBDCA+VP-16→AMR</t>
  </si>
  <si>
    <t>15X53</t>
  </si>
  <si>
    <t>60X52</t>
  </si>
  <si>
    <t>20X39</t>
  </si>
  <si>
    <t>20X49</t>
  </si>
  <si>
    <t>CDDP+VP-16→AMR</t>
  </si>
  <si>
    <t>20X41</t>
  </si>
  <si>
    <t>CBDCA+VP-16→AMR→CBDCA+VP-16</t>
  </si>
  <si>
    <t>20X20</t>
  </si>
  <si>
    <t>PR?</t>
  </si>
  <si>
    <t>20X37</t>
  </si>
  <si>
    <t>CDDP+VP-16→CBDCA+CPT11→AMR</t>
  </si>
  <si>
    <t>10X20</t>
  </si>
  <si>
    <t>20X58</t>
  </si>
  <si>
    <t>20X50</t>
  </si>
  <si>
    <t>40X42</t>
  </si>
  <si>
    <t>20X47</t>
  </si>
  <si>
    <t>SP263</t>
    <phoneticPr fontId="1"/>
  </si>
  <si>
    <t>22C3_01</t>
    <phoneticPr fontId="1"/>
  </si>
  <si>
    <t>228_01</t>
    <phoneticPr fontId="1"/>
  </si>
  <si>
    <t>SP263_01</t>
    <phoneticPr fontId="1"/>
  </si>
  <si>
    <t>30X32</t>
    <phoneticPr fontId="1"/>
  </si>
  <si>
    <t>40*26</t>
    <phoneticPr fontId="1"/>
  </si>
  <si>
    <t>20X50+8X5</t>
    <phoneticPr fontId="1"/>
  </si>
  <si>
    <t>OP+CDDP+VP-16</t>
    <phoneticPr fontId="1"/>
  </si>
  <si>
    <t>ED01</t>
    <phoneticPr fontId="1"/>
  </si>
  <si>
    <t>NSE01</t>
    <phoneticPr fontId="1"/>
  </si>
  <si>
    <t>ProGRP01</t>
    <phoneticPr fontId="1"/>
  </si>
  <si>
    <t>Alb01</t>
    <phoneticPr fontId="1"/>
  </si>
  <si>
    <t>CRP01</t>
    <phoneticPr fontId="1"/>
  </si>
  <si>
    <t>PS01</t>
    <phoneticPr fontId="1"/>
  </si>
  <si>
    <t>SP2631%</t>
    <phoneticPr fontId="1"/>
  </si>
  <si>
    <t>RR01</t>
    <phoneticPr fontId="1"/>
  </si>
  <si>
    <t>CDDP+VP-16</t>
    <phoneticPr fontId="1"/>
  </si>
  <si>
    <t>OP+CDDP+VP-16</t>
    <phoneticPr fontId="1"/>
  </si>
  <si>
    <t>CDDPP+CPT11</t>
    <phoneticPr fontId="1"/>
  </si>
  <si>
    <t>CBDCA+VP-16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</si>
</sst>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1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NumberForma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5" fillId="3" borderId="0" xfId="0" applyNumberFormat="1" applyFont="1" applyFill="1" applyAlignment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0" fillId="4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5" borderId="0" xfId="0" applyFill="1">
      <alignment vertical="center"/>
    </xf>
    <xf numFmtId="0" fontId="2" fillId="0" borderId="0" xfId="0" applyFont="1">
      <alignment vertical="center"/>
    </xf>
    <xf numFmtId="0" fontId="2" fillId="5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0" fontId="0" fillId="0" borderId="0" xfId="0" applyBorder="1" applyAlignment="1">
      <alignment horizontal="left"/>
    </xf>
    <xf numFmtId="0" fontId="4" fillId="3" borderId="0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2">
    <cellStyle name="標準" xfId="0" builtinId="0"/>
    <cellStyle name="標準 2" xfId="1" xr:uid="{EF868BD5-196B-44D0-9C2D-3C95E9A775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BEA2-CA61-499E-8167-EED061355183}">
  <dimension ref="A1:AS45"/>
  <sheetViews>
    <sheetView tabSelected="1" zoomScale="70" zoomScaleNormal="70" workbookViewId="0">
      <selection activeCell="AP39" sqref="AP39"/>
    </sheetView>
  </sheetViews>
  <sheetFormatPr defaultRowHeight="18" x14ac:dyDescent="0.55000000000000004"/>
  <cols>
    <col min="1" max="1" width="8.6640625" style="5"/>
    <col min="2" max="2" width="10.08203125" style="5" customWidth="1"/>
    <col min="3" max="5" width="7.58203125" style="5" customWidth="1"/>
    <col min="6" max="7" width="12.33203125" style="5" customWidth="1"/>
    <col min="8" max="8" width="12.33203125" style="23" customWidth="1"/>
    <col min="9" max="9" width="7.58203125" style="5" customWidth="1"/>
    <col min="10" max="10" width="7.58203125" style="23" customWidth="1"/>
    <col min="11" max="11" width="13.25" style="6" customWidth="1"/>
    <col min="12" max="12" width="11.75" style="6" customWidth="1"/>
    <col min="13" max="13" width="12.75" style="6" customWidth="1"/>
    <col min="14" max="14" width="13.6640625" style="5" customWidth="1"/>
    <col min="15" max="15" width="7.6640625" style="5" customWidth="1"/>
    <col min="16" max="16" width="12.9140625" style="5" customWidth="1"/>
    <col min="17" max="17" width="7.75" style="3" customWidth="1"/>
    <col min="18" max="18" width="7.75" style="26" customWidth="1"/>
    <col min="19" max="19" width="7.75" style="3" customWidth="1"/>
    <col min="20" max="20" width="7.75" style="26" customWidth="1"/>
    <col min="21" max="21" width="7.75" style="3" customWidth="1"/>
    <col min="22" max="22" width="7.75" style="26" customWidth="1"/>
    <col min="23" max="23" width="7.75" style="3" customWidth="1"/>
    <col min="24" max="24" width="7.75" style="26" customWidth="1"/>
    <col min="25" max="27" width="7.75" style="3" customWidth="1"/>
    <col min="28" max="28" width="20.08203125" style="5" customWidth="1"/>
    <col min="29" max="29" width="13.9140625" style="5" customWidth="1"/>
    <col min="30" max="30" width="13.9140625" style="23" customWidth="1"/>
    <col min="31" max="31" width="12.5" style="5" customWidth="1"/>
    <col min="32" max="32" width="12.6640625" style="5" customWidth="1"/>
    <col min="33" max="33" width="12" style="3" customWidth="1"/>
    <col min="34" max="34" width="10.25" style="9" customWidth="1"/>
    <col min="35" max="39" width="8.75" style="40" customWidth="1"/>
    <col min="40" max="41" width="8.75" style="23" customWidth="1"/>
    <col min="42" max="42" width="48.58203125" style="5" customWidth="1"/>
    <col min="43" max="43" width="13.1640625" style="5" customWidth="1"/>
    <col min="44" max="44" width="13.1640625" style="3" customWidth="1"/>
    <col min="45" max="45" width="10.9140625" style="5" customWidth="1"/>
    <col min="46" max="16384" width="8.6640625" style="5"/>
  </cols>
  <sheetData>
    <row r="1" spans="1:45" s="10" customFormat="1" ht="36" customHeight="1" x14ac:dyDescent="0.55000000000000004">
      <c r="B1" s="10" t="s">
        <v>7</v>
      </c>
      <c r="C1" s="11" t="s">
        <v>63</v>
      </c>
      <c r="D1" s="10" t="s">
        <v>0</v>
      </c>
      <c r="E1" s="10" t="s">
        <v>62</v>
      </c>
      <c r="F1" s="11" t="s">
        <v>1</v>
      </c>
      <c r="G1" s="11" t="s">
        <v>64</v>
      </c>
      <c r="H1" s="11" t="s">
        <v>142</v>
      </c>
      <c r="I1" s="10" t="s">
        <v>2</v>
      </c>
      <c r="J1" s="10" t="s">
        <v>147</v>
      </c>
      <c r="K1" s="11" t="s">
        <v>3</v>
      </c>
      <c r="L1" s="11" t="s">
        <v>61</v>
      </c>
      <c r="M1" s="11" t="s">
        <v>9</v>
      </c>
      <c r="N1" s="11" t="s">
        <v>8</v>
      </c>
      <c r="O1" s="11" t="s">
        <v>65</v>
      </c>
      <c r="P1" s="10" t="s">
        <v>4</v>
      </c>
      <c r="Q1" s="12" t="s">
        <v>17</v>
      </c>
      <c r="R1" s="12" t="s">
        <v>144</v>
      </c>
      <c r="S1" s="12" t="s">
        <v>18</v>
      </c>
      <c r="T1" s="12" t="s">
        <v>143</v>
      </c>
      <c r="U1" s="12" t="s">
        <v>25</v>
      </c>
      <c r="V1" s="12" t="s">
        <v>145</v>
      </c>
      <c r="W1" s="12" t="s">
        <v>26</v>
      </c>
      <c r="X1" s="12" t="s">
        <v>146</v>
      </c>
      <c r="Y1" s="12" t="s">
        <v>28</v>
      </c>
      <c r="Z1" s="12" t="s">
        <v>29</v>
      </c>
      <c r="AA1" s="12" t="s">
        <v>27</v>
      </c>
      <c r="AB1" s="10" t="s">
        <v>19</v>
      </c>
      <c r="AC1" s="13" t="s">
        <v>5</v>
      </c>
      <c r="AD1" s="13" t="s">
        <v>149</v>
      </c>
      <c r="AE1" s="14" t="s">
        <v>21</v>
      </c>
      <c r="AF1" s="15" t="s">
        <v>6</v>
      </c>
      <c r="AG1" s="16" t="s">
        <v>36</v>
      </c>
      <c r="AH1" s="17" t="s">
        <v>22</v>
      </c>
      <c r="AI1" s="38" t="s">
        <v>14</v>
      </c>
      <c r="AJ1" s="38" t="s">
        <v>135</v>
      </c>
      <c r="AK1" s="39">
        <v>228</v>
      </c>
      <c r="AL1" s="39" t="s">
        <v>136</v>
      </c>
      <c r="AM1" s="39" t="s">
        <v>134</v>
      </c>
      <c r="AN1" s="19" t="s">
        <v>137</v>
      </c>
      <c r="AO1" s="19" t="s">
        <v>148</v>
      </c>
      <c r="AP1" s="18" t="s">
        <v>24</v>
      </c>
      <c r="AQ1" s="18" t="s">
        <v>30</v>
      </c>
      <c r="AR1" s="20" t="s">
        <v>37</v>
      </c>
      <c r="AS1" s="18" t="s">
        <v>33</v>
      </c>
    </row>
    <row r="2" spans="1:45" x14ac:dyDescent="0.55000000000000004">
      <c r="A2" s="4" t="s">
        <v>10</v>
      </c>
      <c r="B2" s="22">
        <v>1</v>
      </c>
      <c r="C2" s="5">
        <v>77</v>
      </c>
      <c r="D2" s="5" t="s">
        <v>11</v>
      </c>
      <c r="E2" s="5">
        <f>IF(D2="M",1,0)</f>
        <v>0</v>
      </c>
      <c r="F2" s="5" t="s">
        <v>12</v>
      </c>
      <c r="G2" s="23">
        <v>1</v>
      </c>
      <c r="H2" s="23">
        <v>1</v>
      </c>
      <c r="I2" s="5">
        <v>1</v>
      </c>
      <c r="J2" s="23">
        <v>1</v>
      </c>
      <c r="K2" s="6" t="s">
        <v>52</v>
      </c>
      <c r="L2" s="6">
        <f>20*50</f>
        <v>1000</v>
      </c>
      <c r="M2" s="7">
        <v>42018</v>
      </c>
      <c r="N2" s="5" t="s">
        <v>35</v>
      </c>
      <c r="O2" s="5">
        <v>0</v>
      </c>
      <c r="P2" s="5" t="s">
        <v>44</v>
      </c>
      <c r="Q2" s="3">
        <v>58.4</v>
      </c>
      <c r="R2" s="26">
        <f>IF(Q2&gt;81,1,0)</f>
        <v>0</v>
      </c>
      <c r="S2" s="3">
        <v>74.8</v>
      </c>
      <c r="T2" s="26">
        <f>IF(S2&gt;16.3,1,0)</f>
        <v>1</v>
      </c>
      <c r="U2" s="3">
        <v>2.9</v>
      </c>
      <c r="V2" s="26">
        <f>IF(U2&lt;5.5,IF(U2&gt;3.7,0,1),1)</f>
        <v>1</v>
      </c>
      <c r="W2" s="3">
        <v>3.62</v>
      </c>
      <c r="X2" s="26">
        <f>IF(W2&gt;0.3,1,0)</f>
        <v>1</v>
      </c>
      <c r="Y2" s="3">
        <v>6390</v>
      </c>
      <c r="Z2" s="3">
        <v>1850</v>
      </c>
      <c r="AA2" s="3">
        <f>Y2/Z2</f>
        <v>3.4540540540540539</v>
      </c>
      <c r="AB2" s="5" t="s">
        <v>20</v>
      </c>
      <c r="AC2" s="5" t="s">
        <v>32</v>
      </c>
      <c r="AD2" s="23">
        <f>IF(AC2="PR",1,0)</f>
        <v>1</v>
      </c>
      <c r="AE2" s="1">
        <v>42020</v>
      </c>
      <c r="AF2" s="1">
        <v>42149</v>
      </c>
      <c r="AG2" s="23">
        <v>1</v>
      </c>
      <c r="AH2" s="24">
        <f t="shared" ref="AH2:AH16" si="0">_xlfn.DAYS(AF2,AE2)</f>
        <v>129</v>
      </c>
      <c r="AI2" s="37">
        <v>0</v>
      </c>
      <c r="AJ2" s="37">
        <f>IF(AI2=0,0,1)</f>
        <v>0</v>
      </c>
      <c r="AK2" s="37">
        <v>0</v>
      </c>
      <c r="AL2" s="37">
        <f>IF(AK2=0,0,1)</f>
        <v>0</v>
      </c>
      <c r="AM2" s="37">
        <v>0</v>
      </c>
      <c r="AN2" s="37">
        <f>IF(AM2&gt;24,1,0)</f>
        <v>0</v>
      </c>
      <c r="AO2" s="37">
        <f>IF(AM2=0,0,1)</f>
        <v>0</v>
      </c>
      <c r="AP2" s="5" t="s">
        <v>58</v>
      </c>
      <c r="AQ2" s="25">
        <v>42253</v>
      </c>
      <c r="AR2" s="23">
        <v>1</v>
      </c>
      <c r="AS2" s="3">
        <f>_xlfn.DAYS(AQ2,AE2)</f>
        <v>233</v>
      </c>
    </row>
    <row r="3" spans="1:45" x14ac:dyDescent="0.55000000000000004">
      <c r="A3" s="4" t="s">
        <v>10</v>
      </c>
      <c r="B3" s="24">
        <v>2</v>
      </c>
      <c r="C3" s="23">
        <v>70</v>
      </c>
      <c r="D3" s="23" t="s">
        <v>31</v>
      </c>
      <c r="E3" s="5">
        <f>IF(D3="M",1,0)</f>
        <v>1</v>
      </c>
      <c r="F3" s="23" t="s">
        <v>12</v>
      </c>
      <c r="G3" s="23">
        <v>1</v>
      </c>
      <c r="H3" s="23">
        <v>1</v>
      </c>
      <c r="I3" s="23">
        <v>1</v>
      </c>
      <c r="J3" s="23">
        <v>1</v>
      </c>
      <c r="K3" s="27" t="s">
        <v>46</v>
      </c>
      <c r="L3" s="6">
        <f>40*40</f>
        <v>1600</v>
      </c>
      <c r="M3" s="28">
        <v>42054</v>
      </c>
      <c r="N3" s="23" t="s">
        <v>35</v>
      </c>
      <c r="O3" s="5">
        <v>0</v>
      </c>
      <c r="P3" s="23" t="s">
        <v>44</v>
      </c>
      <c r="Q3" s="26">
        <v>4520</v>
      </c>
      <c r="R3" s="26">
        <f>IF(Q3&gt;81,1,0)</f>
        <v>1</v>
      </c>
      <c r="S3" s="26">
        <v>203</v>
      </c>
      <c r="T3" s="26">
        <f>IF(S3&gt;16.3,1,0)</f>
        <v>1</v>
      </c>
      <c r="U3" s="26">
        <v>3.4</v>
      </c>
      <c r="V3" s="26">
        <f>IF(U3&lt;5.5,IF(U3&gt;3.7,0,1),1)</f>
        <v>1</v>
      </c>
      <c r="W3" s="26">
        <v>0.4</v>
      </c>
      <c r="X3" s="26">
        <f>IF(W3&gt;0.3,1,0)</f>
        <v>1</v>
      </c>
      <c r="Y3" s="26">
        <v>3400</v>
      </c>
      <c r="Z3" s="26">
        <v>640</v>
      </c>
      <c r="AA3" s="26">
        <f>Y3/Z3</f>
        <v>5.3125</v>
      </c>
      <c r="AB3" s="23" t="s">
        <v>20</v>
      </c>
      <c r="AC3" s="23" t="s">
        <v>32</v>
      </c>
      <c r="AD3" s="23">
        <f>IF(AC3="PR",1,0)</f>
        <v>1</v>
      </c>
      <c r="AE3" s="25">
        <v>42058</v>
      </c>
      <c r="AF3" s="25">
        <v>42153</v>
      </c>
      <c r="AG3" s="23">
        <v>1</v>
      </c>
      <c r="AH3" s="24">
        <f t="shared" si="0"/>
        <v>95</v>
      </c>
      <c r="AI3" s="37">
        <v>0</v>
      </c>
      <c r="AJ3" s="37">
        <f>IF(AI3=0,0,1)</f>
        <v>0</v>
      </c>
      <c r="AK3" s="37">
        <v>0</v>
      </c>
      <c r="AL3" s="37">
        <f>IF(AK3=0,0,1)</f>
        <v>0</v>
      </c>
      <c r="AM3" s="37">
        <v>5</v>
      </c>
      <c r="AN3" s="37">
        <f>IF(AM3&gt;24,1,0)</f>
        <v>0</v>
      </c>
      <c r="AO3" s="37">
        <f>IF(AM3=0,0,1)</f>
        <v>1</v>
      </c>
      <c r="AP3" s="23" t="s">
        <v>45</v>
      </c>
      <c r="AQ3" s="25">
        <v>42313</v>
      </c>
      <c r="AR3" s="23">
        <v>1</v>
      </c>
      <c r="AS3" s="26">
        <f>_xlfn.DAYS(AQ3,AE3)</f>
        <v>255</v>
      </c>
    </row>
    <row r="4" spans="1:45" x14ac:dyDescent="0.55000000000000004">
      <c r="A4" s="4" t="s">
        <v>10</v>
      </c>
      <c r="B4" s="22">
        <v>3</v>
      </c>
      <c r="C4" s="5">
        <v>67</v>
      </c>
      <c r="D4" s="5" t="s">
        <v>31</v>
      </c>
      <c r="E4" s="5">
        <f>IF(D4="M",1,0)</f>
        <v>1</v>
      </c>
      <c r="F4" s="5" t="s">
        <v>12</v>
      </c>
      <c r="G4" s="23">
        <v>1</v>
      </c>
      <c r="H4" s="23">
        <v>1</v>
      </c>
      <c r="I4" s="5">
        <v>0</v>
      </c>
      <c r="J4" s="23">
        <v>0</v>
      </c>
      <c r="K4" s="6" t="s">
        <v>42</v>
      </c>
      <c r="L4" s="6">
        <f>40*10+10*30</f>
        <v>700</v>
      </c>
      <c r="M4" s="7">
        <v>42194</v>
      </c>
      <c r="N4" s="5" t="s">
        <v>35</v>
      </c>
      <c r="O4" s="5">
        <v>0</v>
      </c>
      <c r="P4" s="5" t="s">
        <v>43</v>
      </c>
      <c r="Q4" s="26">
        <v>41.3</v>
      </c>
      <c r="R4" s="26">
        <f>IF(Q4&gt;81,1,0)</f>
        <v>0</v>
      </c>
      <c r="S4" s="26">
        <v>36.5</v>
      </c>
      <c r="T4" s="26">
        <f>IF(S4&gt;16.3,1,0)</f>
        <v>1</v>
      </c>
      <c r="U4" s="26">
        <v>4</v>
      </c>
      <c r="V4" s="26">
        <f>IF(U4&lt;5.5,IF(U4&gt;3.7,0,1),1)</f>
        <v>0</v>
      </c>
      <c r="W4" s="26">
        <v>0.09</v>
      </c>
      <c r="X4" s="26">
        <f>IF(W4&gt;0.3,1,0)</f>
        <v>0</v>
      </c>
      <c r="Y4" s="26">
        <v>4080</v>
      </c>
      <c r="Z4" s="26">
        <v>3230</v>
      </c>
      <c r="AA4" s="26">
        <f>Y4/Z4</f>
        <v>1.263157894736842</v>
      </c>
      <c r="AB4" s="5" t="s">
        <v>38</v>
      </c>
      <c r="AC4" s="5" t="s">
        <v>32</v>
      </c>
      <c r="AD4" s="23">
        <f>IF(AC4="PR",1,0)</f>
        <v>1</v>
      </c>
      <c r="AE4" s="1">
        <v>42209</v>
      </c>
      <c r="AF4" s="1">
        <v>42334</v>
      </c>
      <c r="AG4" s="23">
        <v>1</v>
      </c>
      <c r="AH4" s="24">
        <f t="shared" si="0"/>
        <v>125</v>
      </c>
      <c r="AI4" s="37">
        <v>0</v>
      </c>
      <c r="AJ4" s="37">
        <f>IF(AI4=0,0,1)</f>
        <v>0</v>
      </c>
      <c r="AK4" s="37">
        <v>0</v>
      </c>
      <c r="AL4" s="37">
        <f>IF(AK4=0,0,1)</f>
        <v>0</v>
      </c>
      <c r="AM4" s="37">
        <v>0</v>
      </c>
      <c r="AN4" s="37">
        <f>IF(AM4&gt;24,1,0)</f>
        <v>0</v>
      </c>
      <c r="AO4" s="37">
        <f>IF(AM4=0,0,1)</f>
        <v>0</v>
      </c>
      <c r="AP4" s="5" t="s">
        <v>39</v>
      </c>
      <c r="AQ4" s="25">
        <v>42639</v>
      </c>
      <c r="AR4" s="23">
        <v>1</v>
      </c>
      <c r="AS4" s="26">
        <f>_xlfn.DAYS(AQ4,AE4)</f>
        <v>430</v>
      </c>
    </row>
    <row r="5" spans="1:45" x14ac:dyDescent="0.55000000000000004">
      <c r="A5" s="4" t="s">
        <v>10</v>
      </c>
      <c r="B5" s="22">
        <v>4</v>
      </c>
      <c r="C5" s="5">
        <v>76</v>
      </c>
      <c r="D5" s="5" t="s">
        <v>31</v>
      </c>
      <c r="E5" s="5">
        <f>IF(D5="M",1,0)</f>
        <v>1</v>
      </c>
      <c r="F5" s="23" t="s">
        <v>12</v>
      </c>
      <c r="G5" s="23">
        <v>1</v>
      </c>
      <c r="H5" s="23">
        <v>1</v>
      </c>
      <c r="I5" s="5">
        <v>2</v>
      </c>
      <c r="J5" s="23">
        <v>2</v>
      </c>
      <c r="K5" s="6" t="s">
        <v>56</v>
      </c>
      <c r="L5" s="6">
        <f>30*56</f>
        <v>1680</v>
      </c>
      <c r="M5" s="7">
        <v>42201</v>
      </c>
      <c r="N5" s="5" t="s">
        <v>35</v>
      </c>
      <c r="O5" s="5">
        <v>0</v>
      </c>
      <c r="P5" s="5" t="s">
        <v>44</v>
      </c>
      <c r="Q5" s="26">
        <v>312</v>
      </c>
      <c r="R5" s="26">
        <f>IF(Q5&gt;81,1,0)</f>
        <v>1</v>
      </c>
      <c r="S5" s="26">
        <v>26.5</v>
      </c>
      <c r="T5" s="26">
        <f>IF(S5&gt;16.3,1,0)</f>
        <v>1</v>
      </c>
      <c r="U5" s="26">
        <v>3.7</v>
      </c>
      <c r="V5" s="26">
        <f>IF(U5&lt;5.5,IF(U5&gt;3.7,0,1),1)</f>
        <v>1</v>
      </c>
      <c r="W5" s="26">
        <v>0.56999999999999995</v>
      </c>
      <c r="X5" s="26">
        <f>IF(W5&gt;0.3,1,0)</f>
        <v>1</v>
      </c>
      <c r="Y5" s="26">
        <v>5030</v>
      </c>
      <c r="Z5" s="26">
        <v>2290</v>
      </c>
      <c r="AA5" s="26">
        <f>Y5/Z5</f>
        <v>2.1965065502183405</v>
      </c>
      <c r="AB5" s="5" t="s">
        <v>54</v>
      </c>
      <c r="AC5" s="5" t="s">
        <v>32</v>
      </c>
      <c r="AD5" s="23">
        <f>IF(AC5="PR",1,0)</f>
        <v>1</v>
      </c>
      <c r="AE5" s="1">
        <v>42219</v>
      </c>
      <c r="AF5" s="1">
        <v>42348</v>
      </c>
      <c r="AG5" s="23">
        <v>1</v>
      </c>
      <c r="AH5" s="24">
        <f t="shared" si="0"/>
        <v>129</v>
      </c>
      <c r="AI5" s="37">
        <v>40</v>
      </c>
      <c r="AJ5" s="37">
        <f>IF(AI5=0,0,1)</f>
        <v>1</v>
      </c>
      <c r="AK5" s="37">
        <v>40</v>
      </c>
      <c r="AL5" s="37">
        <f>IF(AK5=0,0,1)</f>
        <v>1</v>
      </c>
      <c r="AM5" s="37">
        <v>55</v>
      </c>
      <c r="AN5" s="37">
        <f>IF(AM5&gt;24,1,0)</f>
        <v>1</v>
      </c>
      <c r="AO5" s="37">
        <f>IF(AM5=0,0,1)</f>
        <v>1</v>
      </c>
      <c r="AP5" s="5" t="s">
        <v>57</v>
      </c>
      <c r="AQ5" s="25">
        <v>42600</v>
      </c>
      <c r="AR5" s="23">
        <v>0</v>
      </c>
      <c r="AS5" s="26">
        <f>_xlfn.DAYS(AQ5,AE5)</f>
        <v>381</v>
      </c>
    </row>
    <row r="6" spans="1:45" x14ac:dyDescent="0.55000000000000004">
      <c r="A6" s="4" t="s">
        <v>10</v>
      </c>
      <c r="B6" s="22">
        <v>5</v>
      </c>
      <c r="C6" s="5">
        <v>65</v>
      </c>
      <c r="D6" s="5" t="s">
        <v>31</v>
      </c>
      <c r="E6" s="5">
        <f>IF(D6="M",1,0)</f>
        <v>1</v>
      </c>
      <c r="F6" s="23" t="s">
        <v>12</v>
      </c>
      <c r="G6" s="23">
        <v>1</v>
      </c>
      <c r="H6" s="23">
        <v>1</v>
      </c>
      <c r="I6" s="5">
        <v>1</v>
      </c>
      <c r="J6" s="23">
        <v>1</v>
      </c>
      <c r="K6" s="6" t="s">
        <v>53</v>
      </c>
      <c r="L6" s="6">
        <f>35*45</f>
        <v>1575</v>
      </c>
      <c r="M6" s="7">
        <v>42441</v>
      </c>
      <c r="N6" s="5" t="s">
        <v>35</v>
      </c>
      <c r="O6" s="5">
        <v>0</v>
      </c>
      <c r="P6" s="5" t="s">
        <v>44</v>
      </c>
      <c r="Q6" s="26">
        <v>77.3</v>
      </c>
      <c r="R6" s="26">
        <f>IF(Q6&gt;81,1,0)</f>
        <v>0</v>
      </c>
      <c r="S6" s="26">
        <v>60.7</v>
      </c>
      <c r="T6" s="26">
        <f>IF(S6&gt;16.3,1,0)</f>
        <v>1</v>
      </c>
      <c r="U6" s="26">
        <v>2.8</v>
      </c>
      <c r="V6" s="26">
        <f>IF(U6&lt;5.5,IF(U6&gt;3.7,0,1),1)</f>
        <v>1</v>
      </c>
      <c r="W6" s="26">
        <v>19.39</v>
      </c>
      <c r="X6" s="26">
        <f>IF(W6&gt;0.3,1,0)</f>
        <v>1</v>
      </c>
      <c r="Y6" s="26">
        <v>7490</v>
      </c>
      <c r="Z6" s="26">
        <v>870</v>
      </c>
      <c r="AA6" s="26">
        <f>Y6/Z6</f>
        <v>8.6091954022988499</v>
      </c>
      <c r="AB6" s="5" t="s">
        <v>54</v>
      </c>
      <c r="AC6" s="5" t="s">
        <v>32</v>
      </c>
      <c r="AD6" s="23">
        <f>IF(AC6="PR",1,0)</f>
        <v>1</v>
      </c>
      <c r="AE6" s="1">
        <v>42443</v>
      </c>
      <c r="AF6" s="1">
        <v>42571</v>
      </c>
      <c r="AG6" s="23">
        <v>1</v>
      </c>
      <c r="AH6" s="24">
        <f t="shared" si="0"/>
        <v>128</v>
      </c>
      <c r="AI6" s="37">
        <v>0</v>
      </c>
      <c r="AJ6" s="37">
        <f>IF(AI6=0,0,1)</f>
        <v>0</v>
      </c>
      <c r="AK6" s="37">
        <v>0</v>
      </c>
      <c r="AL6" s="37">
        <f>IF(AK6=0,0,1)</f>
        <v>0</v>
      </c>
      <c r="AM6" s="37">
        <v>0</v>
      </c>
      <c r="AN6" s="37">
        <f>IF(AM6&gt;24,1,0)</f>
        <v>0</v>
      </c>
      <c r="AO6" s="37">
        <f>IF(AM6=0,0,1)</f>
        <v>0</v>
      </c>
      <c r="AP6" s="5" t="s">
        <v>55</v>
      </c>
      <c r="AQ6" s="25">
        <v>42820</v>
      </c>
      <c r="AR6" s="23">
        <v>1</v>
      </c>
      <c r="AS6" s="26">
        <f>_xlfn.DAYS(AQ6,AE6)</f>
        <v>377</v>
      </c>
    </row>
    <row r="7" spans="1:45" x14ac:dyDescent="0.55000000000000004">
      <c r="A7" s="4" t="s">
        <v>10</v>
      </c>
      <c r="B7" s="24">
        <v>6</v>
      </c>
      <c r="C7" s="23">
        <v>68</v>
      </c>
      <c r="D7" s="23" t="s">
        <v>31</v>
      </c>
      <c r="E7" s="23">
        <f>IF(D7="M",1,0)</f>
        <v>1</v>
      </c>
      <c r="F7" s="23" t="s">
        <v>12</v>
      </c>
      <c r="G7" s="23">
        <v>1</v>
      </c>
      <c r="H7" s="23">
        <v>1</v>
      </c>
      <c r="I7" s="23">
        <v>1</v>
      </c>
      <c r="J7" s="23">
        <v>1</v>
      </c>
      <c r="K7" s="27" t="s">
        <v>51</v>
      </c>
      <c r="L7" s="6">
        <f>25*40</f>
        <v>1000</v>
      </c>
      <c r="M7" s="28">
        <v>42586</v>
      </c>
      <c r="N7" s="23" t="s">
        <v>35</v>
      </c>
      <c r="O7" s="5">
        <v>0</v>
      </c>
      <c r="P7" s="23" t="s">
        <v>44</v>
      </c>
      <c r="Q7" s="26">
        <v>30.4</v>
      </c>
      <c r="R7" s="26">
        <f>IF(Q7&gt;81,1,0)</f>
        <v>0</v>
      </c>
      <c r="S7" s="26">
        <v>56.1</v>
      </c>
      <c r="T7" s="26">
        <f>IF(S7&gt;16.3,1,0)</f>
        <v>1</v>
      </c>
      <c r="U7" s="26">
        <v>3.6</v>
      </c>
      <c r="V7" s="26">
        <f>IF(U7&lt;5.5,IF(U7&gt;3.7,0,1),1)</f>
        <v>1</v>
      </c>
      <c r="W7" s="26">
        <v>1.92</v>
      </c>
      <c r="X7" s="26">
        <f>IF(W7&gt;0.3,1,0)</f>
        <v>1</v>
      </c>
      <c r="Y7" s="26">
        <v>4710</v>
      </c>
      <c r="Z7" s="26">
        <v>1920</v>
      </c>
      <c r="AA7" s="26">
        <f>Y7/Z7</f>
        <v>2.453125</v>
      </c>
      <c r="AB7" s="23" t="s">
        <v>20</v>
      </c>
      <c r="AC7" s="23" t="s">
        <v>32</v>
      </c>
      <c r="AD7" s="23">
        <f>IF(AC7="PR",1,0)</f>
        <v>1</v>
      </c>
      <c r="AE7" s="25">
        <v>42611</v>
      </c>
      <c r="AF7" s="25">
        <v>42730</v>
      </c>
      <c r="AG7" s="23">
        <v>1</v>
      </c>
      <c r="AH7" s="24">
        <f t="shared" si="0"/>
        <v>119</v>
      </c>
      <c r="AI7" s="37">
        <v>5</v>
      </c>
      <c r="AJ7" s="37">
        <f>IF(AI7=0,0,1)</f>
        <v>1</v>
      </c>
      <c r="AK7" s="37">
        <v>10</v>
      </c>
      <c r="AL7" s="37">
        <f>IF(AK7=0,0,1)</f>
        <v>1</v>
      </c>
      <c r="AM7" s="37">
        <v>20</v>
      </c>
      <c r="AN7" s="37">
        <f>IF(AM7&gt;24,1,0)</f>
        <v>0</v>
      </c>
      <c r="AO7" s="37">
        <f>IF(AM7=0,0,1)</f>
        <v>1</v>
      </c>
      <c r="AP7" s="23" t="s">
        <v>45</v>
      </c>
      <c r="AQ7" s="25">
        <v>42927</v>
      </c>
      <c r="AR7" s="23">
        <v>1</v>
      </c>
      <c r="AS7" s="26">
        <f>_xlfn.DAYS(AQ7,AE7)</f>
        <v>316</v>
      </c>
    </row>
    <row r="8" spans="1:45" x14ac:dyDescent="0.55000000000000004">
      <c r="A8" s="4" t="s">
        <v>10</v>
      </c>
      <c r="B8" s="24">
        <v>7</v>
      </c>
      <c r="C8" s="23">
        <v>75</v>
      </c>
      <c r="D8" s="23" t="s">
        <v>31</v>
      </c>
      <c r="E8" s="23">
        <f>IF(D8="M",1,0)</f>
        <v>1</v>
      </c>
      <c r="F8" s="23" t="s">
        <v>12</v>
      </c>
      <c r="G8" s="5">
        <v>1</v>
      </c>
      <c r="H8" s="23">
        <v>1</v>
      </c>
      <c r="I8" s="23">
        <v>2</v>
      </c>
      <c r="J8" s="23">
        <v>2</v>
      </c>
      <c r="K8" s="27" t="s">
        <v>47</v>
      </c>
      <c r="L8" s="6">
        <f>30*60</f>
        <v>1800</v>
      </c>
      <c r="M8" s="28">
        <v>42619</v>
      </c>
      <c r="N8" s="23" t="s">
        <v>50</v>
      </c>
      <c r="O8" s="5">
        <v>1</v>
      </c>
      <c r="P8" s="23" t="s">
        <v>44</v>
      </c>
      <c r="Q8" s="26">
        <v>112</v>
      </c>
      <c r="R8" s="26">
        <f>IF(Q8&gt;81,1,0)</f>
        <v>1</v>
      </c>
      <c r="S8" s="26">
        <v>81.099999999999994</v>
      </c>
      <c r="T8" s="26">
        <f>IF(S8&gt;16.3,1,0)</f>
        <v>1</v>
      </c>
      <c r="U8" s="26">
        <v>3.1</v>
      </c>
      <c r="V8" s="26">
        <f>IF(U8&lt;5.5,IF(U8&gt;3.7,0,1),1)</f>
        <v>1</v>
      </c>
      <c r="W8" s="26">
        <v>1.52</v>
      </c>
      <c r="X8" s="26">
        <f>IF(W8&gt;0.3,1,0)</f>
        <v>1</v>
      </c>
      <c r="Y8" s="26">
        <v>10070</v>
      </c>
      <c r="Z8" s="26">
        <v>1490</v>
      </c>
      <c r="AA8" s="26">
        <f>Y8/Z8</f>
        <v>6.7583892617449663</v>
      </c>
      <c r="AB8" s="23" t="s">
        <v>20</v>
      </c>
      <c r="AC8" s="23" t="s">
        <v>59</v>
      </c>
      <c r="AD8" s="23">
        <f>IF(AC8="PR",1,0)</f>
        <v>0</v>
      </c>
      <c r="AE8" s="25">
        <v>42639</v>
      </c>
      <c r="AF8" s="25">
        <v>42755</v>
      </c>
      <c r="AG8" s="23">
        <v>1</v>
      </c>
      <c r="AH8" s="24">
        <f t="shared" si="0"/>
        <v>116</v>
      </c>
      <c r="AI8" s="37">
        <v>0</v>
      </c>
      <c r="AJ8" s="37">
        <f>IF(AI8=0,0,1)</f>
        <v>0</v>
      </c>
      <c r="AK8" s="37">
        <v>0</v>
      </c>
      <c r="AL8" s="37">
        <f>IF(AK8=0,0,1)</f>
        <v>0</v>
      </c>
      <c r="AM8" s="37">
        <v>0</v>
      </c>
      <c r="AN8" s="37">
        <f>IF(AM8&gt;24,1,0)</f>
        <v>0</v>
      </c>
      <c r="AO8" s="37">
        <f>IF(AM8=0,0,1)</f>
        <v>0</v>
      </c>
      <c r="AP8" s="23" t="s">
        <v>20</v>
      </c>
      <c r="AQ8" s="25">
        <v>42791</v>
      </c>
      <c r="AR8" s="23">
        <v>1</v>
      </c>
      <c r="AS8" s="26">
        <f>_xlfn.DAYS(AQ8,AE8)</f>
        <v>152</v>
      </c>
    </row>
    <row r="9" spans="1:45" x14ac:dyDescent="0.55000000000000004">
      <c r="A9" s="4" t="s">
        <v>10</v>
      </c>
      <c r="B9" s="24">
        <v>8</v>
      </c>
      <c r="C9" s="23">
        <v>81</v>
      </c>
      <c r="D9" s="23" t="s">
        <v>31</v>
      </c>
      <c r="E9" s="23">
        <f>IF(D9="M",1,0)</f>
        <v>1</v>
      </c>
      <c r="F9" s="23" t="s">
        <v>12</v>
      </c>
      <c r="G9" s="5">
        <v>1</v>
      </c>
      <c r="H9" s="23">
        <v>1</v>
      </c>
      <c r="I9" s="23">
        <v>2</v>
      </c>
      <c r="J9" s="23">
        <v>2</v>
      </c>
      <c r="K9" s="27" t="s">
        <v>49</v>
      </c>
      <c r="L9" s="6">
        <f>20*60</f>
        <v>1200</v>
      </c>
      <c r="M9" s="28">
        <v>42658</v>
      </c>
      <c r="N9" s="23" t="s">
        <v>35</v>
      </c>
      <c r="O9" s="5">
        <v>0</v>
      </c>
      <c r="P9" s="23" t="s">
        <v>48</v>
      </c>
      <c r="Q9" s="26">
        <v>40500</v>
      </c>
      <c r="R9" s="26">
        <f>IF(Q9&gt;81,1,0)</f>
        <v>1</v>
      </c>
      <c r="S9" s="26">
        <v>278</v>
      </c>
      <c r="T9" s="26">
        <f>IF(S9&gt;16.3,1,0)</f>
        <v>1</v>
      </c>
      <c r="U9" s="26">
        <v>3.8</v>
      </c>
      <c r="V9" s="26">
        <f>IF(U9&lt;5.5,IF(U9&gt;3.7,0,1),1)</f>
        <v>0</v>
      </c>
      <c r="W9" s="26">
        <v>0.22</v>
      </c>
      <c r="X9" s="26">
        <f>IF(W9&gt;0.3,1,0)</f>
        <v>0</v>
      </c>
      <c r="Y9" s="26">
        <v>3930</v>
      </c>
      <c r="Z9" s="26">
        <v>1100</v>
      </c>
      <c r="AA9" s="26">
        <f>Y9/Z9</f>
        <v>3.5727272727272728</v>
      </c>
      <c r="AB9" s="23" t="s">
        <v>20</v>
      </c>
      <c r="AC9" s="23" t="s">
        <v>32</v>
      </c>
      <c r="AD9" s="23">
        <f>IF(AC9="PR",1,0)</f>
        <v>1</v>
      </c>
      <c r="AE9" s="25">
        <v>42668</v>
      </c>
      <c r="AF9" s="25">
        <v>42754</v>
      </c>
      <c r="AG9" s="23">
        <v>1</v>
      </c>
      <c r="AH9" s="24">
        <f t="shared" si="0"/>
        <v>86</v>
      </c>
      <c r="AI9" s="37">
        <v>0</v>
      </c>
      <c r="AJ9" s="37">
        <f>IF(AI9=0,0,1)</f>
        <v>0</v>
      </c>
      <c r="AK9" s="37">
        <v>0</v>
      </c>
      <c r="AL9" s="37">
        <f>IF(AK9=0,0,1)</f>
        <v>0</v>
      </c>
      <c r="AM9" s="37">
        <v>0</v>
      </c>
      <c r="AN9" s="37">
        <f>IF(AM9&gt;24,1,0)</f>
        <v>0</v>
      </c>
      <c r="AO9" s="37">
        <f>IF(AM9=0,0,1)</f>
        <v>0</v>
      </c>
      <c r="AP9" s="23" t="s">
        <v>20</v>
      </c>
      <c r="AQ9" s="25">
        <v>42877</v>
      </c>
      <c r="AR9" s="23">
        <v>1</v>
      </c>
      <c r="AS9" s="26">
        <f>_xlfn.DAYS(AQ9,AE9)</f>
        <v>209</v>
      </c>
    </row>
    <row r="10" spans="1:45" x14ac:dyDescent="0.55000000000000004">
      <c r="A10" s="4" t="s">
        <v>10</v>
      </c>
      <c r="B10" s="24">
        <v>9</v>
      </c>
      <c r="C10" s="23">
        <v>71</v>
      </c>
      <c r="D10" s="23" t="s">
        <v>11</v>
      </c>
      <c r="E10" s="23">
        <f>IF(D10="M",1,0)</f>
        <v>0</v>
      </c>
      <c r="F10" s="23" t="s">
        <v>12</v>
      </c>
      <c r="G10" s="5">
        <v>1</v>
      </c>
      <c r="H10" s="23">
        <v>1</v>
      </c>
      <c r="I10" s="23">
        <v>1</v>
      </c>
      <c r="J10" s="23">
        <v>1</v>
      </c>
      <c r="K10" s="27" t="s">
        <v>60</v>
      </c>
      <c r="L10" s="6">
        <f>20*53</f>
        <v>1060</v>
      </c>
      <c r="M10" s="28">
        <v>42713</v>
      </c>
      <c r="N10" s="23" t="s">
        <v>35</v>
      </c>
      <c r="O10" s="5">
        <v>0</v>
      </c>
      <c r="P10" s="23" t="s">
        <v>44</v>
      </c>
      <c r="Q10" s="26">
        <v>2830</v>
      </c>
      <c r="R10" s="26">
        <f>IF(Q10&gt;81,1,0)</f>
        <v>1</v>
      </c>
      <c r="S10" s="26">
        <v>83.2</v>
      </c>
      <c r="T10" s="26">
        <f>IF(S10&gt;16.3,1,0)</f>
        <v>1</v>
      </c>
      <c r="U10" s="26">
        <v>3.5</v>
      </c>
      <c r="V10" s="26">
        <f>IF(U10&lt;5.5,IF(U10&gt;3.7,0,1),1)</f>
        <v>1</v>
      </c>
      <c r="W10" s="26">
        <v>0.83</v>
      </c>
      <c r="X10" s="26">
        <f>IF(W10&gt;0.3,1,0)</f>
        <v>1</v>
      </c>
      <c r="Y10" s="26">
        <v>3230</v>
      </c>
      <c r="Z10" s="26">
        <v>1800</v>
      </c>
      <c r="AA10" s="26">
        <f>Y10/Z10</f>
        <v>1.7944444444444445</v>
      </c>
      <c r="AB10" s="23" t="s">
        <v>20</v>
      </c>
      <c r="AC10" s="23" t="s">
        <v>32</v>
      </c>
      <c r="AD10" s="23">
        <f>IF(AC10="PR",1,0)</f>
        <v>1</v>
      </c>
      <c r="AE10" s="25">
        <v>42725</v>
      </c>
      <c r="AF10" s="25">
        <v>42868</v>
      </c>
      <c r="AG10" s="23">
        <v>1</v>
      </c>
      <c r="AH10" s="24">
        <f t="shared" si="0"/>
        <v>143</v>
      </c>
      <c r="AI10" s="37">
        <v>0</v>
      </c>
      <c r="AJ10" s="37">
        <f>IF(AI10=0,0,1)</f>
        <v>0</v>
      </c>
      <c r="AK10" s="37">
        <v>0</v>
      </c>
      <c r="AL10" s="37">
        <f>IF(AK10=0,0,1)</f>
        <v>0</v>
      </c>
      <c r="AM10" s="37">
        <v>0</v>
      </c>
      <c r="AN10" s="37">
        <f>IF(AM10&gt;24,1,0)</f>
        <v>0</v>
      </c>
      <c r="AO10" s="37">
        <f>IF(AM10=0,0,1)</f>
        <v>0</v>
      </c>
      <c r="AP10" s="23" t="s">
        <v>20</v>
      </c>
      <c r="AQ10" s="25">
        <v>43035</v>
      </c>
      <c r="AR10" s="23">
        <v>0</v>
      </c>
      <c r="AS10" s="26">
        <f>_xlfn.DAYS(AQ10,AE10)</f>
        <v>310</v>
      </c>
    </row>
    <row r="11" spans="1:45" x14ac:dyDescent="0.55000000000000004">
      <c r="A11" s="4" t="s">
        <v>10</v>
      </c>
      <c r="B11" s="22">
        <v>10</v>
      </c>
      <c r="C11" s="5">
        <v>81</v>
      </c>
      <c r="D11" s="5" t="s">
        <v>31</v>
      </c>
      <c r="E11" s="23">
        <f>IF(D11="M",1,0)</f>
        <v>1</v>
      </c>
      <c r="F11" s="23" t="s">
        <v>12</v>
      </c>
      <c r="G11" s="5">
        <v>1</v>
      </c>
      <c r="H11" s="23">
        <v>1</v>
      </c>
      <c r="I11" s="5">
        <v>0</v>
      </c>
      <c r="J11" s="23">
        <v>0</v>
      </c>
      <c r="K11" s="6" t="s">
        <v>47</v>
      </c>
      <c r="L11" s="6">
        <f>30*60</f>
        <v>1800</v>
      </c>
      <c r="M11" s="7">
        <v>42748</v>
      </c>
      <c r="N11" s="5" t="s">
        <v>35</v>
      </c>
      <c r="O11" s="5">
        <v>0</v>
      </c>
      <c r="P11" s="5" t="s">
        <v>16</v>
      </c>
      <c r="Q11" s="3">
        <v>2280</v>
      </c>
      <c r="R11" s="26">
        <f>IF(Q11&gt;81,1,0)</f>
        <v>1</v>
      </c>
      <c r="S11" s="3">
        <v>27.6</v>
      </c>
      <c r="T11" s="26">
        <f>IF(S11&gt;16.3,1,0)</f>
        <v>1</v>
      </c>
      <c r="U11" s="3">
        <v>3.9</v>
      </c>
      <c r="V11" s="26">
        <f>IF(U11&lt;5.5,IF(U11&gt;3.7,0,1),1)</f>
        <v>0</v>
      </c>
      <c r="W11" s="3">
        <v>0.04</v>
      </c>
      <c r="X11" s="26">
        <f>IF(W11&gt;0.3,1,0)</f>
        <v>0</v>
      </c>
      <c r="Y11" s="3">
        <v>2690</v>
      </c>
      <c r="Z11" s="3">
        <v>1490</v>
      </c>
      <c r="AA11" s="3">
        <f>Y11/Z11</f>
        <v>1.8053691275167785</v>
      </c>
      <c r="AB11" s="5" t="s">
        <v>20</v>
      </c>
      <c r="AC11" s="5" t="s">
        <v>32</v>
      </c>
      <c r="AD11" s="23">
        <f>IF(AC11="PR",1,0)</f>
        <v>1</v>
      </c>
      <c r="AE11" s="1">
        <v>42765</v>
      </c>
      <c r="AF11" s="1">
        <v>42926</v>
      </c>
      <c r="AG11" s="23">
        <v>1</v>
      </c>
      <c r="AH11" s="24">
        <f t="shared" si="0"/>
        <v>161</v>
      </c>
      <c r="AI11" s="37">
        <v>0</v>
      </c>
      <c r="AJ11" s="37">
        <f>IF(AI11=0,0,1)</f>
        <v>0</v>
      </c>
      <c r="AK11" s="37">
        <v>0</v>
      </c>
      <c r="AL11" s="37">
        <f>IF(AK11=0,0,1)</f>
        <v>0</v>
      </c>
      <c r="AM11" s="37">
        <v>0</v>
      </c>
      <c r="AN11" s="37">
        <f>IF(AM11&gt;24,1,0)</f>
        <v>0</v>
      </c>
      <c r="AO11" s="37">
        <f>IF(AM11=0,0,1)</f>
        <v>0</v>
      </c>
      <c r="AP11" s="5" t="s">
        <v>58</v>
      </c>
      <c r="AQ11" s="25">
        <v>43039</v>
      </c>
      <c r="AR11" s="23">
        <v>0</v>
      </c>
      <c r="AS11" s="3">
        <f>_xlfn.DAYS(AQ11,AE11)</f>
        <v>274</v>
      </c>
    </row>
    <row r="12" spans="1:45" x14ac:dyDescent="0.55000000000000004">
      <c r="A12" s="4" t="s">
        <v>10</v>
      </c>
      <c r="B12" s="24">
        <v>11</v>
      </c>
      <c r="C12" s="23">
        <v>84</v>
      </c>
      <c r="D12" s="23" t="s">
        <v>31</v>
      </c>
      <c r="E12" s="23">
        <f>IF(D12="M",1,0)</f>
        <v>1</v>
      </c>
      <c r="F12" s="23" t="s">
        <v>12</v>
      </c>
      <c r="G12" s="5">
        <v>1</v>
      </c>
      <c r="H12" s="23">
        <v>1</v>
      </c>
      <c r="I12" s="23">
        <v>3</v>
      </c>
      <c r="J12" s="23">
        <v>2</v>
      </c>
      <c r="K12" s="27" t="s">
        <v>34</v>
      </c>
      <c r="L12" s="6">
        <f>25*50</f>
        <v>1250</v>
      </c>
      <c r="M12" s="28">
        <v>42975</v>
      </c>
      <c r="N12" s="23" t="s">
        <v>35</v>
      </c>
      <c r="O12" s="5">
        <v>0</v>
      </c>
      <c r="P12" s="23" t="s">
        <v>16</v>
      </c>
      <c r="Q12" s="26">
        <v>22.2</v>
      </c>
      <c r="R12" s="26">
        <f>IF(Q12&gt;81,1,0)</f>
        <v>0</v>
      </c>
      <c r="S12" s="26">
        <v>14.4</v>
      </c>
      <c r="T12" s="26">
        <f>IF(S12&gt;16.3,1,0)</f>
        <v>0</v>
      </c>
      <c r="U12" s="26">
        <v>1.9</v>
      </c>
      <c r="V12" s="26">
        <f>IF(U12&lt;5.5,IF(U12&gt;3.7,0,1),1)</f>
        <v>1</v>
      </c>
      <c r="W12" s="26">
        <v>7.6</v>
      </c>
      <c r="X12" s="26">
        <f>IF(W12&gt;0.3,1,0)</f>
        <v>1</v>
      </c>
      <c r="Y12" s="26">
        <v>5260</v>
      </c>
      <c r="Z12" s="26">
        <v>670</v>
      </c>
      <c r="AA12" s="26">
        <f>Y12/Z12</f>
        <v>7.8507462686567164</v>
      </c>
      <c r="AB12" s="23" t="s">
        <v>20</v>
      </c>
      <c r="AC12" s="23" t="s">
        <v>32</v>
      </c>
      <c r="AD12" s="23">
        <f>IF(AC12="PR",1,0)</f>
        <v>1</v>
      </c>
      <c r="AE12" s="25">
        <v>43005</v>
      </c>
      <c r="AF12" s="25">
        <v>43298</v>
      </c>
      <c r="AG12" s="23">
        <v>0</v>
      </c>
      <c r="AH12" s="24">
        <f t="shared" si="0"/>
        <v>293</v>
      </c>
      <c r="AI12" s="37">
        <v>0</v>
      </c>
      <c r="AJ12" s="37">
        <f>IF(AI12=0,0,1)</f>
        <v>0</v>
      </c>
      <c r="AK12" s="37">
        <v>20</v>
      </c>
      <c r="AL12" s="37">
        <f>IF(AK12=0,0,1)</f>
        <v>1</v>
      </c>
      <c r="AM12" s="37">
        <v>5</v>
      </c>
      <c r="AN12" s="37">
        <f>IF(AM12&gt;24,1,0)</f>
        <v>0</v>
      </c>
      <c r="AO12" s="37">
        <f>IF(AM12=0,0,1)</f>
        <v>1</v>
      </c>
      <c r="AP12" s="23" t="s">
        <v>20</v>
      </c>
      <c r="AQ12" s="25">
        <v>43356</v>
      </c>
      <c r="AR12" s="23">
        <v>0</v>
      </c>
      <c r="AS12" s="26">
        <f>_xlfn.DAYS(AQ12,AE12)</f>
        <v>351</v>
      </c>
    </row>
    <row r="13" spans="1:45" x14ac:dyDescent="0.55000000000000004">
      <c r="A13" s="4" t="s">
        <v>10</v>
      </c>
      <c r="B13" s="22">
        <v>12</v>
      </c>
      <c r="C13" s="5">
        <v>73</v>
      </c>
      <c r="D13" s="5" t="s">
        <v>11</v>
      </c>
      <c r="E13" s="23">
        <f>IF(D13="M",1,0)</f>
        <v>0</v>
      </c>
      <c r="F13" s="23" t="s">
        <v>12</v>
      </c>
      <c r="G13" s="5">
        <v>1</v>
      </c>
      <c r="H13" s="23">
        <v>1</v>
      </c>
      <c r="I13" s="23">
        <v>0</v>
      </c>
      <c r="J13" s="23">
        <v>0</v>
      </c>
      <c r="K13" s="27" t="s">
        <v>40</v>
      </c>
      <c r="L13" s="27">
        <f>10*53</f>
        <v>530</v>
      </c>
      <c r="M13" s="28">
        <v>43105</v>
      </c>
      <c r="N13" s="5" t="s">
        <v>35</v>
      </c>
      <c r="O13" s="5">
        <v>0</v>
      </c>
      <c r="P13" s="5" t="s">
        <v>41</v>
      </c>
      <c r="Q13" s="26">
        <v>3770</v>
      </c>
      <c r="R13" s="26">
        <f>IF(Q13&gt;81,1,0)</f>
        <v>1</v>
      </c>
      <c r="S13" s="26">
        <v>74.7</v>
      </c>
      <c r="T13" s="26">
        <f>IF(S13&gt;16.3,1,0)</f>
        <v>1</v>
      </c>
      <c r="U13" s="26">
        <v>4.0999999999999996</v>
      </c>
      <c r="V13" s="26">
        <f>IF(U13&lt;5.5,IF(U13&gt;3.7,0,1),1)</f>
        <v>0</v>
      </c>
      <c r="W13" s="26">
        <v>0.67</v>
      </c>
      <c r="X13" s="26">
        <f>IF(W13&gt;0.3,1,0)</f>
        <v>1</v>
      </c>
      <c r="Y13" s="26">
        <v>2890</v>
      </c>
      <c r="Z13" s="26">
        <v>1180</v>
      </c>
      <c r="AA13" s="26">
        <f>Y13/Z13</f>
        <v>2.4491525423728815</v>
      </c>
      <c r="AB13" s="23" t="s">
        <v>20</v>
      </c>
      <c r="AC13" s="5" t="s">
        <v>32</v>
      </c>
      <c r="AD13" s="23">
        <f>IF(AC13="PR",1,0)</f>
        <v>1</v>
      </c>
      <c r="AE13" s="25">
        <v>43137</v>
      </c>
      <c r="AF13" s="25">
        <v>43311</v>
      </c>
      <c r="AG13" s="23">
        <v>1</v>
      </c>
      <c r="AH13" s="24">
        <f t="shared" si="0"/>
        <v>174</v>
      </c>
      <c r="AI13" s="37">
        <v>0</v>
      </c>
      <c r="AJ13" s="37">
        <f>IF(AI13=0,0,1)</f>
        <v>0</v>
      </c>
      <c r="AK13" s="37">
        <v>0</v>
      </c>
      <c r="AL13" s="37">
        <f>IF(AK13=0,0,1)</f>
        <v>0</v>
      </c>
      <c r="AM13" s="37">
        <v>0</v>
      </c>
      <c r="AN13" s="37">
        <f>IF(AM13&gt;24,1,0)</f>
        <v>0</v>
      </c>
      <c r="AO13" s="37">
        <f>IF(AM13=0,0,1)</f>
        <v>0</v>
      </c>
      <c r="AP13" s="23" t="s">
        <v>20</v>
      </c>
      <c r="AQ13" s="25">
        <v>43377</v>
      </c>
      <c r="AR13" s="23">
        <v>0</v>
      </c>
      <c r="AS13" s="26">
        <f>_xlfn.DAYS(AQ13,AE13)</f>
        <v>240</v>
      </c>
    </row>
    <row r="14" spans="1:45" x14ac:dyDescent="0.55000000000000004">
      <c r="A14" s="4" t="s">
        <v>10</v>
      </c>
      <c r="B14" s="24">
        <v>13</v>
      </c>
      <c r="C14" s="23">
        <v>77</v>
      </c>
      <c r="D14" s="23" t="s">
        <v>11</v>
      </c>
      <c r="E14" s="23">
        <f>IF(D14="M",1,0)</f>
        <v>0</v>
      </c>
      <c r="F14" s="23" t="s">
        <v>12</v>
      </c>
      <c r="G14" s="5">
        <v>1</v>
      </c>
      <c r="H14" s="23">
        <v>1</v>
      </c>
      <c r="I14" s="23">
        <v>1</v>
      </c>
      <c r="J14" s="23">
        <v>1</v>
      </c>
      <c r="K14" s="27" t="s">
        <v>13</v>
      </c>
      <c r="L14" s="27">
        <f>3*3</f>
        <v>9</v>
      </c>
      <c r="M14" s="8">
        <v>43205</v>
      </c>
      <c r="N14" s="2" t="s">
        <v>15</v>
      </c>
      <c r="O14" s="5">
        <v>1</v>
      </c>
      <c r="P14" s="23" t="s">
        <v>16</v>
      </c>
      <c r="Q14" s="26">
        <v>118.2</v>
      </c>
      <c r="R14" s="26">
        <f>IF(Q14&gt;81,1,0)</f>
        <v>1</v>
      </c>
      <c r="S14" s="26">
        <v>44.5</v>
      </c>
      <c r="T14" s="26">
        <f>IF(S14&gt;16.3,1,0)</f>
        <v>1</v>
      </c>
      <c r="U14" s="26">
        <v>4.0999999999999996</v>
      </c>
      <c r="V14" s="26">
        <f>IF(U14&lt;5.5,IF(U14&gt;3.7,0,1),1)</f>
        <v>0</v>
      </c>
      <c r="W14" s="26">
        <v>2.5</v>
      </c>
      <c r="X14" s="26">
        <f>IF(W14&gt;0.3,1,0)</f>
        <v>1</v>
      </c>
      <c r="Y14" s="26">
        <v>6200</v>
      </c>
      <c r="Z14" s="26">
        <v>1490</v>
      </c>
      <c r="AA14" s="26">
        <f>Y14/Z14</f>
        <v>4.1610738255033555</v>
      </c>
      <c r="AB14" s="23" t="s">
        <v>20</v>
      </c>
      <c r="AC14" s="23" t="s">
        <v>23</v>
      </c>
      <c r="AD14" s="23">
        <f>IF(AC14="PR",1,0)</f>
        <v>0</v>
      </c>
      <c r="AE14" s="25">
        <v>43231</v>
      </c>
      <c r="AF14" s="25">
        <v>43283</v>
      </c>
      <c r="AG14" s="23">
        <v>1</v>
      </c>
      <c r="AH14" s="24">
        <f t="shared" si="0"/>
        <v>52</v>
      </c>
      <c r="AI14" s="37">
        <v>10</v>
      </c>
      <c r="AJ14" s="37">
        <f>IF(AI14=0,0,1)</f>
        <v>1</v>
      </c>
      <c r="AK14" s="37">
        <v>20</v>
      </c>
      <c r="AL14" s="37">
        <f>IF(AK14=0,0,1)</f>
        <v>1</v>
      </c>
      <c r="AM14" s="37">
        <v>30</v>
      </c>
      <c r="AN14" s="37">
        <f>IF(AM14&gt;24,1,0)</f>
        <v>1</v>
      </c>
      <c r="AO14" s="37">
        <f>IF(AM14=0,0,1)</f>
        <v>1</v>
      </c>
      <c r="AP14" s="23" t="s">
        <v>20</v>
      </c>
      <c r="AQ14" s="25">
        <v>43381</v>
      </c>
      <c r="AR14" s="23">
        <v>0</v>
      </c>
      <c r="AS14" s="26">
        <f>_xlfn.DAYS(AQ14,AE14)</f>
        <v>150</v>
      </c>
    </row>
    <row r="15" spans="1:45" x14ac:dyDescent="0.55000000000000004">
      <c r="A15" s="4" t="s">
        <v>10</v>
      </c>
      <c r="B15" s="24">
        <v>14</v>
      </c>
      <c r="C15" s="23">
        <v>66</v>
      </c>
      <c r="D15" s="23" t="s">
        <v>31</v>
      </c>
      <c r="E15" s="23">
        <f>IF(D15="M",1,0)</f>
        <v>1</v>
      </c>
      <c r="F15" s="23" t="s">
        <v>12</v>
      </c>
      <c r="G15" s="5">
        <v>1</v>
      </c>
      <c r="H15" s="23">
        <v>1</v>
      </c>
      <c r="I15" s="23">
        <v>0</v>
      </c>
      <c r="J15" s="23">
        <v>0</v>
      </c>
      <c r="K15" s="27" t="s">
        <v>75</v>
      </c>
      <c r="L15" s="27">
        <f>15*46</f>
        <v>690</v>
      </c>
      <c r="M15" s="28">
        <v>42655</v>
      </c>
      <c r="N15" s="23" t="s">
        <v>70</v>
      </c>
      <c r="O15" s="5">
        <v>0</v>
      </c>
      <c r="P15" s="23" t="s">
        <v>82</v>
      </c>
      <c r="Q15" s="26">
        <v>567</v>
      </c>
      <c r="R15" s="26">
        <f>IF(Q15&gt;81,1,0)</f>
        <v>1</v>
      </c>
      <c r="S15" s="26">
        <v>15.5</v>
      </c>
      <c r="T15" s="26">
        <f>IF(S15&gt;16.3,1,0)</f>
        <v>0</v>
      </c>
      <c r="U15" s="26">
        <v>4.0999999999999996</v>
      </c>
      <c r="V15" s="26">
        <f>IF(U15&lt;5.5,IF(U15&gt;3.7,0,1),1)</f>
        <v>0</v>
      </c>
      <c r="W15" s="26">
        <v>0.17</v>
      </c>
      <c r="X15" s="26">
        <f>IF(W15&gt;0.3,1,0)</f>
        <v>0</v>
      </c>
      <c r="Y15" s="26">
        <v>5730</v>
      </c>
      <c r="Z15" s="26">
        <v>4200</v>
      </c>
      <c r="AA15" s="26">
        <f>Y15/Z15</f>
        <v>1.3642857142857143</v>
      </c>
      <c r="AB15" s="23" t="s">
        <v>54</v>
      </c>
      <c r="AC15" s="23" t="s">
        <v>76</v>
      </c>
      <c r="AD15" s="23">
        <f>IF(AC15="PR",1,0)</f>
        <v>1</v>
      </c>
      <c r="AE15" s="25">
        <v>42668</v>
      </c>
      <c r="AF15" s="25">
        <v>42846</v>
      </c>
      <c r="AG15" s="23">
        <v>1</v>
      </c>
      <c r="AH15" s="24">
        <f t="shared" si="0"/>
        <v>178</v>
      </c>
      <c r="AI15" s="37">
        <v>0</v>
      </c>
      <c r="AJ15" s="37">
        <f>IF(AI15=0,0,1)</f>
        <v>0</v>
      </c>
      <c r="AK15" s="37">
        <v>0</v>
      </c>
      <c r="AL15" s="37">
        <f>IF(AK15=0,0,1)</f>
        <v>0</v>
      </c>
      <c r="AM15" s="37">
        <v>0</v>
      </c>
      <c r="AN15" s="37">
        <f>IF(AM15&gt;24,1,0)</f>
        <v>0</v>
      </c>
      <c r="AO15" s="37">
        <f>IF(AM15=0,0,1)</f>
        <v>0</v>
      </c>
      <c r="AP15" s="23" t="s">
        <v>77</v>
      </c>
      <c r="AQ15" s="25">
        <v>43480</v>
      </c>
      <c r="AR15" s="23">
        <v>0</v>
      </c>
      <c r="AS15" s="26">
        <f>_xlfn.DAYS(AQ15,AE15)</f>
        <v>812</v>
      </c>
    </row>
    <row r="16" spans="1:45" x14ac:dyDescent="0.55000000000000004">
      <c r="A16" s="4" t="s">
        <v>10</v>
      </c>
      <c r="B16" s="24">
        <v>15</v>
      </c>
      <c r="C16" s="23">
        <v>67</v>
      </c>
      <c r="D16" s="23" t="s">
        <v>78</v>
      </c>
      <c r="E16" s="23">
        <f>IF(D16="M",1,0)</f>
        <v>1</v>
      </c>
      <c r="F16" s="23" t="s">
        <v>12</v>
      </c>
      <c r="G16" s="5">
        <v>1</v>
      </c>
      <c r="H16" s="23">
        <v>1</v>
      </c>
      <c r="I16" s="23">
        <v>1</v>
      </c>
      <c r="J16" s="23">
        <v>1</v>
      </c>
      <c r="K16" s="27" t="s">
        <v>79</v>
      </c>
      <c r="L16" s="27">
        <f>20*49</f>
        <v>980</v>
      </c>
      <c r="M16" s="28">
        <v>42219</v>
      </c>
      <c r="N16" s="23" t="s">
        <v>80</v>
      </c>
      <c r="O16" s="5">
        <v>0</v>
      </c>
      <c r="P16" s="23" t="s">
        <v>81</v>
      </c>
      <c r="Q16" s="26">
        <v>66.400000000000006</v>
      </c>
      <c r="R16" s="26">
        <f>IF(Q16&gt;81,1,0)</f>
        <v>0</v>
      </c>
      <c r="S16" s="26">
        <v>19.3</v>
      </c>
      <c r="T16" s="26">
        <f>IF(S16&gt;16.3,1,0)</f>
        <v>1</v>
      </c>
      <c r="U16" s="26">
        <v>2.6</v>
      </c>
      <c r="V16" s="26">
        <f>IF(U16&lt;5.5,IF(U16&gt;3.7,0,1),1)</f>
        <v>1</v>
      </c>
      <c r="W16" s="26">
        <v>10.31</v>
      </c>
      <c r="X16" s="26">
        <f>IF(W16&gt;0.3,1,0)</f>
        <v>1</v>
      </c>
      <c r="Y16" s="26">
        <v>15000</v>
      </c>
      <c r="Z16" s="26">
        <v>2700</v>
      </c>
      <c r="AA16" s="26">
        <f>Y16/Z16</f>
        <v>5.5555555555555554</v>
      </c>
      <c r="AB16" s="23" t="s">
        <v>83</v>
      </c>
      <c r="AC16" s="23" t="s">
        <v>84</v>
      </c>
      <c r="AD16" s="23">
        <f>IF(AC16="PR",1,0)</f>
        <v>0</v>
      </c>
      <c r="AE16" s="25">
        <v>42247</v>
      </c>
      <c r="AF16" s="25">
        <v>42334</v>
      </c>
      <c r="AG16" s="23">
        <v>1</v>
      </c>
      <c r="AH16" s="24">
        <f t="shared" si="0"/>
        <v>87</v>
      </c>
      <c r="AI16" s="37">
        <v>0</v>
      </c>
      <c r="AJ16" s="37">
        <f>IF(AI16=0,0,1)</f>
        <v>0</v>
      </c>
      <c r="AK16" s="37">
        <v>0</v>
      </c>
      <c r="AL16" s="37">
        <f>IF(AK16=0,0,1)</f>
        <v>0</v>
      </c>
      <c r="AM16" s="37">
        <v>0</v>
      </c>
      <c r="AN16" s="37">
        <f>IF(AM16&gt;24,1,0)</f>
        <v>0</v>
      </c>
      <c r="AO16" s="37">
        <f>IF(AM16=0,0,1)</f>
        <v>0</v>
      </c>
      <c r="AP16" s="23" t="s">
        <v>85</v>
      </c>
      <c r="AQ16" s="25">
        <v>42543</v>
      </c>
      <c r="AR16" s="23">
        <v>1</v>
      </c>
      <c r="AS16" s="26">
        <f>_xlfn.DAYS(AQ16,AE16)</f>
        <v>296</v>
      </c>
    </row>
    <row r="17" spans="1:45" x14ac:dyDescent="0.55000000000000004">
      <c r="A17" s="21" t="s">
        <v>67</v>
      </c>
      <c r="B17" s="24">
        <v>16</v>
      </c>
      <c r="C17" s="23">
        <v>74</v>
      </c>
      <c r="D17" s="23" t="s">
        <v>31</v>
      </c>
      <c r="E17" s="5">
        <f>IF(D17="M",1,0)</f>
        <v>1</v>
      </c>
      <c r="F17" s="23" t="s">
        <v>88</v>
      </c>
      <c r="G17" s="5">
        <v>0</v>
      </c>
      <c r="H17" s="23">
        <v>0</v>
      </c>
      <c r="I17" s="23">
        <v>0</v>
      </c>
      <c r="J17" s="23">
        <v>0</v>
      </c>
      <c r="K17" s="27" t="s">
        <v>87</v>
      </c>
      <c r="L17" s="6">
        <v>540</v>
      </c>
      <c r="M17" s="28">
        <v>42145</v>
      </c>
      <c r="N17" s="23" t="s">
        <v>68</v>
      </c>
      <c r="O17" s="5">
        <v>1</v>
      </c>
      <c r="P17" s="23" t="s">
        <v>69</v>
      </c>
      <c r="Q17" s="26">
        <v>20</v>
      </c>
      <c r="R17" s="26">
        <f>IF(Q17&gt;81,1,0)</f>
        <v>0</v>
      </c>
      <c r="S17" s="26">
        <v>25.8</v>
      </c>
      <c r="T17" s="26">
        <f>IF(S17&gt;16.3,1,0)</f>
        <v>1</v>
      </c>
      <c r="U17" s="26">
        <v>3.6</v>
      </c>
      <c r="V17" s="26">
        <f>IF(U17&lt;5.5,IF(U17&gt;3.7,0,1),1)</f>
        <v>1</v>
      </c>
      <c r="W17" s="26">
        <v>0.44</v>
      </c>
      <c r="X17" s="26">
        <f>IF(W17&gt;0.3,1,0)</f>
        <v>1</v>
      </c>
      <c r="Y17" s="26">
        <v>3390</v>
      </c>
      <c r="Z17" s="26">
        <v>1860</v>
      </c>
      <c r="AA17" s="26">
        <f>Y17/Z17</f>
        <v>1.8225806451612903</v>
      </c>
      <c r="AB17" s="23" t="s">
        <v>141</v>
      </c>
      <c r="AC17" s="23"/>
      <c r="AE17" s="25">
        <v>42178</v>
      </c>
      <c r="AF17" s="25">
        <v>43423</v>
      </c>
      <c r="AG17" s="26">
        <v>0</v>
      </c>
      <c r="AH17" s="9">
        <f>_xlfn.DAYS(AF17,AE17)</f>
        <v>1245</v>
      </c>
      <c r="AI17" s="37">
        <v>0</v>
      </c>
      <c r="AJ17" s="37">
        <f>IF(AI17=0,0,1)</f>
        <v>0</v>
      </c>
      <c r="AK17" s="37">
        <v>0</v>
      </c>
      <c r="AL17" s="37">
        <f>IF(AK17=0,0,1)</f>
        <v>0</v>
      </c>
      <c r="AM17" s="37">
        <v>0</v>
      </c>
      <c r="AN17" s="37">
        <f>IF(AM17&gt;24,1,0)</f>
        <v>0</v>
      </c>
      <c r="AO17" s="37">
        <f>IF(AM17=0,0,1)</f>
        <v>0</v>
      </c>
      <c r="AP17" s="23" t="s">
        <v>74</v>
      </c>
      <c r="AQ17" s="25">
        <v>43423</v>
      </c>
      <c r="AR17" s="26">
        <v>0</v>
      </c>
      <c r="AS17" s="26">
        <f>_xlfn.DAYS(AQ17,AE17)</f>
        <v>1245</v>
      </c>
    </row>
    <row r="18" spans="1:45" x14ac:dyDescent="0.55000000000000004">
      <c r="A18" s="21" t="s">
        <v>67</v>
      </c>
      <c r="B18" s="9">
        <v>17</v>
      </c>
      <c r="C18" s="5">
        <v>73</v>
      </c>
      <c r="D18" s="5" t="s">
        <v>31</v>
      </c>
      <c r="E18" s="5">
        <f>IF(D18="M",1,0)</f>
        <v>1</v>
      </c>
      <c r="F18" s="5" t="s">
        <v>88</v>
      </c>
      <c r="G18" s="5">
        <v>0</v>
      </c>
      <c r="H18" s="23">
        <v>0</v>
      </c>
      <c r="I18" s="5">
        <v>0</v>
      </c>
      <c r="J18" s="23">
        <v>0</v>
      </c>
      <c r="K18" s="6" t="s">
        <v>86</v>
      </c>
      <c r="L18" s="6">
        <v>750</v>
      </c>
      <c r="M18" s="7">
        <v>42623</v>
      </c>
      <c r="N18" s="5" t="s">
        <v>70</v>
      </c>
      <c r="O18" s="5">
        <v>0</v>
      </c>
      <c r="P18" s="5" t="s">
        <v>69</v>
      </c>
      <c r="U18" s="3">
        <v>4.2</v>
      </c>
      <c r="V18" s="26">
        <f>IF(U18&lt;5.5,IF(U18&gt;3.7,0,1),1)</f>
        <v>0</v>
      </c>
      <c r="W18" s="3">
        <v>0.05</v>
      </c>
      <c r="X18" s="26">
        <f>IF(W18&gt;0.3,1,0)</f>
        <v>0</v>
      </c>
      <c r="Y18" s="3">
        <v>3170</v>
      </c>
      <c r="Z18" s="3">
        <v>2340</v>
      </c>
      <c r="AA18" s="3">
        <f>Y18/Z18</f>
        <v>1.3547008547008548</v>
      </c>
      <c r="AB18" s="23" t="s">
        <v>141</v>
      </c>
      <c r="AE18" s="1">
        <v>42668</v>
      </c>
      <c r="AF18" s="1">
        <v>42930</v>
      </c>
      <c r="AG18" s="3">
        <v>0</v>
      </c>
      <c r="AH18" s="9">
        <f>_xlfn.DAYS(AF18,AE18)</f>
        <v>262</v>
      </c>
      <c r="AI18" s="37">
        <v>0</v>
      </c>
      <c r="AJ18" s="37">
        <f>IF(AI18=0,0,1)</f>
        <v>0</v>
      </c>
      <c r="AK18" s="37">
        <v>0</v>
      </c>
      <c r="AL18" s="37">
        <f>IF(AK18=0,0,1)</f>
        <v>0</v>
      </c>
      <c r="AM18" s="37">
        <v>0</v>
      </c>
      <c r="AN18" s="37">
        <f>IF(AM18&gt;24,1,0)</f>
        <v>0</v>
      </c>
      <c r="AO18" s="37">
        <f>IF(AM18=0,0,1)</f>
        <v>0</v>
      </c>
      <c r="AP18" s="5" t="s">
        <v>54</v>
      </c>
      <c r="AQ18" s="1">
        <v>43353</v>
      </c>
      <c r="AR18" s="26">
        <v>0</v>
      </c>
      <c r="AS18" s="3">
        <f>_xlfn.DAYS(AQ18,AE18)</f>
        <v>685</v>
      </c>
    </row>
    <row r="19" spans="1:45" x14ac:dyDescent="0.55000000000000004">
      <c r="A19" s="21" t="s">
        <v>67</v>
      </c>
      <c r="B19" s="22">
        <v>18</v>
      </c>
      <c r="C19" s="5">
        <v>65</v>
      </c>
      <c r="D19" s="5" t="s">
        <v>31</v>
      </c>
      <c r="E19" s="5">
        <f>IF(D19="M",1,0)</f>
        <v>1</v>
      </c>
      <c r="F19" s="5" t="s">
        <v>89</v>
      </c>
      <c r="G19" s="5">
        <v>0</v>
      </c>
      <c r="H19" s="23">
        <v>0</v>
      </c>
      <c r="I19" s="5">
        <v>0</v>
      </c>
      <c r="J19" s="23">
        <v>0</v>
      </c>
      <c r="K19" s="6" t="s">
        <v>90</v>
      </c>
      <c r="L19" s="6">
        <f>25*39</f>
        <v>975</v>
      </c>
      <c r="M19" s="7">
        <v>42361</v>
      </c>
      <c r="N19" s="5" t="s">
        <v>70</v>
      </c>
      <c r="O19" s="5">
        <v>0</v>
      </c>
      <c r="P19" s="5" t="s">
        <v>69</v>
      </c>
      <c r="Q19" s="3">
        <v>137</v>
      </c>
      <c r="R19" s="26">
        <f>IF(Q19&gt;81,1,0)</f>
        <v>1</v>
      </c>
      <c r="S19" s="3">
        <v>14.4</v>
      </c>
      <c r="T19" s="26">
        <f>IF(S19&gt;16.3,1,0)</f>
        <v>0</v>
      </c>
      <c r="U19" s="3">
        <v>3.9</v>
      </c>
      <c r="V19" s="26">
        <f>IF(U19&lt;5.5,IF(U19&gt;3.7,0,1),1)</f>
        <v>0</v>
      </c>
      <c r="W19" s="3">
        <v>0.28000000000000003</v>
      </c>
      <c r="X19" s="26">
        <f>IF(W19&gt;0.3,1,0)</f>
        <v>0</v>
      </c>
      <c r="Y19" s="3">
        <v>4200</v>
      </c>
      <c r="Z19" s="3">
        <v>2190</v>
      </c>
      <c r="AA19" s="3">
        <f>Y19/Z19</f>
        <v>1.9178082191780821</v>
      </c>
      <c r="AB19" s="23" t="s">
        <v>141</v>
      </c>
      <c r="AE19" s="1">
        <v>42376</v>
      </c>
      <c r="AF19" s="1">
        <v>43446</v>
      </c>
      <c r="AG19" s="3">
        <v>0</v>
      </c>
      <c r="AH19" s="9">
        <f>_xlfn.DAYS(AF19,AE19)</f>
        <v>1070</v>
      </c>
      <c r="AI19" s="37">
        <v>10</v>
      </c>
      <c r="AJ19" s="37">
        <f>IF(AI19=0,0,1)</f>
        <v>1</v>
      </c>
      <c r="AK19" s="37">
        <v>10</v>
      </c>
      <c r="AL19" s="37">
        <f>IF(AK19=0,0,1)</f>
        <v>1</v>
      </c>
      <c r="AM19" s="37">
        <v>30</v>
      </c>
      <c r="AN19" s="37">
        <f>IF(AM19&gt;24,1,0)</f>
        <v>1</v>
      </c>
      <c r="AO19" s="37">
        <f>IF(AM19=0,0,1)</f>
        <v>1</v>
      </c>
      <c r="AP19" s="5" t="s">
        <v>73</v>
      </c>
      <c r="AQ19" s="1">
        <v>43453</v>
      </c>
      <c r="AR19" s="26">
        <v>0</v>
      </c>
      <c r="AS19" s="3">
        <f>_xlfn.DAYS(AQ19,AE19)</f>
        <v>1077</v>
      </c>
    </row>
    <row r="20" spans="1:45" x14ac:dyDescent="0.55000000000000004">
      <c r="A20" s="21" t="s">
        <v>67</v>
      </c>
      <c r="B20" s="22">
        <v>19</v>
      </c>
      <c r="C20" s="5">
        <v>80</v>
      </c>
      <c r="D20" s="5" t="s">
        <v>31</v>
      </c>
      <c r="E20" s="5">
        <f>IF(D20="M",1,0)</f>
        <v>1</v>
      </c>
      <c r="F20" s="5" t="s">
        <v>66</v>
      </c>
      <c r="G20" s="5">
        <v>0</v>
      </c>
      <c r="H20" s="23">
        <v>0</v>
      </c>
      <c r="I20" s="5">
        <v>1</v>
      </c>
      <c r="J20" s="23">
        <v>1</v>
      </c>
      <c r="K20" s="6" t="s">
        <v>52</v>
      </c>
      <c r="L20" s="6">
        <f>20*50</f>
        <v>1000</v>
      </c>
      <c r="M20" s="7">
        <v>42968</v>
      </c>
      <c r="N20" s="5" t="s">
        <v>71</v>
      </c>
      <c r="O20" s="5">
        <v>1</v>
      </c>
      <c r="P20" s="5" t="s">
        <v>69</v>
      </c>
      <c r="Q20" s="23">
        <v>40.5</v>
      </c>
      <c r="R20" s="26">
        <f>IF(Q20&gt;81,1,0)</f>
        <v>0</v>
      </c>
      <c r="S20" s="23"/>
      <c r="U20" s="23">
        <v>4.0999999999999996</v>
      </c>
      <c r="V20" s="26">
        <f>IF(U20&lt;5.5,IF(U20&gt;3.7,0,1),1)</f>
        <v>0</v>
      </c>
      <c r="W20" s="23">
        <v>0.11</v>
      </c>
      <c r="X20" s="26">
        <f>IF(W20&gt;0.3,1,0)</f>
        <v>0</v>
      </c>
      <c r="Y20" s="23">
        <v>3750</v>
      </c>
      <c r="Z20" s="23">
        <v>950</v>
      </c>
      <c r="AA20" s="23">
        <f>Y20/Z20</f>
        <v>3.9473684210526314</v>
      </c>
      <c r="AB20" s="23" t="s">
        <v>141</v>
      </c>
      <c r="AE20" s="1">
        <v>42992</v>
      </c>
      <c r="AF20" s="1">
        <v>43644</v>
      </c>
      <c r="AG20" s="23">
        <v>0</v>
      </c>
      <c r="AH20" s="9">
        <f>_xlfn.DAYS(AF20,AE20)</f>
        <v>652</v>
      </c>
      <c r="AI20" s="37">
        <v>0</v>
      </c>
      <c r="AJ20" s="37">
        <f>IF(AI20=0,0,1)</f>
        <v>0</v>
      </c>
      <c r="AK20" s="37">
        <v>0</v>
      </c>
      <c r="AL20" s="37">
        <f>IF(AK20=0,0,1)</f>
        <v>0</v>
      </c>
      <c r="AM20" s="37">
        <v>0</v>
      </c>
      <c r="AN20" s="37">
        <f>IF(AM20&gt;24,1,0)</f>
        <v>0</v>
      </c>
      <c r="AO20" s="37">
        <f>IF(AM20=0,0,1)</f>
        <v>0</v>
      </c>
      <c r="AP20" s="5" t="s">
        <v>73</v>
      </c>
      <c r="AQ20" s="25">
        <v>43644</v>
      </c>
      <c r="AR20" s="23">
        <v>0</v>
      </c>
      <c r="AS20" s="23">
        <f>_xlfn.DAYS(AQ20,AE20)</f>
        <v>652</v>
      </c>
    </row>
    <row r="21" spans="1:45" x14ac:dyDescent="0.55000000000000004">
      <c r="A21" s="21" t="s">
        <v>67</v>
      </c>
      <c r="B21" s="22">
        <v>20</v>
      </c>
      <c r="C21" s="5">
        <v>72</v>
      </c>
      <c r="D21" s="5" t="s">
        <v>31</v>
      </c>
      <c r="E21" s="5">
        <f>IF(D21="M",1,0)</f>
        <v>1</v>
      </c>
      <c r="F21" s="5" t="s">
        <v>66</v>
      </c>
      <c r="G21" s="5">
        <v>0</v>
      </c>
      <c r="H21" s="23">
        <v>0</v>
      </c>
      <c r="I21" s="5">
        <v>0</v>
      </c>
      <c r="J21" s="23">
        <v>0</v>
      </c>
      <c r="K21" s="6" t="s">
        <v>138</v>
      </c>
      <c r="L21" s="6">
        <f>30*32</f>
        <v>960</v>
      </c>
      <c r="M21" s="7">
        <v>43021</v>
      </c>
      <c r="N21" s="5" t="s">
        <v>70</v>
      </c>
      <c r="O21" s="5">
        <v>0</v>
      </c>
      <c r="P21" s="5" t="s">
        <v>69</v>
      </c>
      <c r="Q21" s="23">
        <v>74.900000000000006</v>
      </c>
      <c r="R21" s="26">
        <f>IF(Q21&gt;81,1,0)</f>
        <v>0</v>
      </c>
      <c r="S21" s="23">
        <v>12</v>
      </c>
      <c r="T21" s="26">
        <f>IF(S21&gt;16.3,1,0)</f>
        <v>0</v>
      </c>
      <c r="U21" s="23">
        <v>4.7</v>
      </c>
      <c r="V21" s="26">
        <f>IF(U21&lt;5.5,IF(U21&gt;3.7,0,1),1)</f>
        <v>0</v>
      </c>
      <c r="W21" s="23">
        <v>0.39</v>
      </c>
      <c r="X21" s="26">
        <f>IF(W21&gt;0.3,1,0)</f>
        <v>1</v>
      </c>
      <c r="Y21" s="23">
        <v>4520</v>
      </c>
      <c r="Z21" s="23">
        <v>1860</v>
      </c>
      <c r="AA21" s="23">
        <f>Y21/Z21</f>
        <v>2.4301075268817205</v>
      </c>
      <c r="AB21" s="5" t="s">
        <v>141</v>
      </c>
      <c r="AE21" s="1">
        <v>43052</v>
      </c>
      <c r="AF21" s="1">
        <v>43608</v>
      </c>
      <c r="AG21" s="23">
        <v>0</v>
      </c>
      <c r="AH21" s="9">
        <f>_xlfn.DAYS(AF21,AE21)</f>
        <v>556</v>
      </c>
      <c r="AI21" s="37">
        <v>0</v>
      </c>
      <c r="AJ21" s="37">
        <f>IF(AI21=0,0,1)</f>
        <v>0</v>
      </c>
      <c r="AK21" s="37">
        <v>0</v>
      </c>
      <c r="AL21" s="37">
        <f>IF(AK21=0,0,1)</f>
        <v>0</v>
      </c>
      <c r="AM21" s="37">
        <v>0</v>
      </c>
      <c r="AN21" s="37">
        <f>IF(AM21&gt;24,1,0)</f>
        <v>0</v>
      </c>
      <c r="AO21" s="37">
        <f>IF(AM21=0,0,1)</f>
        <v>0</v>
      </c>
      <c r="AP21" s="5" t="s">
        <v>73</v>
      </c>
      <c r="AQ21" s="25">
        <v>43608</v>
      </c>
      <c r="AR21" s="23">
        <v>0</v>
      </c>
      <c r="AS21" s="23">
        <f t="shared" ref="AS21:AS45" si="1">_xlfn.DAYS(AQ21,AE21)</f>
        <v>556</v>
      </c>
    </row>
    <row r="22" spans="1:45" x14ac:dyDescent="0.55000000000000004">
      <c r="A22" s="21" t="s">
        <v>67</v>
      </c>
      <c r="B22" s="22">
        <v>21</v>
      </c>
      <c r="C22" s="5">
        <v>56</v>
      </c>
      <c r="D22" s="5" t="s">
        <v>11</v>
      </c>
      <c r="E22" s="5">
        <f>IF(D22="M",1,0)</f>
        <v>0</v>
      </c>
      <c r="F22" s="5" t="s">
        <v>66</v>
      </c>
      <c r="G22" s="5">
        <v>0</v>
      </c>
      <c r="H22" s="23">
        <v>0</v>
      </c>
      <c r="I22" s="5">
        <v>0</v>
      </c>
      <c r="J22" s="23">
        <v>0</v>
      </c>
      <c r="K22" s="6" t="s">
        <v>139</v>
      </c>
      <c r="L22" s="6">
        <f>40*26</f>
        <v>1040</v>
      </c>
      <c r="M22" s="7">
        <v>43049</v>
      </c>
      <c r="N22" s="5" t="s">
        <v>70</v>
      </c>
      <c r="O22" s="5">
        <v>0</v>
      </c>
      <c r="P22" s="5" t="s">
        <v>69</v>
      </c>
      <c r="Q22" s="23">
        <v>93</v>
      </c>
      <c r="R22" s="26">
        <f>IF(Q22&gt;81,1,0)</f>
        <v>1</v>
      </c>
      <c r="S22" s="23"/>
      <c r="U22" s="23">
        <v>4.2</v>
      </c>
      <c r="V22" s="26">
        <f>IF(U22&lt;5.5,IF(U22&gt;3.7,0,1),1)</f>
        <v>0</v>
      </c>
      <c r="W22" s="23">
        <v>0.04</v>
      </c>
      <c r="X22" s="26">
        <f>IF(W22&gt;0.3,1,0)</f>
        <v>0</v>
      </c>
      <c r="Y22" s="23">
        <v>5440</v>
      </c>
      <c r="Z22" s="23">
        <v>2490</v>
      </c>
      <c r="AA22" s="23">
        <f>Y22/Z22</f>
        <v>2.1847389558232932</v>
      </c>
      <c r="AB22" s="23" t="s">
        <v>151</v>
      </c>
      <c r="AE22" s="1">
        <v>42793</v>
      </c>
      <c r="AF22" s="1">
        <v>43621</v>
      </c>
      <c r="AG22" s="23">
        <v>0</v>
      </c>
      <c r="AH22" s="9">
        <f>_xlfn.DAYS(AF22,AE22)</f>
        <v>828</v>
      </c>
      <c r="AI22" s="37">
        <v>20</v>
      </c>
      <c r="AJ22" s="37">
        <f>IF(AI22=0,0,1)</f>
        <v>1</v>
      </c>
      <c r="AK22" s="37">
        <v>0</v>
      </c>
      <c r="AL22" s="37">
        <f>IF(AK22=0,0,1)</f>
        <v>0</v>
      </c>
      <c r="AM22" s="37">
        <v>40</v>
      </c>
      <c r="AN22" s="37">
        <f>IF(AM22&gt;24,1,0)</f>
        <v>1</v>
      </c>
      <c r="AO22" s="37">
        <f>IF(AM22=0,0,1)</f>
        <v>1</v>
      </c>
      <c r="AP22" s="23" t="s">
        <v>150</v>
      </c>
      <c r="AQ22" s="1">
        <v>43621</v>
      </c>
      <c r="AR22" s="23">
        <v>0</v>
      </c>
      <c r="AS22" s="23">
        <f t="shared" si="1"/>
        <v>828</v>
      </c>
    </row>
    <row r="23" spans="1:45" x14ac:dyDescent="0.55000000000000004">
      <c r="A23" s="21" t="s">
        <v>67</v>
      </c>
      <c r="B23" s="22">
        <v>22</v>
      </c>
      <c r="C23" s="5">
        <v>74</v>
      </c>
      <c r="D23" s="5" t="s">
        <v>31</v>
      </c>
      <c r="E23" s="5">
        <f>IF(D23="M",1,0)</f>
        <v>1</v>
      </c>
      <c r="F23" s="5" t="s">
        <v>66</v>
      </c>
      <c r="G23" s="5">
        <v>0</v>
      </c>
      <c r="H23" s="23">
        <v>0</v>
      </c>
      <c r="I23" s="5">
        <v>0</v>
      </c>
      <c r="J23" s="23">
        <v>0</v>
      </c>
      <c r="K23" s="6" t="s">
        <v>140</v>
      </c>
      <c r="L23" s="6">
        <v>1040</v>
      </c>
      <c r="M23" s="7">
        <v>43262</v>
      </c>
      <c r="N23" s="5" t="s">
        <v>72</v>
      </c>
      <c r="O23" s="5">
        <v>1</v>
      </c>
      <c r="P23" s="5" t="s">
        <v>69</v>
      </c>
      <c r="Q23" s="23">
        <v>47.1</v>
      </c>
      <c r="R23" s="26">
        <f>IF(Q23&gt;81,1,0)</f>
        <v>0</v>
      </c>
      <c r="S23" s="23">
        <v>15.8</v>
      </c>
      <c r="T23" s="26">
        <f>IF(S23&gt;16.3,1,0)</f>
        <v>0</v>
      </c>
      <c r="U23" s="23">
        <v>4.4000000000000004</v>
      </c>
      <c r="V23" s="26">
        <f>IF(U23&lt;5.5,IF(U23&gt;3.7,0,1),1)</f>
        <v>0</v>
      </c>
      <c r="W23" s="23">
        <v>0.05</v>
      </c>
      <c r="X23" s="26">
        <f>IF(W23&gt;0.3,1,0)</f>
        <v>0</v>
      </c>
      <c r="Y23" s="23">
        <v>3130</v>
      </c>
      <c r="Z23" s="23">
        <v>2740</v>
      </c>
      <c r="AA23" s="23">
        <f>Y23/Z23</f>
        <v>1.1423357664233578</v>
      </c>
      <c r="AB23" s="5" t="s">
        <v>141</v>
      </c>
      <c r="AE23" s="1">
        <v>43262</v>
      </c>
      <c r="AF23" s="1">
        <v>43628</v>
      </c>
      <c r="AG23" s="23">
        <v>0</v>
      </c>
      <c r="AH23" s="9">
        <f>_xlfn.DAYS(AF23,AE23)</f>
        <v>366</v>
      </c>
      <c r="AI23" s="37">
        <v>0</v>
      </c>
      <c r="AJ23" s="37">
        <f>IF(AI23=0,0,1)</f>
        <v>0</v>
      </c>
      <c r="AK23" s="37">
        <v>0</v>
      </c>
      <c r="AL23" s="37">
        <f>IF(AK23=0,0,1)</f>
        <v>0</v>
      </c>
      <c r="AM23" s="37">
        <v>0</v>
      </c>
      <c r="AN23" s="37">
        <f>IF(AM23&gt;24,1,0)</f>
        <v>0</v>
      </c>
      <c r="AO23" s="37">
        <f>IF(AM23=0,0,1)</f>
        <v>0</v>
      </c>
      <c r="AP23" s="5" t="s">
        <v>54</v>
      </c>
      <c r="AQ23" s="1">
        <v>43628</v>
      </c>
      <c r="AR23" s="23">
        <v>0</v>
      </c>
      <c r="AS23" s="23">
        <f t="shared" si="1"/>
        <v>366</v>
      </c>
    </row>
    <row r="24" spans="1:45" x14ac:dyDescent="0.55000000000000004">
      <c r="A24" s="29" t="s">
        <v>91</v>
      </c>
      <c r="B24" s="24">
        <v>1</v>
      </c>
      <c r="C24" s="23">
        <v>74</v>
      </c>
      <c r="D24" s="23" t="s">
        <v>92</v>
      </c>
      <c r="E24" s="23">
        <f>IF(D24="M",1,0)</f>
        <v>1</v>
      </c>
      <c r="F24" s="23" t="s">
        <v>93</v>
      </c>
      <c r="G24" s="5">
        <v>1</v>
      </c>
      <c r="H24" s="23">
        <v>1</v>
      </c>
      <c r="I24" s="23">
        <v>0</v>
      </c>
      <c r="J24" s="23">
        <v>0</v>
      </c>
      <c r="K24" s="27" t="s">
        <v>94</v>
      </c>
      <c r="L24" s="6">
        <f>20*35</f>
        <v>700</v>
      </c>
      <c r="M24" s="28">
        <v>42031</v>
      </c>
      <c r="N24" s="23" t="s">
        <v>95</v>
      </c>
      <c r="O24" s="5">
        <v>0</v>
      </c>
      <c r="P24" s="23" t="s">
        <v>96</v>
      </c>
      <c r="Q24" s="26">
        <v>667</v>
      </c>
      <c r="R24" s="26">
        <f>IF(Q24&gt;81,1,0)</f>
        <v>1</v>
      </c>
      <c r="S24" s="26">
        <v>48.8</v>
      </c>
      <c r="T24" s="26">
        <f>IF(S24&gt;16.3,1,0)</f>
        <v>1</v>
      </c>
      <c r="U24" s="26">
        <v>4</v>
      </c>
      <c r="V24" s="26">
        <f>IF(U24&lt;5.5,IF(U24&gt;3.7,0,1),1)</f>
        <v>0</v>
      </c>
      <c r="W24" s="26">
        <v>0.14000000000000001</v>
      </c>
      <c r="X24" s="26">
        <f>IF(W24&gt;0.3,1,0)</f>
        <v>0</v>
      </c>
      <c r="Y24" s="26">
        <v>3468</v>
      </c>
      <c r="Z24" s="26">
        <v>2048</v>
      </c>
      <c r="AA24" s="26">
        <v>1.693359375</v>
      </c>
      <c r="AB24" s="23" t="s">
        <v>73</v>
      </c>
      <c r="AC24" s="23" t="s">
        <v>97</v>
      </c>
      <c r="AD24" s="23">
        <f>IF(AC24="PR",1,0)</f>
        <v>1</v>
      </c>
      <c r="AE24" s="25">
        <v>42045</v>
      </c>
      <c r="AF24" s="25">
        <v>42149</v>
      </c>
      <c r="AG24" s="23">
        <v>1</v>
      </c>
      <c r="AH24" s="24">
        <f t="shared" ref="AH24:AH42" si="2">_xlfn.DAYS(AF24,AE24)</f>
        <v>104</v>
      </c>
      <c r="AI24" s="37">
        <v>5</v>
      </c>
      <c r="AJ24" s="37">
        <f>IF(AI24=0,0,1)</f>
        <v>1</v>
      </c>
      <c r="AK24" s="37">
        <v>10</v>
      </c>
      <c r="AL24" s="37">
        <f>IF(AK24=0,0,1)</f>
        <v>1</v>
      </c>
      <c r="AM24" s="37">
        <v>20</v>
      </c>
      <c r="AN24" s="37">
        <f>IF(AM24&gt;24,1,0)</f>
        <v>0</v>
      </c>
      <c r="AO24" s="37">
        <f>IF(AM24=0,0,1)</f>
        <v>1</v>
      </c>
      <c r="AP24" s="23" t="s">
        <v>99</v>
      </c>
      <c r="AQ24" s="25">
        <v>42638</v>
      </c>
      <c r="AR24" s="23">
        <v>1</v>
      </c>
      <c r="AS24" s="23">
        <f t="shared" si="1"/>
        <v>593</v>
      </c>
    </row>
    <row r="25" spans="1:45" x14ac:dyDescent="0.55000000000000004">
      <c r="A25" s="29" t="s">
        <v>91</v>
      </c>
      <c r="B25" s="24">
        <v>2</v>
      </c>
      <c r="C25" s="23">
        <v>56</v>
      </c>
      <c r="D25" s="23" t="s">
        <v>92</v>
      </c>
      <c r="E25" s="23">
        <f>IF(D25="M",1,0)</f>
        <v>1</v>
      </c>
      <c r="F25" s="23" t="s">
        <v>93</v>
      </c>
      <c r="G25" s="5">
        <v>1</v>
      </c>
      <c r="H25" s="23">
        <v>1</v>
      </c>
      <c r="I25" s="23">
        <v>0</v>
      </c>
      <c r="J25" s="23">
        <v>0</v>
      </c>
      <c r="K25" s="27" t="s">
        <v>100</v>
      </c>
      <c r="L25" s="6">
        <f>20*35</f>
        <v>700</v>
      </c>
      <c r="M25" s="28">
        <v>42059</v>
      </c>
      <c r="N25" s="23" t="s">
        <v>95</v>
      </c>
      <c r="O25" s="5">
        <v>0</v>
      </c>
      <c r="P25" s="23" t="s">
        <v>101</v>
      </c>
      <c r="Q25" s="26">
        <v>4250</v>
      </c>
      <c r="R25" s="26">
        <f>IF(Q25&gt;81,1,0)</f>
        <v>1</v>
      </c>
      <c r="S25" s="26">
        <v>76.8</v>
      </c>
      <c r="T25" s="26">
        <f>IF(S25&gt;16.3,1,0)</f>
        <v>1</v>
      </c>
      <c r="U25" s="26">
        <v>4</v>
      </c>
      <c r="V25" s="26">
        <f>IF(U25&lt;5.5,IF(U25&gt;3.7,0,1),1)</f>
        <v>0</v>
      </c>
      <c r="W25" s="26">
        <v>2.4500000000000002</v>
      </c>
      <c r="X25" s="26">
        <f>IF(W25&gt;0.3,1,0)</f>
        <v>1</v>
      </c>
      <c r="Y25" s="26">
        <v>6029</v>
      </c>
      <c r="Z25" s="26">
        <v>1208</v>
      </c>
      <c r="AA25" s="26">
        <v>4.9908940397350996</v>
      </c>
      <c r="AB25" s="23" t="s">
        <v>152</v>
      </c>
      <c r="AC25" s="23" t="s">
        <v>97</v>
      </c>
      <c r="AD25" s="23">
        <f>IF(AC25="PR",1,0)</f>
        <v>1</v>
      </c>
      <c r="AE25" s="25">
        <v>42066</v>
      </c>
      <c r="AF25" s="25">
        <v>42236</v>
      </c>
      <c r="AG25" s="23">
        <v>1</v>
      </c>
      <c r="AH25" s="24">
        <f t="shared" si="2"/>
        <v>170</v>
      </c>
      <c r="AI25" s="37">
        <v>0</v>
      </c>
      <c r="AJ25" s="37">
        <f>IF(AI25=0,0,1)</f>
        <v>0</v>
      </c>
      <c r="AK25" s="37">
        <v>0</v>
      </c>
      <c r="AL25" s="37">
        <f>IF(AK25=0,0,1)</f>
        <v>0</v>
      </c>
      <c r="AM25" s="37">
        <v>0</v>
      </c>
      <c r="AN25" s="37">
        <f>IF(AM25&gt;24,1,0)</f>
        <v>0</v>
      </c>
      <c r="AO25" s="37">
        <f>IF(AM25=0,0,1)</f>
        <v>0</v>
      </c>
      <c r="AP25" s="23" t="s">
        <v>103</v>
      </c>
      <c r="AQ25" s="25">
        <v>42411</v>
      </c>
      <c r="AR25" s="23">
        <v>1</v>
      </c>
      <c r="AS25" s="23">
        <f t="shared" si="1"/>
        <v>345</v>
      </c>
    </row>
    <row r="26" spans="1:45" x14ac:dyDescent="0.55000000000000004">
      <c r="A26" s="29" t="s">
        <v>91</v>
      </c>
      <c r="B26" s="24">
        <v>3</v>
      </c>
      <c r="C26" s="23">
        <v>59</v>
      </c>
      <c r="D26" s="23" t="s">
        <v>92</v>
      </c>
      <c r="E26" s="23">
        <f>IF(D26="M",1,0)</f>
        <v>1</v>
      </c>
      <c r="F26" s="23" t="s">
        <v>93</v>
      </c>
      <c r="G26" s="5">
        <v>1</v>
      </c>
      <c r="H26" s="23">
        <v>1</v>
      </c>
      <c r="I26" s="23">
        <v>0</v>
      </c>
      <c r="J26" s="23">
        <v>0</v>
      </c>
      <c r="K26" s="27" t="s">
        <v>94</v>
      </c>
      <c r="L26" s="6">
        <f>20*30</f>
        <v>600</v>
      </c>
      <c r="M26" s="28">
        <v>42101</v>
      </c>
      <c r="N26" s="23" t="s">
        <v>95</v>
      </c>
      <c r="O26" s="5">
        <v>0</v>
      </c>
      <c r="P26" s="23" t="s">
        <v>96</v>
      </c>
      <c r="Q26" s="26">
        <v>4110</v>
      </c>
      <c r="R26" s="26">
        <f>IF(Q26&gt;81,1,0)</f>
        <v>1</v>
      </c>
      <c r="S26" s="26">
        <v>54.9</v>
      </c>
      <c r="T26" s="26">
        <f>IF(S26&gt;16.3,1,0)</f>
        <v>1</v>
      </c>
      <c r="U26" s="26">
        <v>4.2</v>
      </c>
      <c r="V26" s="26">
        <f>IF(U26&lt;5.5,IF(U26&gt;3.7,0,1),1)</f>
        <v>0</v>
      </c>
      <c r="W26" s="26">
        <v>0.36</v>
      </c>
      <c r="X26" s="26">
        <f>IF(W26&gt;0.3,1,0)</f>
        <v>1</v>
      </c>
      <c r="Y26" s="26">
        <v>3159</v>
      </c>
      <c r="Z26" s="26">
        <v>837</v>
      </c>
      <c r="AA26" s="26">
        <v>3.774193548387097</v>
      </c>
      <c r="AB26" s="23" t="s">
        <v>104</v>
      </c>
      <c r="AC26" s="23" t="s">
        <v>102</v>
      </c>
      <c r="AD26" s="23">
        <f>IF(AC26="PR",1,0)</f>
        <v>0</v>
      </c>
      <c r="AE26" s="25">
        <v>42107</v>
      </c>
      <c r="AF26" s="25">
        <v>42219</v>
      </c>
      <c r="AG26" s="23">
        <v>1</v>
      </c>
      <c r="AH26" s="24">
        <f t="shared" si="2"/>
        <v>112</v>
      </c>
      <c r="AI26" s="37">
        <v>0</v>
      </c>
      <c r="AJ26" s="37">
        <f>IF(AI26=0,0,1)</f>
        <v>0</v>
      </c>
      <c r="AK26" s="37">
        <v>20</v>
      </c>
      <c r="AL26" s="37">
        <f>IF(AK26=0,0,1)</f>
        <v>1</v>
      </c>
      <c r="AM26" s="37">
        <v>15</v>
      </c>
      <c r="AN26" s="37">
        <f>IF(AM26&gt;24,1,0)</f>
        <v>0</v>
      </c>
      <c r="AO26" s="37">
        <f>IF(AM26=0,0,1)</f>
        <v>1</v>
      </c>
      <c r="AP26" s="23" t="s">
        <v>105</v>
      </c>
      <c r="AQ26" s="25">
        <v>42219</v>
      </c>
      <c r="AR26" s="23">
        <v>0</v>
      </c>
      <c r="AS26" s="23">
        <f t="shared" si="1"/>
        <v>112</v>
      </c>
    </row>
    <row r="27" spans="1:45" x14ac:dyDescent="0.55000000000000004">
      <c r="A27" s="29" t="s">
        <v>91</v>
      </c>
      <c r="B27" s="24">
        <v>4</v>
      </c>
      <c r="C27" s="23">
        <v>76</v>
      </c>
      <c r="D27" s="23" t="s">
        <v>92</v>
      </c>
      <c r="E27" s="23">
        <f>IF(D27="M",1,0)</f>
        <v>1</v>
      </c>
      <c r="F27" s="23" t="s">
        <v>93</v>
      </c>
      <c r="G27" s="5">
        <v>1</v>
      </c>
      <c r="H27" s="23">
        <v>1</v>
      </c>
      <c r="I27" s="23">
        <v>0</v>
      </c>
      <c r="J27" s="23">
        <v>0</v>
      </c>
      <c r="K27" s="27" t="s">
        <v>106</v>
      </c>
      <c r="L27" s="6">
        <f>20*56</f>
        <v>1120</v>
      </c>
      <c r="M27" s="28">
        <v>42143</v>
      </c>
      <c r="N27" s="23" t="s">
        <v>95</v>
      </c>
      <c r="O27" s="5">
        <v>0</v>
      </c>
      <c r="P27" s="23" t="s">
        <v>101</v>
      </c>
      <c r="Q27" s="26">
        <v>30.2</v>
      </c>
      <c r="R27" s="26">
        <f>IF(Q27&gt;81,1,0)</f>
        <v>0</v>
      </c>
      <c r="S27" s="26">
        <v>8.8000000000000007</v>
      </c>
      <c r="T27" s="26">
        <f>IF(S27&gt;16.3,1,0)</f>
        <v>0</v>
      </c>
      <c r="U27" s="26">
        <v>4.2</v>
      </c>
      <c r="V27" s="26">
        <f>IF(U27&lt;5.5,IF(U27&gt;3.7,0,1),1)</f>
        <v>0</v>
      </c>
      <c r="W27" s="26">
        <v>0.06</v>
      </c>
      <c r="X27" s="26">
        <f>IF(W27&gt;0.3,1,0)</f>
        <v>0</v>
      </c>
      <c r="Y27" s="26">
        <v>4309</v>
      </c>
      <c r="Z27" s="26">
        <v>3272</v>
      </c>
      <c r="AA27" s="26">
        <v>1.3169315403422983</v>
      </c>
      <c r="AB27" s="23" t="s">
        <v>104</v>
      </c>
      <c r="AC27" s="23" t="s">
        <v>97</v>
      </c>
      <c r="AD27" s="23">
        <f>IF(AC27="PR",1,0)</f>
        <v>1</v>
      </c>
      <c r="AE27" s="25">
        <v>42150</v>
      </c>
      <c r="AF27" s="25">
        <v>42430</v>
      </c>
      <c r="AG27" s="23">
        <v>1</v>
      </c>
      <c r="AH27" s="24">
        <f t="shared" si="2"/>
        <v>280</v>
      </c>
      <c r="AI27" s="37">
        <v>0</v>
      </c>
      <c r="AJ27" s="37">
        <f>IF(AI27=0,0,1)</f>
        <v>0</v>
      </c>
      <c r="AK27" s="37">
        <v>0</v>
      </c>
      <c r="AL27" s="37">
        <f>IF(AK27=0,0,1)</f>
        <v>0</v>
      </c>
      <c r="AM27" s="37">
        <v>0</v>
      </c>
      <c r="AN27" s="37">
        <f>IF(AM27&gt;24,1,0)</f>
        <v>0</v>
      </c>
      <c r="AO27" s="37">
        <f>IF(AM27=0,0,1)</f>
        <v>0</v>
      </c>
      <c r="AP27" s="23" t="s">
        <v>107</v>
      </c>
      <c r="AQ27" s="25">
        <v>42778</v>
      </c>
      <c r="AR27" s="23">
        <v>1</v>
      </c>
      <c r="AS27" s="23">
        <f t="shared" si="1"/>
        <v>628</v>
      </c>
    </row>
    <row r="28" spans="1:45" x14ac:dyDescent="0.55000000000000004">
      <c r="A28" s="31" t="s">
        <v>91</v>
      </c>
      <c r="B28" s="32">
        <v>5</v>
      </c>
      <c r="C28" s="30">
        <v>74</v>
      </c>
      <c r="D28" s="30" t="s">
        <v>92</v>
      </c>
      <c r="E28" s="23">
        <f>IF(D28="M",1,0)</f>
        <v>1</v>
      </c>
      <c r="F28" s="23" t="s">
        <v>93</v>
      </c>
      <c r="G28" s="5">
        <v>1</v>
      </c>
      <c r="H28" s="23">
        <v>1</v>
      </c>
      <c r="I28" s="30">
        <v>0</v>
      </c>
      <c r="J28" s="30">
        <v>0</v>
      </c>
      <c r="K28" s="33" t="s">
        <v>108</v>
      </c>
      <c r="L28" s="6">
        <f>10*55</f>
        <v>550</v>
      </c>
      <c r="M28" s="34">
        <v>42166</v>
      </c>
      <c r="N28" s="30" t="s">
        <v>95</v>
      </c>
      <c r="O28" s="5">
        <v>0</v>
      </c>
      <c r="P28" s="30" t="s">
        <v>109</v>
      </c>
      <c r="Q28" s="35">
        <v>263</v>
      </c>
      <c r="R28" s="26">
        <f>IF(Q28&gt;81,1,0)</f>
        <v>1</v>
      </c>
      <c r="S28" s="35">
        <v>24.4</v>
      </c>
      <c r="T28" s="26">
        <f>IF(S28&gt;16.3,1,0)</f>
        <v>1</v>
      </c>
      <c r="U28" s="35">
        <v>4.2</v>
      </c>
      <c r="V28" s="26">
        <f>IF(U28&lt;5.5,IF(U28&gt;3.7,0,1),1)</f>
        <v>0</v>
      </c>
      <c r="W28" s="35">
        <v>0.19</v>
      </c>
      <c r="X28" s="26">
        <f>IF(W28&gt;0.3,1,0)</f>
        <v>0</v>
      </c>
      <c r="Y28" s="35">
        <v>3709</v>
      </c>
      <c r="Z28" s="35">
        <v>2131</v>
      </c>
      <c r="AA28" s="35">
        <v>1.7404974190520883</v>
      </c>
      <c r="AB28" s="30" t="s">
        <v>104</v>
      </c>
      <c r="AC28" s="30" t="s">
        <v>97</v>
      </c>
      <c r="AD28" s="23">
        <f>IF(AC28="PR",1,0)</f>
        <v>1</v>
      </c>
      <c r="AE28" s="36">
        <v>42171</v>
      </c>
      <c r="AF28" s="36">
        <v>42359</v>
      </c>
      <c r="AG28" s="30">
        <v>1</v>
      </c>
      <c r="AH28" s="24">
        <f t="shared" si="2"/>
        <v>188</v>
      </c>
      <c r="AI28" s="37">
        <v>0</v>
      </c>
      <c r="AJ28" s="37">
        <f>IF(AI28=0,0,1)</f>
        <v>0</v>
      </c>
      <c r="AK28" s="37">
        <v>0</v>
      </c>
      <c r="AL28" s="37">
        <f>IF(AK28=0,0,1)</f>
        <v>0</v>
      </c>
      <c r="AM28" s="37">
        <v>0</v>
      </c>
      <c r="AN28" s="37">
        <f>IF(AM28&gt;24,1,0)</f>
        <v>0</v>
      </c>
      <c r="AO28" s="37">
        <f>IF(AM28=0,0,1)</f>
        <v>0</v>
      </c>
      <c r="AP28" s="30" t="s">
        <v>110</v>
      </c>
      <c r="AQ28" s="36">
        <v>42600</v>
      </c>
      <c r="AR28" s="30">
        <v>1</v>
      </c>
      <c r="AS28" s="23">
        <f t="shared" si="1"/>
        <v>429</v>
      </c>
    </row>
    <row r="29" spans="1:45" x14ac:dyDescent="0.55000000000000004">
      <c r="A29" s="29" t="s">
        <v>91</v>
      </c>
      <c r="B29" s="24">
        <v>6</v>
      </c>
      <c r="C29" s="23">
        <v>79</v>
      </c>
      <c r="D29" s="23" t="s">
        <v>92</v>
      </c>
      <c r="E29" s="23">
        <f>IF(D29="M",1,0)</f>
        <v>1</v>
      </c>
      <c r="F29" s="23" t="s">
        <v>93</v>
      </c>
      <c r="G29" s="5">
        <v>1</v>
      </c>
      <c r="H29" s="23">
        <v>1</v>
      </c>
      <c r="I29" s="23">
        <v>1</v>
      </c>
      <c r="J29" s="23">
        <v>1</v>
      </c>
      <c r="K29" s="27" t="s">
        <v>111</v>
      </c>
      <c r="L29" s="6">
        <f>10*50</f>
        <v>500</v>
      </c>
      <c r="M29" s="28">
        <v>42334</v>
      </c>
      <c r="N29" s="23" t="s">
        <v>95</v>
      </c>
      <c r="O29" s="5">
        <v>0</v>
      </c>
      <c r="P29" s="23" t="s">
        <v>96</v>
      </c>
      <c r="Q29" s="26">
        <v>56.5</v>
      </c>
      <c r="R29" s="26">
        <f>IF(Q29&gt;81,1,0)</f>
        <v>0</v>
      </c>
      <c r="S29" s="26">
        <v>65</v>
      </c>
      <c r="T29" s="26">
        <f>IF(S29&gt;16.3,1,0)</f>
        <v>1</v>
      </c>
      <c r="U29" s="26">
        <v>3.4</v>
      </c>
      <c r="V29" s="26">
        <f>IF(U29&lt;5.5,IF(U29&gt;3.7,0,1),1)</f>
        <v>1</v>
      </c>
      <c r="W29" s="26">
        <v>2.75</v>
      </c>
      <c r="X29" s="26">
        <f>IF(W29&gt;0.3,1,0)</f>
        <v>1</v>
      </c>
      <c r="Y29" s="26">
        <v>3580</v>
      </c>
      <c r="Z29" s="26">
        <v>1031</v>
      </c>
      <c r="AA29" s="26">
        <v>3.4723569350145489</v>
      </c>
      <c r="AB29" s="23" t="s">
        <v>104</v>
      </c>
      <c r="AC29" s="23" t="s">
        <v>98</v>
      </c>
      <c r="AD29" s="23">
        <f>IF(AC29="PR",1,0)</f>
        <v>0</v>
      </c>
      <c r="AE29" s="25">
        <v>42340</v>
      </c>
      <c r="AF29" s="25">
        <v>42381</v>
      </c>
      <c r="AG29" s="23">
        <v>1</v>
      </c>
      <c r="AH29" s="24">
        <f t="shared" si="2"/>
        <v>41</v>
      </c>
      <c r="AI29" s="37">
        <v>0</v>
      </c>
      <c r="AJ29" s="37">
        <f>IF(AI29=0,0,1)</f>
        <v>0</v>
      </c>
      <c r="AK29" s="37">
        <v>0</v>
      </c>
      <c r="AL29" s="37">
        <f>IF(AK29=0,0,1)</f>
        <v>0</v>
      </c>
      <c r="AM29" s="37">
        <v>0</v>
      </c>
      <c r="AN29" s="37">
        <f>IF(AM29&gt;24,1,0)</f>
        <v>0</v>
      </c>
      <c r="AO29" s="37">
        <f>IF(AM29=0,0,1)</f>
        <v>0</v>
      </c>
      <c r="AP29" s="23" t="s">
        <v>104</v>
      </c>
      <c r="AQ29" s="25">
        <v>42403</v>
      </c>
      <c r="AR29" s="23">
        <v>1</v>
      </c>
      <c r="AS29" s="23">
        <f t="shared" si="1"/>
        <v>63</v>
      </c>
    </row>
    <row r="30" spans="1:45" x14ac:dyDescent="0.55000000000000004">
      <c r="A30" s="29" t="s">
        <v>91</v>
      </c>
      <c r="B30" s="24">
        <v>7</v>
      </c>
      <c r="C30" s="23">
        <v>82</v>
      </c>
      <c r="D30" s="23" t="s">
        <v>92</v>
      </c>
      <c r="E30" s="23">
        <f>IF(D30="M",1,0)</f>
        <v>1</v>
      </c>
      <c r="F30" s="23" t="s">
        <v>93</v>
      </c>
      <c r="G30" s="5">
        <v>1</v>
      </c>
      <c r="H30" s="23">
        <v>1</v>
      </c>
      <c r="I30" s="23">
        <v>1</v>
      </c>
      <c r="J30" s="23">
        <v>1</v>
      </c>
      <c r="K30" s="27" t="s">
        <v>112</v>
      </c>
      <c r="L30" s="6">
        <f>20*53</f>
        <v>1060</v>
      </c>
      <c r="M30" s="28">
        <v>42395</v>
      </c>
      <c r="N30" s="23" t="s">
        <v>95</v>
      </c>
      <c r="O30" s="5">
        <v>0</v>
      </c>
      <c r="P30" s="23" t="s">
        <v>96</v>
      </c>
      <c r="Q30" s="26">
        <v>310</v>
      </c>
      <c r="R30" s="26">
        <f>IF(Q30&gt;81,1,0)</f>
        <v>1</v>
      </c>
      <c r="S30" s="26">
        <v>75.400000000000006</v>
      </c>
      <c r="T30" s="26">
        <f>IF(S30&gt;16.3,1,0)</f>
        <v>1</v>
      </c>
      <c r="U30" s="26">
        <v>3.7</v>
      </c>
      <c r="V30" s="26">
        <f>IF(U30&lt;5.5,IF(U30&gt;3.7,0,1),1)</f>
        <v>1</v>
      </c>
      <c r="W30" s="26">
        <v>0.24</v>
      </c>
      <c r="X30" s="26">
        <f>IF(W30&gt;0.3,1,0)</f>
        <v>0</v>
      </c>
      <c r="Y30" s="26">
        <v>5921</v>
      </c>
      <c r="Z30" s="26">
        <v>1385</v>
      </c>
      <c r="AA30" s="26">
        <v>4.2750902527075816</v>
      </c>
      <c r="AB30" s="23" t="s">
        <v>104</v>
      </c>
      <c r="AC30" s="23" t="s">
        <v>97</v>
      </c>
      <c r="AD30" s="23">
        <f>IF(AC30="PR",1,0)</f>
        <v>1</v>
      </c>
      <c r="AE30" s="25">
        <v>42402</v>
      </c>
      <c r="AF30" s="25">
        <v>42557</v>
      </c>
      <c r="AG30" s="23">
        <v>1</v>
      </c>
      <c r="AH30" s="24">
        <f t="shared" si="2"/>
        <v>155</v>
      </c>
      <c r="AI30" s="37">
        <v>0</v>
      </c>
      <c r="AJ30" s="37">
        <f>IF(AI30=0,0,1)</f>
        <v>0</v>
      </c>
      <c r="AK30" s="37">
        <v>0</v>
      </c>
      <c r="AL30" s="37">
        <f>IF(AK30=0,0,1)</f>
        <v>0</v>
      </c>
      <c r="AM30" s="37">
        <v>0</v>
      </c>
      <c r="AN30" s="37">
        <f>IF(AM30&gt;24,1,0)</f>
        <v>0</v>
      </c>
      <c r="AO30" s="37">
        <f>IF(AM30=0,0,1)</f>
        <v>0</v>
      </c>
      <c r="AP30" s="23" t="s">
        <v>113</v>
      </c>
      <c r="AQ30" s="25">
        <v>42815</v>
      </c>
      <c r="AR30" s="23">
        <v>1</v>
      </c>
      <c r="AS30" s="23">
        <f t="shared" si="1"/>
        <v>413</v>
      </c>
    </row>
    <row r="31" spans="1:45" x14ac:dyDescent="0.55000000000000004">
      <c r="A31" s="29" t="s">
        <v>91</v>
      </c>
      <c r="B31" s="24">
        <v>8</v>
      </c>
      <c r="C31" s="23">
        <v>78</v>
      </c>
      <c r="D31" s="23" t="s">
        <v>114</v>
      </c>
      <c r="E31" s="23">
        <f>IF(D31="M",1,0)</f>
        <v>0</v>
      </c>
      <c r="F31" s="23" t="s">
        <v>93</v>
      </c>
      <c r="G31" s="5">
        <v>1</v>
      </c>
      <c r="H31" s="23">
        <v>1</v>
      </c>
      <c r="I31" s="23">
        <v>0</v>
      </c>
      <c r="J31" s="23">
        <v>0</v>
      </c>
      <c r="K31" s="27" t="s">
        <v>115</v>
      </c>
      <c r="L31" s="6">
        <f>20*27</f>
        <v>540</v>
      </c>
      <c r="M31" s="28">
        <v>42488</v>
      </c>
      <c r="N31" s="23" t="s">
        <v>35</v>
      </c>
      <c r="O31" s="5">
        <v>0</v>
      </c>
      <c r="P31" s="23" t="s">
        <v>96</v>
      </c>
      <c r="Q31" s="26">
        <v>44.6</v>
      </c>
      <c r="R31" s="26">
        <f>IF(Q31&gt;81,1,0)</f>
        <v>0</v>
      </c>
      <c r="S31" s="26">
        <v>35.5</v>
      </c>
      <c r="T31" s="26">
        <f>IF(S31&gt;16.3,1,0)</f>
        <v>1</v>
      </c>
      <c r="U31" s="26">
        <v>2.9</v>
      </c>
      <c r="V31" s="26">
        <f>IF(U31&lt;5.5,IF(U31&gt;3.7,0,1),1)</f>
        <v>1</v>
      </c>
      <c r="W31" s="26">
        <v>18.27</v>
      </c>
      <c r="X31" s="26">
        <f>IF(W31&gt;0.3,1,0)</f>
        <v>1</v>
      </c>
      <c r="Y31" s="26">
        <v>10890</v>
      </c>
      <c r="Z31" s="26">
        <v>1016</v>
      </c>
      <c r="AA31" s="26">
        <v>10.718503937007874</v>
      </c>
      <c r="AB31" s="23" t="s">
        <v>104</v>
      </c>
      <c r="AC31" s="23" t="s">
        <v>97</v>
      </c>
      <c r="AD31" s="23">
        <f>IF(AC31="PR",1,0)</f>
        <v>1</v>
      </c>
      <c r="AE31" s="25">
        <v>42500</v>
      </c>
      <c r="AF31" s="25">
        <v>42641</v>
      </c>
      <c r="AG31" s="23">
        <v>1</v>
      </c>
      <c r="AH31" s="24">
        <f t="shared" si="2"/>
        <v>141</v>
      </c>
      <c r="AI31" s="37">
        <v>10</v>
      </c>
      <c r="AJ31" s="37">
        <f>IF(AI31=0,0,1)</f>
        <v>1</v>
      </c>
      <c r="AK31" s="37">
        <v>70</v>
      </c>
      <c r="AL31" s="37">
        <f>IF(AK31=0,0,1)</f>
        <v>1</v>
      </c>
      <c r="AM31" s="37">
        <v>90</v>
      </c>
      <c r="AN31" s="37">
        <f>IF(AM31&gt;24,1,0)</f>
        <v>1</v>
      </c>
      <c r="AO31" s="37">
        <f>IF(AM31=0,0,1)</f>
        <v>1</v>
      </c>
      <c r="AP31" s="23" t="s">
        <v>113</v>
      </c>
      <c r="AQ31" s="25">
        <v>43077</v>
      </c>
      <c r="AR31" s="23">
        <v>1</v>
      </c>
      <c r="AS31" s="23">
        <f t="shared" si="1"/>
        <v>577</v>
      </c>
    </row>
    <row r="32" spans="1:45" x14ac:dyDescent="0.55000000000000004">
      <c r="A32" s="29" t="s">
        <v>91</v>
      </c>
      <c r="B32" s="24">
        <v>9</v>
      </c>
      <c r="C32" s="23">
        <v>67</v>
      </c>
      <c r="D32" s="23" t="s">
        <v>92</v>
      </c>
      <c r="E32" s="23">
        <f>IF(D32="M",1,0)</f>
        <v>1</v>
      </c>
      <c r="F32" s="23" t="s">
        <v>93</v>
      </c>
      <c r="G32" s="5">
        <v>1</v>
      </c>
      <c r="H32" s="23">
        <v>1</v>
      </c>
      <c r="I32" s="23">
        <v>1</v>
      </c>
      <c r="J32" s="23">
        <v>1</v>
      </c>
      <c r="K32" s="27" t="s">
        <v>116</v>
      </c>
      <c r="L32" s="6">
        <f>30*33</f>
        <v>990</v>
      </c>
      <c r="M32" s="28">
        <v>42591</v>
      </c>
      <c r="N32" s="23" t="s">
        <v>95</v>
      </c>
      <c r="O32" s="5">
        <v>0</v>
      </c>
      <c r="P32" s="23" t="s">
        <v>101</v>
      </c>
      <c r="Q32" s="26">
        <v>1620</v>
      </c>
      <c r="R32" s="26">
        <f>IF(Q32&gt;81,1,0)</f>
        <v>1</v>
      </c>
      <c r="S32" s="26">
        <v>169</v>
      </c>
      <c r="T32" s="26">
        <f>IF(S32&gt;16.3,1,0)</f>
        <v>1</v>
      </c>
      <c r="U32" s="26">
        <v>4.2</v>
      </c>
      <c r="V32" s="26">
        <f>IF(U32&lt;5.5,IF(U32&gt;3.7,0,1),1)</f>
        <v>0</v>
      </c>
      <c r="W32" s="26">
        <v>0.71</v>
      </c>
      <c r="X32" s="26">
        <f>IF(W32&gt;0.3,1,0)</f>
        <v>1</v>
      </c>
      <c r="Y32" s="26">
        <v>4458</v>
      </c>
      <c r="Z32" s="26">
        <v>1767</v>
      </c>
      <c r="AA32" s="26">
        <v>2.5229202037351444</v>
      </c>
      <c r="AB32" s="23" t="s">
        <v>104</v>
      </c>
      <c r="AC32" s="23" t="s">
        <v>97</v>
      </c>
      <c r="AD32" s="23">
        <f>IF(AC32="PR",1,0)</f>
        <v>1</v>
      </c>
      <c r="AE32" s="25">
        <v>42598</v>
      </c>
      <c r="AF32" s="25">
        <v>42711</v>
      </c>
      <c r="AG32" s="23">
        <v>1</v>
      </c>
      <c r="AH32" s="24">
        <f t="shared" si="2"/>
        <v>113</v>
      </c>
      <c r="AI32" s="37">
        <v>0</v>
      </c>
      <c r="AJ32" s="37">
        <f>IF(AI32=0,0,1)</f>
        <v>0</v>
      </c>
      <c r="AK32" s="37">
        <v>0</v>
      </c>
      <c r="AL32" s="37">
        <f>IF(AK32=0,0,1)</f>
        <v>0</v>
      </c>
      <c r="AM32" s="37">
        <v>0</v>
      </c>
      <c r="AN32" s="37">
        <f>IF(AM32&gt;24,1,0)</f>
        <v>0</v>
      </c>
      <c r="AO32" s="37">
        <f>IF(AM32=0,0,1)</f>
        <v>0</v>
      </c>
      <c r="AP32" s="23" t="s">
        <v>117</v>
      </c>
      <c r="AQ32" s="25">
        <v>42860</v>
      </c>
      <c r="AR32" s="23">
        <v>1</v>
      </c>
      <c r="AS32" s="23">
        <f t="shared" si="1"/>
        <v>262</v>
      </c>
    </row>
    <row r="33" spans="1:45" x14ac:dyDescent="0.55000000000000004">
      <c r="A33" s="29" t="s">
        <v>91</v>
      </c>
      <c r="B33" s="24">
        <v>10</v>
      </c>
      <c r="C33" s="23">
        <v>73</v>
      </c>
      <c r="D33" s="23" t="s">
        <v>114</v>
      </c>
      <c r="E33" s="23">
        <f>IF(D33="M",1,0)</f>
        <v>0</v>
      </c>
      <c r="F33" s="23" t="s">
        <v>93</v>
      </c>
      <c r="G33" s="5">
        <v>1</v>
      </c>
      <c r="H33" s="23">
        <v>1</v>
      </c>
      <c r="I33" s="23">
        <v>0</v>
      </c>
      <c r="J33" s="23">
        <v>0</v>
      </c>
      <c r="K33" s="27" t="s">
        <v>118</v>
      </c>
      <c r="L33" s="6">
        <f>15*53</f>
        <v>795</v>
      </c>
      <c r="M33" s="28">
        <v>42759</v>
      </c>
      <c r="N33" s="23" t="s">
        <v>95</v>
      </c>
      <c r="O33" s="5">
        <v>0</v>
      </c>
      <c r="P33" s="23" t="s">
        <v>96</v>
      </c>
      <c r="Q33" s="26">
        <v>3250</v>
      </c>
      <c r="R33" s="26">
        <f>IF(Q33&gt;81,1,0)</f>
        <v>1</v>
      </c>
      <c r="S33" s="26">
        <v>47.7</v>
      </c>
      <c r="T33" s="26">
        <f>IF(S33&gt;16.3,1,0)</f>
        <v>1</v>
      </c>
      <c r="U33" s="26">
        <v>4</v>
      </c>
      <c r="V33" s="26">
        <f>IF(U33&lt;5.5,IF(U33&gt;3.7,0,1),1)</f>
        <v>0</v>
      </c>
      <c r="W33" s="26">
        <v>0.08</v>
      </c>
      <c r="X33" s="26">
        <f>IF(W33&gt;0.3,1,0)</f>
        <v>0</v>
      </c>
      <c r="Y33" s="26">
        <v>6877</v>
      </c>
      <c r="Z33" s="26">
        <v>2812</v>
      </c>
      <c r="AA33" s="26">
        <v>2.4455903271692745</v>
      </c>
      <c r="AB33" s="23" t="s">
        <v>104</v>
      </c>
      <c r="AC33" s="23" t="s">
        <v>97</v>
      </c>
      <c r="AD33" s="23">
        <f>IF(AC33="PR",1,0)</f>
        <v>1</v>
      </c>
      <c r="AE33" s="25">
        <v>42766</v>
      </c>
      <c r="AF33" s="25">
        <v>42902</v>
      </c>
      <c r="AG33" s="23">
        <v>1</v>
      </c>
      <c r="AH33" s="24">
        <f t="shared" si="2"/>
        <v>136</v>
      </c>
      <c r="AI33" s="37">
        <v>0</v>
      </c>
      <c r="AJ33" s="37">
        <f>IF(AI33=0,0,1)</f>
        <v>0</v>
      </c>
      <c r="AK33" s="37">
        <v>0</v>
      </c>
      <c r="AL33" s="37">
        <f>IF(AK33=0,0,1)</f>
        <v>0</v>
      </c>
      <c r="AM33" s="37">
        <v>0</v>
      </c>
      <c r="AN33" s="37">
        <f>IF(AM33&gt;24,1,0)</f>
        <v>0</v>
      </c>
      <c r="AO33" s="37">
        <f>IF(AM33=0,0,1)</f>
        <v>0</v>
      </c>
      <c r="AP33" s="23" t="s">
        <v>104</v>
      </c>
      <c r="AQ33" s="25">
        <v>42946</v>
      </c>
      <c r="AR33" s="23">
        <v>1</v>
      </c>
      <c r="AS33" s="23">
        <f t="shared" si="1"/>
        <v>180</v>
      </c>
    </row>
    <row r="34" spans="1:45" x14ac:dyDescent="0.55000000000000004">
      <c r="A34" s="29" t="s">
        <v>91</v>
      </c>
      <c r="B34" s="24">
        <v>11</v>
      </c>
      <c r="C34" s="23">
        <v>68</v>
      </c>
      <c r="D34" s="23" t="s">
        <v>92</v>
      </c>
      <c r="E34" s="23">
        <f>IF(D34="M",1,0)</f>
        <v>1</v>
      </c>
      <c r="F34" s="23" t="s">
        <v>93</v>
      </c>
      <c r="G34" s="5">
        <v>1</v>
      </c>
      <c r="H34" s="23">
        <v>1</v>
      </c>
      <c r="I34" s="23">
        <v>2</v>
      </c>
      <c r="J34" s="23">
        <v>2</v>
      </c>
      <c r="K34" s="27" t="s">
        <v>119</v>
      </c>
      <c r="L34" s="6">
        <f>60*52</f>
        <v>3120</v>
      </c>
      <c r="M34" s="28">
        <v>42794</v>
      </c>
      <c r="N34" s="23" t="s">
        <v>95</v>
      </c>
      <c r="O34" s="5">
        <v>0</v>
      </c>
      <c r="P34" s="23" t="s">
        <v>109</v>
      </c>
      <c r="Q34" s="26">
        <v>76.900000000000006</v>
      </c>
      <c r="R34" s="26">
        <f>IF(Q34&gt;81,1,0)</f>
        <v>0</v>
      </c>
      <c r="S34" s="26">
        <v>84.8</v>
      </c>
      <c r="T34" s="26">
        <f>IF(S34&gt;16.3,1,0)</f>
        <v>1</v>
      </c>
      <c r="U34" s="26">
        <v>3.7</v>
      </c>
      <c r="V34" s="26">
        <f>IF(U34&lt;5.5,IF(U34&gt;3.7,0,1),1)</f>
        <v>1</v>
      </c>
      <c r="W34" s="26">
        <v>2.37</v>
      </c>
      <c r="X34" s="26">
        <f>IF(W34&gt;0.3,1,0)</f>
        <v>1</v>
      </c>
      <c r="Y34" s="26">
        <v>4667</v>
      </c>
      <c r="Z34" s="26">
        <v>884</v>
      </c>
      <c r="AA34" s="26">
        <v>5.2794117647058822</v>
      </c>
      <c r="AB34" s="23" t="s">
        <v>104</v>
      </c>
      <c r="AC34" s="23" t="s">
        <v>102</v>
      </c>
      <c r="AD34" s="23">
        <f>IF(AC34="PR",1,0)</f>
        <v>0</v>
      </c>
      <c r="AE34" s="25">
        <v>42800</v>
      </c>
      <c r="AF34" s="25">
        <v>42875</v>
      </c>
      <c r="AG34" s="23">
        <v>1</v>
      </c>
      <c r="AH34" s="24">
        <f t="shared" si="2"/>
        <v>75</v>
      </c>
      <c r="AI34" s="37">
        <v>0</v>
      </c>
      <c r="AJ34" s="37">
        <f>IF(AI34=0,0,1)</f>
        <v>0</v>
      </c>
      <c r="AK34" s="37">
        <v>0</v>
      </c>
      <c r="AL34" s="37">
        <f>IF(AK34=0,0,1)</f>
        <v>0</v>
      </c>
      <c r="AM34" s="37">
        <v>0</v>
      </c>
      <c r="AN34" s="37">
        <f>IF(AM34&gt;24,1,0)</f>
        <v>0</v>
      </c>
      <c r="AO34" s="37">
        <f>IF(AM34=0,0,1)</f>
        <v>0</v>
      </c>
      <c r="AP34" s="23" t="s">
        <v>117</v>
      </c>
      <c r="AQ34" s="25">
        <v>42968</v>
      </c>
      <c r="AR34" s="23">
        <v>0</v>
      </c>
      <c r="AS34" s="23">
        <f t="shared" si="1"/>
        <v>168</v>
      </c>
    </row>
    <row r="35" spans="1:45" x14ac:dyDescent="0.55000000000000004">
      <c r="A35" s="29" t="s">
        <v>91</v>
      </c>
      <c r="B35" s="24">
        <v>12</v>
      </c>
      <c r="C35" s="23">
        <v>59</v>
      </c>
      <c r="D35" s="23" t="s">
        <v>92</v>
      </c>
      <c r="E35" s="23">
        <f>IF(D35="M",1,0)</f>
        <v>1</v>
      </c>
      <c r="F35" s="23" t="s">
        <v>93</v>
      </c>
      <c r="G35" s="5">
        <v>1</v>
      </c>
      <c r="H35" s="23">
        <v>1</v>
      </c>
      <c r="I35" s="23">
        <v>2</v>
      </c>
      <c r="J35" s="23">
        <v>2</v>
      </c>
      <c r="K35" s="27" t="s">
        <v>120</v>
      </c>
      <c r="L35" s="6">
        <f>20*39</f>
        <v>780</v>
      </c>
      <c r="M35" s="28">
        <v>42920</v>
      </c>
      <c r="N35" s="23" t="s">
        <v>95</v>
      </c>
      <c r="O35" s="5">
        <v>0</v>
      </c>
      <c r="P35" s="23" t="s">
        <v>96</v>
      </c>
      <c r="Q35" s="26">
        <v>93.4</v>
      </c>
      <c r="R35" s="26">
        <f>IF(Q35&gt;81,1,0)</f>
        <v>1</v>
      </c>
      <c r="S35" s="26">
        <v>29</v>
      </c>
      <c r="T35" s="26">
        <f>IF(S35&gt;16.3,1,0)</f>
        <v>1</v>
      </c>
      <c r="U35" s="26">
        <v>2.6</v>
      </c>
      <c r="V35" s="26">
        <f>IF(U35&lt;5.5,IF(U35&gt;3.7,0,1),1)</f>
        <v>1</v>
      </c>
      <c r="W35" s="26">
        <v>0.61</v>
      </c>
      <c r="X35" s="26">
        <f>IF(W35&gt;0.3,1,0)</f>
        <v>1</v>
      </c>
      <c r="Y35" s="26">
        <v>3883</v>
      </c>
      <c r="Z35" s="26">
        <v>913</v>
      </c>
      <c r="AA35" s="26">
        <v>4.2530120481927707</v>
      </c>
      <c r="AB35" s="23" t="s">
        <v>73</v>
      </c>
      <c r="AC35" s="23" t="s">
        <v>102</v>
      </c>
      <c r="AD35" s="23">
        <f>IF(AC35="PR",1,0)</f>
        <v>0</v>
      </c>
      <c r="AE35" s="25">
        <v>42921</v>
      </c>
      <c r="AF35" s="25">
        <v>43038</v>
      </c>
      <c r="AG35" s="23">
        <v>1</v>
      </c>
      <c r="AH35" s="24">
        <f t="shared" si="2"/>
        <v>117</v>
      </c>
      <c r="AI35" s="37">
        <v>0</v>
      </c>
      <c r="AJ35" s="37">
        <f>IF(AI35=0,0,1)</f>
        <v>0</v>
      </c>
      <c r="AK35" s="37">
        <v>0</v>
      </c>
      <c r="AL35" s="37">
        <f>IF(AK35=0,0,1)</f>
        <v>0</v>
      </c>
      <c r="AM35" s="37">
        <v>0</v>
      </c>
      <c r="AN35" s="37">
        <f>IF(AM35&gt;24,1,0)</f>
        <v>0</v>
      </c>
      <c r="AO35" s="37">
        <f>IF(AM35=0,0,1)</f>
        <v>0</v>
      </c>
      <c r="AP35" s="23" t="s">
        <v>150</v>
      </c>
      <c r="AQ35" s="25">
        <v>43107</v>
      </c>
      <c r="AR35" s="23">
        <v>1</v>
      </c>
      <c r="AS35" s="23">
        <f t="shared" si="1"/>
        <v>186</v>
      </c>
    </row>
    <row r="36" spans="1:45" x14ac:dyDescent="0.55000000000000004">
      <c r="A36" s="29" t="s">
        <v>91</v>
      </c>
      <c r="B36" s="24">
        <v>13</v>
      </c>
      <c r="C36" s="23">
        <v>69</v>
      </c>
      <c r="D36" s="23" t="s">
        <v>92</v>
      </c>
      <c r="E36" s="23">
        <f>IF(D36="M",1,0)</f>
        <v>1</v>
      </c>
      <c r="F36" s="23" t="s">
        <v>93</v>
      </c>
      <c r="G36" s="5">
        <v>1</v>
      </c>
      <c r="H36" s="23">
        <v>1</v>
      </c>
      <c r="I36" s="23">
        <v>0</v>
      </c>
      <c r="J36" s="23">
        <v>0</v>
      </c>
      <c r="K36" s="27" t="s">
        <v>121</v>
      </c>
      <c r="L36" s="6">
        <f>20*49</f>
        <v>980</v>
      </c>
      <c r="M36" s="28">
        <v>42943</v>
      </c>
      <c r="N36" s="23" t="s">
        <v>95</v>
      </c>
      <c r="O36" s="5">
        <v>0</v>
      </c>
      <c r="P36" s="23" t="s">
        <v>109</v>
      </c>
      <c r="Q36" s="26">
        <v>41.4</v>
      </c>
      <c r="R36" s="26">
        <f>IF(Q36&gt;81,1,0)</f>
        <v>0</v>
      </c>
      <c r="S36" s="26">
        <v>12.2</v>
      </c>
      <c r="T36" s="26">
        <f>IF(S36&gt;16.3,1,0)</f>
        <v>0</v>
      </c>
      <c r="U36" s="26">
        <v>3.3</v>
      </c>
      <c r="V36" s="26">
        <f>IF(U36&lt;5.5,IF(U36&gt;3.7,0,1),1)</f>
        <v>1</v>
      </c>
      <c r="W36" s="26">
        <v>0.05</v>
      </c>
      <c r="X36" s="26">
        <f>IF(W36&gt;0.3,1,0)</f>
        <v>0</v>
      </c>
      <c r="Y36" s="26">
        <v>1580</v>
      </c>
      <c r="Z36" s="26">
        <v>684</v>
      </c>
      <c r="AA36" s="26">
        <v>2.3099415204678362</v>
      </c>
      <c r="AB36" s="23" t="s">
        <v>73</v>
      </c>
      <c r="AC36" s="23" t="s">
        <v>97</v>
      </c>
      <c r="AD36" s="23">
        <f>IF(AC36="PR",1,0)</f>
        <v>1</v>
      </c>
      <c r="AE36" s="25">
        <v>42949</v>
      </c>
      <c r="AF36" s="25">
        <v>43117</v>
      </c>
      <c r="AG36" s="23">
        <v>1</v>
      </c>
      <c r="AH36" s="24">
        <f t="shared" si="2"/>
        <v>168</v>
      </c>
      <c r="AI36" s="37">
        <v>0</v>
      </c>
      <c r="AJ36" s="37">
        <f>IF(AI36=0,0,1)</f>
        <v>0</v>
      </c>
      <c r="AK36" s="37">
        <v>0</v>
      </c>
      <c r="AL36" s="37">
        <f>IF(AK36=0,0,1)</f>
        <v>0</v>
      </c>
      <c r="AM36" s="37">
        <v>0</v>
      </c>
      <c r="AN36" s="37">
        <f>IF(AM36&gt;24,1,0)</f>
        <v>0</v>
      </c>
      <c r="AO36" s="37">
        <f>IF(AM36=0,0,1)</f>
        <v>0</v>
      </c>
      <c r="AP36" s="23" t="s">
        <v>122</v>
      </c>
      <c r="AQ36" s="25">
        <v>43271</v>
      </c>
      <c r="AR36" s="23">
        <v>1</v>
      </c>
      <c r="AS36" s="23">
        <f t="shared" si="1"/>
        <v>322</v>
      </c>
    </row>
    <row r="37" spans="1:45" x14ac:dyDescent="0.55000000000000004">
      <c r="A37" s="31" t="s">
        <v>91</v>
      </c>
      <c r="B37" s="32">
        <v>14</v>
      </c>
      <c r="C37" s="30">
        <v>61</v>
      </c>
      <c r="D37" s="30" t="s">
        <v>114</v>
      </c>
      <c r="E37" s="23">
        <f>IF(D37="M",1,0)</f>
        <v>0</v>
      </c>
      <c r="F37" s="23" t="s">
        <v>93</v>
      </c>
      <c r="G37" s="5">
        <v>1</v>
      </c>
      <c r="H37" s="23">
        <v>1</v>
      </c>
      <c r="I37" s="30">
        <v>0</v>
      </c>
      <c r="J37" s="30">
        <v>0</v>
      </c>
      <c r="K37" s="33" t="s">
        <v>123</v>
      </c>
      <c r="L37" s="6">
        <f>20*41</f>
        <v>820</v>
      </c>
      <c r="M37" s="34">
        <v>42956</v>
      </c>
      <c r="N37" s="30" t="s">
        <v>95</v>
      </c>
      <c r="O37" s="5">
        <v>0</v>
      </c>
      <c r="P37" s="30" t="s">
        <v>109</v>
      </c>
      <c r="Q37" s="35">
        <v>42.7</v>
      </c>
      <c r="R37" s="26">
        <f>IF(Q37&gt;81,1,0)</f>
        <v>0</v>
      </c>
      <c r="S37" s="35">
        <v>122</v>
      </c>
      <c r="T37" s="26">
        <f>IF(S37&gt;16.3,1,0)</f>
        <v>1</v>
      </c>
      <c r="U37" s="35">
        <v>3.7</v>
      </c>
      <c r="V37" s="26">
        <f>IF(U37&lt;5.5,IF(U37&gt;3.7,0,1),1)</f>
        <v>1</v>
      </c>
      <c r="W37" s="35">
        <v>0.9</v>
      </c>
      <c r="X37" s="26">
        <f>IF(W37&gt;0.3,1,0)</f>
        <v>1</v>
      </c>
      <c r="Y37" s="35">
        <v>4515</v>
      </c>
      <c r="Z37" s="35">
        <v>2002</v>
      </c>
      <c r="AA37" s="35">
        <v>2.2552447552447554</v>
      </c>
      <c r="AB37" s="30" t="s">
        <v>104</v>
      </c>
      <c r="AC37" s="30" t="s">
        <v>97</v>
      </c>
      <c r="AD37" s="23">
        <f>IF(AC37="PR",1,0)</f>
        <v>1</v>
      </c>
      <c r="AE37" s="36">
        <v>42969</v>
      </c>
      <c r="AF37" s="36">
        <v>43255</v>
      </c>
      <c r="AG37" s="30">
        <v>1</v>
      </c>
      <c r="AH37" s="24">
        <f t="shared" si="2"/>
        <v>286</v>
      </c>
      <c r="AI37" s="37">
        <v>0</v>
      </c>
      <c r="AJ37" s="37">
        <f>IF(AI37=0,0,1)</f>
        <v>0</v>
      </c>
      <c r="AK37" s="37">
        <v>0</v>
      </c>
      <c r="AL37" s="37">
        <f>IF(AK37=0,0,1)</f>
        <v>0</v>
      </c>
      <c r="AM37" s="37">
        <v>0</v>
      </c>
      <c r="AN37" s="37">
        <f>IF(AM37&gt;24,1,0)</f>
        <v>0</v>
      </c>
      <c r="AO37" s="37">
        <f>IF(AM37=0,0,1)</f>
        <v>0</v>
      </c>
      <c r="AP37" s="30" t="s">
        <v>124</v>
      </c>
      <c r="AQ37" s="36">
        <v>43490</v>
      </c>
      <c r="AR37" s="30">
        <v>0</v>
      </c>
      <c r="AS37" s="23">
        <f t="shared" si="1"/>
        <v>521</v>
      </c>
    </row>
    <row r="38" spans="1:45" x14ac:dyDescent="0.55000000000000004">
      <c r="A38" s="31" t="s">
        <v>91</v>
      </c>
      <c r="B38" s="32">
        <v>15</v>
      </c>
      <c r="C38" s="30">
        <v>71</v>
      </c>
      <c r="D38" s="30" t="s">
        <v>92</v>
      </c>
      <c r="E38" s="23">
        <f>IF(D38="M",1,0)</f>
        <v>1</v>
      </c>
      <c r="F38" s="23" t="s">
        <v>93</v>
      </c>
      <c r="G38" s="5">
        <v>1</v>
      </c>
      <c r="H38" s="23">
        <v>1</v>
      </c>
      <c r="I38" s="30">
        <v>0</v>
      </c>
      <c r="J38" s="30">
        <v>0</v>
      </c>
      <c r="K38" s="33" t="s">
        <v>125</v>
      </c>
      <c r="L38" s="6">
        <f>20*20</f>
        <v>400</v>
      </c>
      <c r="M38" s="34">
        <v>43004</v>
      </c>
      <c r="N38" s="30" t="s">
        <v>95</v>
      </c>
      <c r="O38" s="5">
        <v>0</v>
      </c>
      <c r="P38" s="30" t="s">
        <v>101</v>
      </c>
      <c r="Q38" s="35">
        <v>27.7</v>
      </c>
      <c r="R38" s="26">
        <f>IF(Q38&gt;81,1,0)</f>
        <v>0</v>
      </c>
      <c r="S38" s="35">
        <v>21.5</v>
      </c>
      <c r="T38" s="26">
        <f>IF(S38&gt;16.3,1,0)</f>
        <v>1</v>
      </c>
      <c r="U38" s="35">
        <v>4.4000000000000004</v>
      </c>
      <c r="V38" s="26">
        <f>IF(U38&lt;5.5,IF(U38&gt;3.7,0,1),1)</f>
        <v>0</v>
      </c>
      <c r="W38" s="35">
        <v>0.34</v>
      </c>
      <c r="X38" s="26">
        <f>IF(W38&gt;0.3,1,0)</f>
        <v>1</v>
      </c>
      <c r="Y38" s="35">
        <v>2818</v>
      </c>
      <c r="Z38" s="35">
        <v>1658</v>
      </c>
      <c r="AA38" s="35">
        <v>1.6996381182147164</v>
      </c>
      <c r="AB38" s="30" t="s">
        <v>104</v>
      </c>
      <c r="AC38" s="30" t="s">
        <v>126</v>
      </c>
      <c r="AD38" s="23">
        <v>1</v>
      </c>
      <c r="AE38" s="36">
        <v>43012</v>
      </c>
      <c r="AF38" s="36">
        <v>43199</v>
      </c>
      <c r="AG38" s="30">
        <v>1</v>
      </c>
      <c r="AH38" s="24">
        <f t="shared" si="2"/>
        <v>187</v>
      </c>
      <c r="AI38" s="37">
        <v>0</v>
      </c>
      <c r="AJ38" s="37">
        <f>IF(AI38=0,0,1)</f>
        <v>0</v>
      </c>
      <c r="AK38" s="37">
        <v>10</v>
      </c>
      <c r="AL38" s="37">
        <f>IF(AK38=0,0,1)</f>
        <v>1</v>
      </c>
      <c r="AM38" s="37">
        <v>15</v>
      </c>
      <c r="AN38" s="37">
        <f>IF(AM38&gt;24,1,0)</f>
        <v>0</v>
      </c>
      <c r="AO38" s="37">
        <f>IF(AM38=0,0,1)</f>
        <v>1</v>
      </c>
      <c r="AP38" s="30" t="s">
        <v>153</v>
      </c>
      <c r="AQ38" s="36">
        <v>43490</v>
      </c>
      <c r="AR38" s="30">
        <v>0</v>
      </c>
      <c r="AS38" s="23">
        <f t="shared" si="1"/>
        <v>478</v>
      </c>
    </row>
    <row r="39" spans="1:45" x14ac:dyDescent="0.55000000000000004">
      <c r="A39" s="31" t="s">
        <v>91</v>
      </c>
      <c r="B39" s="32">
        <v>16</v>
      </c>
      <c r="C39" s="30">
        <v>57</v>
      </c>
      <c r="D39" s="30" t="s">
        <v>92</v>
      </c>
      <c r="E39" s="23">
        <f>IF(D39="M",1,0)</f>
        <v>1</v>
      </c>
      <c r="F39" s="23" t="s">
        <v>93</v>
      </c>
      <c r="G39" s="5">
        <v>1</v>
      </c>
      <c r="H39" s="23">
        <v>1</v>
      </c>
      <c r="I39" s="30">
        <v>0</v>
      </c>
      <c r="J39" s="30">
        <v>0</v>
      </c>
      <c r="K39" s="33" t="s">
        <v>127</v>
      </c>
      <c r="L39" s="6">
        <f>20*37</f>
        <v>740</v>
      </c>
      <c r="M39" s="34">
        <v>43039</v>
      </c>
      <c r="N39" s="30" t="s">
        <v>95</v>
      </c>
      <c r="O39" s="5">
        <v>0</v>
      </c>
      <c r="P39" s="30" t="s">
        <v>96</v>
      </c>
      <c r="Q39" s="35">
        <v>312</v>
      </c>
      <c r="R39" s="26">
        <f>IF(Q39&gt;81,1,0)</f>
        <v>1</v>
      </c>
      <c r="S39" s="35">
        <v>73.3</v>
      </c>
      <c r="T39" s="26">
        <f>IF(S39&gt;16.3,1,0)</f>
        <v>1</v>
      </c>
      <c r="U39" s="35">
        <v>4.4000000000000004</v>
      </c>
      <c r="V39" s="26">
        <f>IF(U39&lt;5.5,IF(U39&gt;3.7,0,1),1)</f>
        <v>0</v>
      </c>
      <c r="W39" s="35">
        <v>0.1</v>
      </c>
      <c r="X39" s="26">
        <f>IF(W39&gt;0.3,1,0)</f>
        <v>0</v>
      </c>
      <c r="Y39" s="35">
        <v>6811</v>
      </c>
      <c r="Z39" s="35">
        <v>1767</v>
      </c>
      <c r="AA39" s="35">
        <v>3.8545557441992075</v>
      </c>
      <c r="AB39" s="30" t="s">
        <v>73</v>
      </c>
      <c r="AC39" s="30" t="s">
        <v>97</v>
      </c>
      <c r="AD39" s="23">
        <f>IF(AC39="PR",1,0)</f>
        <v>1</v>
      </c>
      <c r="AE39" s="36">
        <v>43047</v>
      </c>
      <c r="AF39" s="36">
        <v>43192</v>
      </c>
      <c r="AG39" s="30">
        <v>1</v>
      </c>
      <c r="AH39" s="24">
        <f t="shared" si="2"/>
        <v>145</v>
      </c>
      <c r="AI39" s="37">
        <v>0</v>
      </c>
      <c r="AJ39" s="37">
        <f>IF(AI39=0,0,1)</f>
        <v>0</v>
      </c>
      <c r="AK39" s="37">
        <v>0</v>
      </c>
      <c r="AL39" s="37">
        <f>IF(AK39=0,0,1)</f>
        <v>0</v>
      </c>
      <c r="AM39" s="37">
        <v>0</v>
      </c>
      <c r="AN39" s="37">
        <f>IF(AM39&gt;24,1,0)</f>
        <v>0</v>
      </c>
      <c r="AO39" s="37">
        <f>IF(AM39=0,0,1)</f>
        <v>0</v>
      </c>
      <c r="AP39" s="30" t="s">
        <v>128</v>
      </c>
      <c r="AQ39" s="36">
        <v>43490</v>
      </c>
      <c r="AR39" s="30">
        <v>0</v>
      </c>
      <c r="AS39" s="23">
        <f t="shared" si="1"/>
        <v>443</v>
      </c>
    </row>
    <row r="40" spans="1:45" x14ac:dyDescent="0.55000000000000004">
      <c r="A40" s="29" t="s">
        <v>91</v>
      </c>
      <c r="B40" s="24">
        <v>17</v>
      </c>
      <c r="C40" s="23">
        <v>84</v>
      </c>
      <c r="D40" s="23" t="s">
        <v>92</v>
      </c>
      <c r="E40" s="23">
        <f>IF(D40="M",1,0)</f>
        <v>1</v>
      </c>
      <c r="F40" s="23" t="s">
        <v>93</v>
      </c>
      <c r="G40" s="5">
        <v>1</v>
      </c>
      <c r="H40" s="23">
        <v>1</v>
      </c>
      <c r="I40" s="23">
        <v>1</v>
      </c>
      <c r="J40" s="23">
        <v>1</v>
      </c>
      <c r="K40" s="27" t="s">
        <v>129</v>
      </c>
      <c r="L40" s="6">
        <f>10*20</f>
        <v>200</v>
      </c>
      <c r="M40" s="28">
        <v>43046</v>
      </c>
      <c r="N40" s="23" t="s">
        <v>95</v>
      </c>
      <c r="O40" s="5">
        <v>0</v>
      </c>
      <c r="P40" s="23" t="s">
        <v>96</v>
      </c>
      <c r="Q40" s="26">
        <v>12400</v>
      </c>
      <c r="R40" s="26">
        <f>IF(Q40&gt;81,1,0)</f>
        <v>1</v>
      </c>
      <c r="S40" s="26">
        <v>142</v>
      </c>
      <c r="T40" s="26">
        <f>IF(S40&gt;16.3,1,0)</f>
        <v>1</v>
      </c>
      <c r="U40" s="26">
        <v>4.3</v>
      </c>
      <c r="V40" s="26">
        <f>IF(U40&lt;5.5,IF(U40&gt;3.7,0,1),1)</f>
        <v>0</v>
      </c>
      <c r="W40" s="26">
        <v>0.08</v>
      </c>
      <c r="X40" s="26">
        <f>IF(W40&gt;0.3,1,0)</f>
        <v>0</v>
      </c>
      <c r="Y40" s="26">
        <v>7992</v>
      </c>
      <c r="Z40" s="26">
        <v>1868</v>
      </c>
      <c r="AA40" s="26">
        <v>4.2783725910064243</v>
      </c>
      <c r="AB40" s="23" t="s">
        <v>104</v>
      </c>
      <c r="AC40" s="23" t="s">
        <v>102</v>
      </c>
      <c r="AD40" s="23">
        <f>IF(AC40="PR",1,0)</f>
        <v>0</v>
      </c>
      <c r="AE40" s="25">
        <v>43060</v>
      </c>
      <c r="AF40" s="25">
        <v>43166</v>
      </c>
      <c r="AG40" s="23">
        <v>1</v>
      </c>
      <c r="AH40" s="24">
        <f t="shared" si="2"/>
        <v>106</v>
      </c>
      <c r="AI40" s="37">
        <v>0</v>
      </c>
      <c r="AJ40" s="37">
        <f>IF(AI40=0,0,1)</f>
        <v>0</v>
      </c>
      <c r="AK40" s="37">
        <v>0</v>
      </c>
      <c r="AL40" s="37">
        <f>IF(AK40=0,0,1)</f>
        <v>0</v>
      </c>
      <c r="AM40" s="37">
        <v>0</v>
      </c>
      <c r="AN40" s="37">
        <f>IF(AM40&gt;24,1,0)</f>
        <v>0</v>
      </c>
      <c r="AO40" s="37">
        <f>IF(AM40=0,0,1)</f>
        <v>0</v>
      </c>
      <c r="AP40" s="23" t="s">
        <v>104</v>
      </c>
      <c r="AQ40" s="25">
        <v>43220</v>
      </c>
      <c r="AR40" s="23">
        <v>1</v>
      </c>
      <c r="AS40" s="23">
        <f t="shared" si="1"/>
        <v>160</v>
      </c>
    </row>
    <row r="41" spans="1:45" x14ac:dyDescent="0.55000000000000004">
      <c r="A41" s="31" t="s">
        <v>91</v>
      </c>
      <c r="B41" s="32">
        <v>18</v>
      </c>
      <c r="C41" s="30">
        <v>71</v>
      </c>
      <c r="D41" s="30" t="s">
        <v>92</v>
      </c>
      <c r="E41" s="23">
        <f>IF(D41="M",1,0)</f>
        <v>1</v>
      </c>
      <c r="F41" s="23" t="s">
        <v>93</v>
      </c>
      <c r="G41" s="5">
        <v>1</v>
      </c>
      <c r="H41" s="23">
        <v>1</v>
      </c>
      <c r="I41" s="30">
        <v>1</v>
      </c>
      <c r="J41" s="30">
        <v>1</v>
      </c>
      <c r="K41" s="33" t="s">
        <v>121</v>
      </c>
      <c r="L41" s="6">
        <f>20*49</f>
        <v>980</v>
      </c>
      <c r="M41" s="34">
        <v>43082</v>
      </c>
      <c r="N41" s="30" t="s">
        <v>95</v>
      </c>
      <c r="O41" s="5">
        <v>0</v>
      </c>
      <c r="P41" s="30" t="s">
        <v>96</v>
      </c>
      <c r="Q41" s="35">
        <v>616.6</v>
      </c>
      <c r="R41" s="26">
        <f>IF(Q41&gt;81,1,0)</f>
        <v>1</v>
      </c>
      <c r="S41" s="35">
        <v>19.7</v>
      </c>
      <c r="T41" s="26">
        <f>IF(S41&gt;16.3,1,0)</f>
        <v>1</v>
      </c>
      <c r="U41" s="35">
        <v>4.2</v>
      </c>
      <c r="V41" s="26">
        <f>IF(U41&lt;5.5,IF(U41&gt;3.7,0,1),1)</f>
        <v>0</v>
      </c>
      <c r="W41" s="35">
        <v>0.87</v>
      </c>
      <c r="X41" s="26">
        <f>IF(W41&gt;0.3,1,0)</f>
        <v>1</v>
      </c>
      <c r="Y41" s="35">
        <v>4204</v>
      </c>
      <c r="Z41" s="35">
        <v>2001</v>
      </c>
      <c r="AA41" s="35">
        <v>2.1009495252373811</v>
      </c>
      <c r="AB41" s="30" t="s">
        <v>104</v>
      </c>
      <c r="AC41" s="30" t="s">
        <v>97</v>
      </c>
      <c r="AD41" s="23">
        <f>IF(AC41="PR",1,0)</f>
        <v>1</v>
      </c>
      <c r="AE41" s="36">
        <v>43087</v>
      </c>
      <c r="AF41" s="36">
        <v>43251</v>
      </c>
      <c r="AG41" s="30">
        <v>1</v>
      </c>
      <c r="AH41" s="24">
        <f t="shared" si="2"/>
        <v>164</v>
      </c>
      <c r="AI41" s="37">
        <v>5</v>
      </c>
      <c r="AJ41" s="37">
        <f>IF(AI41=0,0,1)</f>
        <v>1</v>
      </c>
      <c r="AK41" s="37">
        <v>30</v>
      </c>
      <c r="AL41" s="37">
        <f>IF(AK41=0,0,1)</f>
        <v>1</v>
      </c>
      <c r="AM41" s="37">
        <v>40</v>
      </c>
      <c r="AN41" s="37">
        <f>IF(AM41&gt;24,1,0)</f>
        <v>1</v>
      </c>
      <c r="AO41" s="37">
        <f>IF(AM41=0,0,1)</f>
        <v>1</v>
      </c>
      <c r="AP41" s="30" t="s">
        <v>117</v>
      </c>
      <c r="AQ41" s="36">
        <v>43490</v>
      </c>
      <c r="AR41" s="30">
        <v>0</v>
      </c>
      <c r="AS41" s="23">
        <f t="shared" si="1"/>
        <v>403</v>
      </c>
    </row>
    <row r="42" spans="1:45" x14ac:dyDescent="0.55000000000000004">
      <c r="A42" s="29" t="s">
        <v>91</v>
      </c>
      <c r="B42" s="24">
        <v>19</v>
      </c>
      <c r="C42" s="23">
        <v>80</v>
      </c>
      <c r="D42" s="23" t="s">
        <v>92</v>
      </c>
      <c r="E42" s="23">
        <f>IF(D42="M",1,0)</f>
        <v>1</v>
      </c>
      <c r="F42" s="23" t="s">
        <v>93</v>
      </c>
      <c r="G42" s="5">
        <v>1</v>
      </c>
      <c r="H42" s="23">
        <v>1</v>
      </c>
      <c r="I42" s="23">
        <v>2</v>
      </c>
      <c r="J42" s="23">
        <v>2</v>
      </c>
      <c r="K42" s="27" t="s">
        <v>130</v>
      </c>
      <c r="L42" s="6">
        <f>20*58</f>
        <v>1160</v>
      </c>
      <c r="M42" s="28">
        <v>43095</v>
      </c>
      <c r="N42" s="23" t="s">
        <v>95</v>
      </c>
      <c r="O42" s="5">
        <v>0</v>
      </c>
      <c r="P42" s="23" t="s">
        <v>96</v>
      </c>
      <c r="Q42" s="26">
        <v>57400</v>
      </c>
      <c r="R42" s="26">
        <f>IF(Q42&gt;81,1,0)</f>
        <v>1</v>
      </c>
      <c r="S42" s="26">
        <v>142</v>
      </c>
      <c r="T42" s="26">
        <f>IF(S42&gt;16.3,1,0)</f>
        <v>1</v>
      </c>
      <c r="U42" s="26">
        <v>3.1</v>
      </c>
      <c r="V42" s="26">
        <f>IF(U42&lt;5.5,IF(U42&gt;3.7,0,1),1)</f>
        <v>1</v>
      </c>
      <c r="W42" s="26">
        <v>2.93</v>
      </c>
      <c r="X42" s="26">
        <f>IF(W42&gt;0.3,1,0)</f>
        <v>1</v>
      </c>
      <c r="Y42" s="26">
        <v>3794</v>
      </c>
      <c r="Z42" s="26">
        <v>1439</v>
      </c>
      <c r="AA42" s="26">
        <v>2.6365531619179987</v>
      </c>
      <c r="AB42" s="23" t="s">
        <v>104</v>
      </c>
      <c r="AC42" s="23" t="s">
        <v>102</v>
      </c>
      <c r="AD42" s="23">
        <f>IF(AC42="PR",1,0)</f>
        <v>0</v>
      </c>
      <c r="AE42" s="25">
        <v>43095</v>
      </c>
      <c r="AF42" s="25">
        <v>43229</v>
      </c>
      <c r="AG42" s="23">
        <v>1</v>
      </c>
      <c r="AH42" s="24">
        <f t="shared" si="2"/>
        <v>134</v>
      </c>
      <c r="AI42" s="37">
        <v>0</v>
      </c>
      <c r="AJ42" s="37">
        <f>IF(AI42=0,0,1)</f>
        <v>0</v>
      </c>
      <c r="AK42" s="37">
        <v>0</v>
      </c>
      <c r="AL42" s="37">
        <f>IF(AK42=0,0,1)</f>
        <v>0</v>
      </c>
      <c r="AM42" s="37">
        <v>5</v>
      </c>
      <c r="AN42" s="37">
        <f>IF(AM42&gt;24,1,0)</f>
        <v>0</v>
      </c>
      <c r="AO42" s="37">
        <f>IF(AM42=0,0,1)</f>
        <v>1</v>
      </c>
      <c r="AP42" s="23" t="s">
        <v>104</v>
      </c>
      <c r="AQ42" s="25">
        <v>43263</v>
      </c>
      <c r="AR42" s="23">
        <v>1</v>
      </c>
      <c r="AS42" s="23">
        <f t="shared" si="1"/>
        <v>168</v>
      </c>
    </row>
    <row r="43" spans="1:45" x14ac:dyDescent="0.55000000000000004">
      <c r="A43" s="31" t="s">
        <v>91</v>
      </c>
      <c r="B43" s="32">
        <v>20</v>
      </c>
      <c r="C43" s="30">
        <v>70</v>
      </c>
      <c r="D43" s="30" t="s">
        <v>114</v>
      </c>
      <c r="E43" s="23">
        <f>IF(D43="M",1,0)</f>
        <v>0</v>
      </c>
      <c r="F43" s="23" t="s">
        <v>93</v>
      </c>
      <c r="G43" s="5">
        <v>1</v>
      </c>
      <c r="H43" s="23">
        <v>1</v>
      </c>
      <c r="I43" s="30">
        <v>1</v>
      </c>
      <c r="J43" s="30">
        <v>1</v>
      </c>
      <c r="K43" s="33" t="s">
        <v>131</v>
      </c>
      <c r="L43" s="6">
        <f>20*50</f>
        <v>1000</v>
      </c>
      <c r="M43" s="34">
        <v>43221</v>
      </c>
      <c r="N43" s="30" t="s">
        <v>95</v>
      </c>
      <c r="O43" s="5">
        <v>0</v>
      </c>
      <c r="P43" s="30" t="s">
        <v>96</v>
      </c>
      <c r="Q43" s="35">
        <v>18600</v>
      </c>
      <c r="R43" s="26">
        <f>IF(Q43&gt;81,1,0)</f>
        <v>1</v>
      </c>
      <c r="S43" s="35">
        <v>144</v>
      </c>
      <c r="T43" s="26">
        <f>IF(S43&gt;16.3,1,0)</f>
        <v>1</v>
      </c>
      <c r="U43" s="35">
        <v>3.8</v>
      </c>
      <c r="V43" s="26">
        <f>IF(U43&lt;5.5,IF(U43&gt;3.7,0,1),1)</f>
        <v>0</v>
      </c>
      <c r="W43" s="35">
        <v>0.05</v>
      </c>
      <c r="X43" s="26">
        <f>IF(W43&gt;0.3,1,0)</f>
        <v>0</v>
      </c>
      <c r="Y43" s="35">
        <v>8636</v>
      </c>
      <c r="Z43" s="35">
        <v>1920</v>
      </c>
      <c r="AA43" s="35">
        <v>4.4979166666666668</v>
      </c>
      <c r="AB43" s="30" t="s">
        <v>104</v>
      </c>
      <c r="AC43" s="30" t="s">
        <v>102</v>
      </c>
      <c r="AD43" s="23">
        <f>IF(AC43="PR",1,0)</f>
        <v>0</v>
      </c>
      <c r="AE43" s="36">
        <v>43228</v>
      </c>
      <c r="AF43" s="36">
        <v>43230</v>
      </c>
      <c r="AG43" s="30">
        <v>0</v>
      </c>
      <c r="AH43" s="24">
        <f t="shared" ref="AH43:AH45" si="3">_xlfn.DAYS(AF43,AE43)</f>
        <v>2</v>
      </c>
      <c r="AI43" s="37">
        <v>0</v>
      </c>
      <c r="AJ43" s="37">
        <f>IF(AI43=0,0,1)</f>
        <v>0</v>
      </c>
      <c r="AK43" s="37">
        <v>0</v>
      </c>
      <c r="AL43" s="37">
        <f>IF(AK43=0,0,1)</f>
        <v>0</v>
      </c>
      <c r="AM43" s="37">
        <v>0</v>
      </c>
      <c r="AN43" s="37">
        <f>IF(AM43&gt;24,1,0)</f>
        <v>0</v>
      </c>
      <c r="AO43" s="37">
        <f>IF(AM43=0,0,1)</f>
        <v>0</v>
      </c>
      <c r="AP43" s="30" t="s">
        <v>105</v>
      </c>
      <c r="AQ43" s="36">
        <v>43230</v>
      </c>
      <c r="AR43" s="35">
        <v>0</v>
      </c>
      <c r="AS43" s="23">
        <f t="shared" si="1"/>
        <v>2</v>
      </c>
    </row>
    <row r="44" spans="1:45" x14ac:dyDescent="0.55000000000000004">
      <c r="A44" s="31" t="s">
        <v>91</v>
      </c>
      <c r="B44" s="32">
        <v>21</v>
      </c>
      <c r="C44" s="30">
        <v>77</v>
      </c>
      <c r="D44" s="30" t="s">
        <v>92</v>
      </c>
      <c r="E44" s="23">
        <f>IF(D44="M",1,0)</f>
        <v>1</v>
      </c>
      <c r="F44" s="23" t="s">
        <v>93</v>
      </c>
      <c r="G44" s="5">
        <v>1</v>
      </c>
      <c r="H44" s="23">
        <v>1</v>
      </c>
      <c r="I44" s="30">
        <v>3</v>
      </c>
      <c r="J44" s="30">
        <v>2</v>
      </c>
      <c r="K44" s="33" t="s">
        <v>132</v>
      </c>
      <c r="L44" s="6">
        <f>40*42</f>
        <v>1680</v>
      </c>
      <c r="M44" s="34">
        <v>43275</v>
      </c>
      <c r="N44" s="30" t="s">
        <v>95</v>
      </c>
      <c r="O44" s="5">
        <v>0</v>
      </c>
      <c r="P44" s="30" t="s">
        <v>96</v>
      </c>
      <c r="Q44" s="35">
        <v>676.9</v>
      </c>
      <c r="R44" s="26">
        <f>IF(Q44&gt;81,1,0)</f>
        <v>1</v>
      </c>
      <c r="S44" s="35"/>
      <c r="U44" s="35">
        <v>2.8</v>
      </c>
      <c r="V44" s="26">
        <f>IF(U44&lt;5.5,IF(U44&gt;3.7,0,1),1)</f>
        <v>1</v>
      </c>
      <c r="W44" s="35">
        <v>1.97</v>
      </c>
      <c r="X44" s="26">
        <f>IF(W44&gt;0.3,1,0)</f>
        <v>1</v>
      </c>
      <c r="Y44" s="35">
        <v>4925</v>
      </c>
      <c r="Z44" s="35">
        <v>1206</v>
      </c>
      <c r="AA44" s="35">
        <v>4.0837479270315091</v>
      </c>
      <c r="AB44" s="30" t="s">
        <v>104</v>
      </c>
      <c r="AC44" s="30" t="s">
        <v>102</v>
      </c>
      <c r="AD44" s="23">
        <f>IF(AC44="PR",1,0)</f>
        <v>0</v>
      </c>
      <c r="AE44" s="36">
        <v>43276</v>
      </c>
      <c r="AF44" s="36">
        <v>43325</v>
      </c>
      <c r="AG44" s="30">
        <v>0</v>
      </c>
      <c r="AH44" s="24">
        <f t="shared" si="3"/>
        <v>49</v>
      </c>
      <c r="AI44" s="37">
        <v>0</v>
      </c>
      <c r="AJ44" s="37">
        <f>IF(AI44=0,0,1)</f>
        <v>0</v>
      </c>
      <c r="AK44" s="37">
        <v>0</v>
      </c>
      <c r="AL44" s="37">
        <f>IF(AK44=0,0,1)</f>
        <v>0</v>
      </c>
      <c r="AM44" s="37">
        <v>0</v>
      </c>
      <c r="AN44" s="37">
        <f>IF(AM44&gt;24,1,0)</f>
        <v>0</v>
      </c>
      <c r="AO44" s="37">
        <f>IF(AM44=0,0,1)</f>
        <v>0</v>
      </c>
      <c r="AP44" s="30" t="s">
        <v>104</v>
      </c>
      <c r="AQ44" s="36">
        <v>43490</v>
      </c>
      <c r="AR44" s="30">
        <v>0</v>
      </c>
      <c r="AS44" s="23">
        <f t="shared" si="1"/>
        <v>214</v>
      </c>
    </row>
    <row r="45" spans="1:45" x14ac:dyDescent="0.55000000000000004">
      <c r="A45" s="31" t="s">
        <v>91</v>
      </c>
      <c r="B45" s="32">
        <v>22</v>
      </c>
      <c r="C45" s="30">
        <v>67</v>
      </c>
      <c r="D45" s="30" t="s">
        <v>92</v>
      </c>
      <c r="E45" s="23">
        <f>IF(D45="M",1,0)</f>
        <v>1</v>
      </c>
      <c r="F45" s="23" t="s">
        <v>93</v>
      </c>
      <c r="G45" s="5">
        <v>1</v>
      </c>
      <c r="H45" s="23">
        <v>1</v>
      </c>
      <c r="I45" s="30">
        <v>0</v>
      </c>
      <c r="J45" s="30">
        <v>0</v>
      </c>
      <c r="K45" s="33" t="s">
        <v>133</v>
      </c>
      <c r="L45" s="6">
        <f>20*47</f>
        <v>940</v>
      </c>
      <c r="M45" s="34">
        <v>43430</v>
      </c>
      <c r="N45" s="30" t="s">
        <v>95</v>
      </c>
      <c r="O45" s="5">
        <v>0</v>
      </c>
      <c r="P45" s="30" t="s">
        <v>96</v>
      </c>
      <c r="Q45" s="35">
        <v>1580</v>
      </c>
      <c r="R45" s="26">
        <f>IF(Q45&gt;81,1,0)</f>
        <v>1</v>
      </c>
      <c r="S45" s="35">
        <v>65.5</v>
      </c>
      <c r="T45" s="26">
        <f>IF(S45&gt;16.3,1,0)</f>
        <v>1</v>
      </c>
      <c r="U45" s="35">
        <v>3.7</v>
      </c>
      <c r="V45" s="26">
        <f>IF(U45&lt;5.5,IF(U45&gt;3.7,0,1),1)</f>
        <v>1</v>
      </c>
      <c r="W45" s="35">
        <v>3.01</v>
      </c>
      <c r="X45" s="26">
        <f>IF(W45&gt;0.3,1,0)</f>
        <v>1</v>
      </c>
      <c r="Y45" s="35">
        <v>7256</v>
      </c>
      <c r="Z45" s="35">
        <v>1762</v>
      </c>
      <c r="AA45" s="35">
        <v>4.1180476730987516</v>
      </c>
      <c r="AB45" s="30" t="s">
        <v>104</v>
      </c>
      <c r="AC45" s="30" t="s">
        <v>102</v>
      </c>
      <c r="AD45" s="23">
        <f>IF(AC45="PR",1,0)</f>
        <v>0</v>
      </c>
      <c r="AE45" s="36">
        <v>43438</v>
      </c>
      <c r="AF45" s="36">
        <v>43490</v>
      </c>
      <c r="AG45" s="30">
        <v>0</v>
      </c>
      <c r="AH45" s="24">
        <f t="shared" si="3"/>
        <v>52</v>
      </c>
      <c r="AI45" s="37">
        <v>0</v>
      </c>
      <c r="AJ45" s="37">
        <f>IF(AI45=0,0,1)</f>
        <v>0</v>
      </c>
      <c r="AK45" s="37">
        <v>0</v>
      </c>
      <c r="AL45" s="37">
        <f>IF(AK45=0,0,1)</f>
        <v>0</v>
      </c>
      <c r="AM45" s="37">
        <v>0</v>
      </c>
      <c r="AN45" s="37">
        <f>IF(AM45&gt;24,1,0)</f>
        <v>0</v>
      </c>
      <c r="AO45" s="37">
        <f>IF(AM45=0,0,1)</f>
        <v>0</v>
      </c>
      <c r="AP45" s="30" t="s">
        <v>104</v>
      </c>
      <c r="AQ45" s="36">
        <v>43490</v>
      </c>
      <c r="AR45" s="30">
        <v>0</v>
      </c>
      <c r="AS45" s="23">
        <f t="shared" si="1"/>
        <v>52</v>
      </c>
    </row>
  </sheetData>
  <autoFilter ref="A1:AS1" xr:uid="{261343EC-A459-4ABA-B1F6-1B902FE12EAF}">
    <sortState xmlns:xlrd2="http://schemas.microsoft.com/office/spreadsheetml/2017/richdata2" ref="A2:AS45">
      <sortCondition ref="A1"/>
    </sortState>
  </autoFilter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山田忠明</dc:creator>
  <cp:lastModifiedBy>Yoshimura Akihiro</cp:lastModifiedBy>
  <dcterms:created xsi:type="dcterms:W3CDTF">2018-04-21T13:43:30Z</dcterms:created>
  <dcterms:modified xsi:type="dcterms:W3CDTF">2019-07-17T09:32:15Z</dcterms:modified>
</cp:coreProperties>
</file>